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esktop\medicinska IVANA\Plan i obrasci  2023\završni 2023\"/>
    </mc:Choice>
  </mc:AlternateContent>
  <bookViews>
    <workbookView xWindow="0" yWindow="0" windowWidth="28800" windowHeight="12030" activeTab="2"/>
  </bookViews>
  <sheets>
    <sheet name="izvršenje I-XII 2023" sheetId="1" r:id="rId1"/>
    <sheet name="izvršenje PO IZVORIMA-detaljno" sheetId="6" r:id="rId2"/>
    <sheet name="SAŽETAK" sheetId="9" r:id="rId3"/>
    <sheet name=" Račun prihoda i rashoda" sheetId="10" r:id="rId4"/>
    <sheet name="Rashodi prema izvorima finan" sheetId="11" r:id="rId5"/>
    <sheet name="Rashodi prema funkcijskoj k " sheetId="12" r:id="rId6"/>
    <sheet name="Račun financiranja" sheetId="13" r:id="rId7"/>
    <sheet name="Račun fin prema izvorima f" sheetId="14" r:id="rId8"/>
    <sheet name="POSEBNI DIO" sheetId="15" r:id="rId9"/>
  </sheets>
  <definedNames>
    <definedName name="_xlnm.Print_Titles" localSheetId="0">'izvršenje I-XII 2023'!$A:$B,'izvršenje I-XII 2023'!$1:$7</definedName>
    <definedName name="_xlnm.Print_Titles" localSheetId="1">'izvršenje PO IZVORIMA-detaljno'!$A:$B,'izvršenje PO IZVORIMA-detaljno'!$5:$6</definedName>
    <definedName name="_xlnm.Print_Area" localSheetId="3">' Račun prihoda i rashoda'!$A$1:$H$117</definedName>
    <definedName name="_xlnm.Print_Area" localSheetId="0">'izvršenje I-XII 2023'!$A$1:$G$214</definedName>
    <definedName name="_xlnm.Print_Area" localSheetId="1">'izvršenje PO IZVORIMA-detaljno'!$A$1:$BE$224</definedName>
    <definedName name="_xlnm.Print_Area" localSheetId="4">'Rashodi prema izvorima finan'!$A$1:$G$61</definedName>
    <definedName name="_xlnm.Print_Area" localSheetId="2">SAŽETAK!$B$1:$K$27</definedName>
  </definedNames>
  <calcPr calcId="162913"/>
</workbook>
</file>

<file path=xl/calcChain.xml><?xml version="1.0" encoding="utf-8"?>
<calcChain xmlns="http://schemas.openxmlformats.org/spreadsheetml/2006/main">
  <c r="J41" i="10" l="1"/>
  <c r="K41" i="10"/>
  <c r="K42" i="10"/>
  <c r="J81" i="10"/>
  <c r="K81" i="10"/>
  <c r="K106" i="10"/>
  <c r="J107" i="10"/>
  <c r="K107" i="10"/>
  <c r="J112" i="10"/>
  <c r="K112" i="10"/>
  <c r="J128" i="10"/>
  <c r="K128" i="10"/>
  <c r="J133" i="10"/>
  <c r="K133" i="10"/>
  <c r="G133" i="10" l="1"/>
  <c r="F125" i="10"/>
  <c r="F124" i="10"/>
  <c r="F123" i="10"/>
  <c r="F122" i="10"/>
  <c r="I105" i="10"/>
  <c r="I80" i="10"/>
  <c r="G80" i="10"/>
  <c r="H80" i="10" s="1"/>
  <c r="F80" i="10"/>
  <c r="H51" i="10"/>
  <c r="H39" i="10"/>
  <c r="G39" i="10"/>
  <c r="F40" i="10"/>
  <c r="F39" i="10"/>
  <c r="F38" i="10" s="1"/>
  <c r="H131" i="10"/>
  <c r="H128" i="10"/>
  <c r="H127" i="10"/>
  <c r="H125" i="10"/>
  <c r="H124" i="10"/>
  <c r="H123" i="10"/>
  <c r="H122" i="10"/>
  <c r="H121" i="10"/>
  <c r="H120" i="10"/>
  <c r="H119" i="10"/>
  <c r="H117" i="10"/>
  <c r="H116" i="10"/>
  <c r="H111" i="10"/>
  <c r="H110" i="10"/>
  <c r="H109" i="10"/>
  <c r="H107" i="10"/>
  <c r="H106" i="10"/>
  <c r="H105" i="10"/>
  <c r="H104" i="10"/>
  <c r="H103" i="10"/>
  <c r="H102" i="10"/>
  <c r="H101" i="10"/>
  <c r="H100" i="10"/>
  <c r="H98" i="10"/>
  <c r="H97" i="10"/>
  <c r="H95" i="10"/>
  <c r="H94" i="10"/>
  <c r="H93" i="10"/>
  <c r="H92" i="10"/>
  <c r="H91" i="10"/>
  <c r="H90" i="10"/>
  <c r="H88" i="10"/>
  <c r="H87" i="10"/>
  <c r="H86" i="10"/>
  <c r="H85" i="10"/>
  <c r="H84" i="10"/>
  <c r="H83" i="10"/>
  <c r="H81" i="10"/>
  <c r="H79" i="10"/>
  <c r="H78" i="10"/>
  <c r="H77" i="10"/>
  <c r="H76" i="10"/>
  <c r="H75" i="10"/>
  <c r="H74" i="10"/>
  <c r="H73" i="10"/>
  <c r="H72" i="10"/>
  <c r="H71" i="10"/>
  <c r="H69" i="10"/>
  <c r="H68" i="10"/>
  <c r="H67" i="10"/>
  <c r="H66" i="10"/>
  <c r="H65" i="10"/>
  <c r="H64" i="10"/>
  <c r="H62" i="10"/>
  <c r="H61" i="10"/>
  <c r="H60" i="10"/>
  <c r="H59" i="10"/>
  <c r="H56" i="10"/>
  <c r="H54" i="10"/>
  <c r="H52" i="10"/>
  <c r="K80" i="10" l="1"/>
  <c r="J80" i="10"/>
  <c r="I104" i="10"/>
  <c r="K105" i="10"/>
  <c r="D49" i="14"/>
  <c r="F49" i="14"/>
  <c r="E39" i="14"/>
  <c r="H39" i="14" s="1"/>
  <c r="C49" i="14"/>
  <c r="E41" i="14"/>
  <c r="H41" i="14" s="1"/>
  <c r="C50" i="14"/>
  <c r="C47" i="14"/>
  <c r="C46" i="14"/>
  <c r="C43" i="14"/>
  <c r="C42" i="14"/>
  <c r="G42" i="14"/>
  <c r="C41" i="14"/>
  <c r="C40" i="14"/>
  <c r="C39" i="14"/>
  <c r="C38" i="14"/>
  <c r="C37" i="14"/>
  <c r="C35" i="14"/>
  <c r="C36" i="14"/>
  <c r="C34" i="14"/>
  <c r="C33" i="14"/>
  <c r="C32" i="14"/>
  <c r="G56" i="14"/>
  <c r="E56" i="14"/>
  <c r="H56" i="14" s="1"/>
  <c r="H55" i="14"/>
  <c r="G55" i="14"/>
  <c r="E55" i="14"/>
  <c r="G54" i="14"/>
  <c r="E54" i="14"/>
  <c r="H54" i="14" s="1"/>
  <c r="G53" i="14"/>
  <c r="E53" i="14"/>
  <c r="H53" i="14" s="1"/>
  <c r="G52" i="14"/>
  <c r="E52" i="14"/>
  <c r="H52" i="14" s="1"/>
  <c r="E51" i="14"/>
  <c r="H51" i="14" s="1"/>
  <c r="G51" i="14"/>
  <c r="E50" i="14"/>
  <c r="H50" i="14" s="1"/>
  <c r="G50" i="14"/>
  <c r="E49" i="14"/>
  <c r="G48" i="14"/>
  <c r="E48" i="14"/>
  <c r="H48" i="14" s="1"/>
  <c r="E47" i="14"/>
  <c r="H47" i="14" s="1"/>
  <c r="G47" i="14"/>
  <c r="E46" i="14"/>
  <c r="H46" i="14" s="1"/>
  <c r="G45" i="14"/>
  <c r="E45" i="14"/>
  <c r="H45" i="14" s="1"/>
  <c r="G44" i="14"/>
  <c r="E44" i="14"/>
  <c r="H44" i="14" s="1"/>
  <c r="E43" i="14"/>
  <c r="H43" i="14" s="1"/>
  <c r="E42" i="14"/>
  <c r="H42" i="14" s="1"/>
  <c r="G43" i="14"/>
  <c r="G41" i="14"/>
  <c r="G40" i="14"/>
  <c r="E40" i="14"/>
  <c r="H40" i="14" s="1"/>
  <c r="G39" i="14"/>
  <c r="G38" i="14"/>
  <c r="E38" i="14"/>
  <c r="H38" i="14" s="1"/>
  <c r="G37" i="14"/>
  <c r="E37" i="14"/>
  <c r="H37" i="14" s="1"/>
  <c r="G36" i="14"/>
  <c r="E36" i="14"/>
  <c r="H36" i="14" s="1"/>
  <c r="G35" i="14"/>
  <c r="E35" i="14"/>
  <c r="H35" i="14" s="1"/>
  <c r="G34" i="14"/>
  <c r="E34" i="14"/>
  <c r="H34" i="14" s="1"/>
  <c r="G33" i="14"/>
  <c r="E33" i="14"/>
  <c r="H33" i="14" s="1"/>
  <c r="G32" i="14"/>
  <c r="E32" i="14"/>
  <c r="H32" i="14" s="1"/>
  <c r="K104" i="10" l="1"/>
  <c r="G46" i="14"/>
  <c r="G49" i="14" l="1"/>
  <c r="H49" i="14"/>
  <c r="K22" i="9"/>
  <c r="K25" i="9"/>
  <c r="L25" i="9"/>
  <c r="I25" i="9"/>
  <c r="V141" i="6" l="1"/>
  <c r="BA117" i="6"/>
  <c r="BA46" i="6"/>
  <c r="G34" i="15" l="1"/>
  <c r="G36" i="15"/>
  <c r="I36" i="15" s="1"/>
  <c r="G35" i="15"/>
  <c r="I35" i="15" s="1"/>
  <c r="I34" i="15"/>
  <c r="G29" i="15"/>
  <c r="G33" i="15"/>
  <c r="I33" i="15" s="1"/>
  <c r="G32" i="15"/>
  <c r="I32" i="15" s="1"/>
  <c r="G31" i="15"/>
  <c r="I31" i="15" s="1"/>
  <c r="G30" i="15"/>
  <c r="I30" i="15" s="1"/>
  <c r="I29" i="15"/>
  <c r="G28" i="15"/>
  <c r="I28" i="15" s="1"/>
  <c r="G27" i="15"/>
  <c r="I27" i="15" s="1"/>
  <c r="G26" i="15"/>
  <c r="I26" i="15" s="1"/>
  <c r="G25" i="15"/>
  <c r="I25" i="15" s="1"/>
  <c r="G24" i="15"/>
  <c r="I24" i="15" s="1"/>
  <c r="G17" i="15"/>
  <c r="I17" i="15" s="1"/>
  <c r="G15" i="15"/>
  <c r="I15" i="15" s="1"/>
  <c r="G13" i="15"/>
  <c r="I13" i="15"/>
  <c r="I8" i="15"/>
  <c r="G9" i="15"/>
  <c r="I9" i="15" s="1"/>
  <c r="G10" i="15"/>
  <c r="I10" i="15" s="1"/>
  <c r="G11" i="15"/>
  <c r="I11" i="15" s="1"/>
  <c r="G12" i="15"/>
  <c r="I12" i="15" s="1"/>
  <c r="G14" i="15"/>
  <c r="I14" i="15" s="1"/>
  <c r="G16" i="15"/>
  <c r="I16" i="15" s="1"/>
  <c r="G18" i="15"/>
  <c r="I18" i="15" s="1"/>
  <c r="G19" i="15"/>
  <c r="I19" i="15" s="1"/>
  <c r="G20" i="15"/>
  <c r="I20" i="15" s="1"/>
  <c r="G21" i="15"/>
  <c r="I21" i="15" s="1"/>
  <c r="G22" i="15"/>
  <c r="I22" i="15" s="1"/>
  <c r="G23" i="15"/>
  <c r="I23" i="15" s="1"/>
  <c r="G8" i="15"/>
  <c r="G7" i="14"/>
  <c r="H7" i="14"/>
  <c r="G8" i="14"/>
  <c r="H8" i="14"/>
  <c r="G9" i="14"/>
  <c r="H9" i="14"/>
  <c r="G10" i="14"/>
  <c r="H10" i="14"/>
  <c r="G11" i="14"/>
  <c r="H11" i="14"/>
  <c r="G12" i="14"/>
  <c r="H12" i="14"/>
  <c r="G13" i="14"/>
  <c r="H13" i="14"/>
  <c r="G14" i="14"/>
  <c r="H14" i="14"/>
  <c r="G15" i="14"/>
  <c r="H15" i="14"/>
  <c r="G16" i="14"/>
  <c r="H16" i="14"/>
  <c r="G17" i="14"/>
  <c r="H17" i="14"/>
  <c r="G18" i="14"/>
  <c r="H18" i="14"/>
  <c r="G19" i="14"/>
  <c r="H19" i="14"/>
  <c r="G20" i="14"/>
  <c r="H20" i="14"/>
  <c r="G21" i="14"/>
  <c r="H21" i="14"/>
  <c r="G22" i="14"/>
  <c r="H22" i="14"/>
  <c r="G23" i="14"/>
  <c r="H23" i="14"/>
  <c r="G24" i="14"/>
  <c r="H24" i="14"/>
  <c r="G25" i="14"/>
  <c r="H25" i="14"/>
  <c r="G26" i="14"/>
  <c r="H26" i="14"/>
  <c r="G27" i="14"/>
  <c r="H27" i="14"/>
  <c r="G28" i="14"/>
  <c r="H28" i="14"/>
  <c r="G29" i="14"/>
  <c r="H29" i="14"/>
  <c r="G30" i="14"/>
  <c r="H30" i="14"/>
  <c r="H6" i="14"/>
  <c r="G6" i="14"/>
  <c r="C25" i="14"/>
  <c r="C23" i="14"/>
  <c r="C24" i="14"/>
  <c r="C21" i="14"/>
  <c r="C20" i="14"/>
  <c r="C17" i="14"/>
  <c r="E17" i="14"/>
  <c r="C18" i="14"/>
  <c r="C16" i="14"/>
  <c r="C15" i="14"/>
  <c r="C14" i="14"/>
  <c r="C13" i="14"/>
  <c r="C12" i="14"/>
  <c r="C11" i="14"/>
  <c r="C10" i="14"/>
  <c r="C9" i="14"/>
  <c r="C8" i="14"/>
  <c r="C7" i="14"/>
  <c r="C6" i="14"/>
  <c r="E7" i="14"/>
  <c r="E8" i="14"/>
  <c r="E9" i="14"/>
  <c r="E10" i="14"/>
  <c r="E11" i="14"/>
  <c r="E12" i="14"/>
  <c r="E13" i="14"/>
  <c r="E14" i="14"/>
  <c r="E15" i="14"/>
  <c r="E16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6" i="14"/>
  <c r="F23" i="14"/>
  <c r="F20" i="14"/>
  <c r="D23" i="14"/>
  <c r="D20" i="14"/>
  <c r="K15" i="13"/>
  <c r="L15" i="13"/>
  <c r="K16" i="13"/>
  <c r="L16" i="13"/>
  <c r="K17" i="13"/>
  <c r="L17" i="13"/>
  <c r="I10" i="13"/>
  <c r="I11" i="13"/>
  <c r="I12" i="13"/>
  <c r="I13" i="13"/>
  <c r="I14" i="13"/>
  <c r="I15" i="13"/>
  <c r="I16" i="13"/>
  <c r="I17" i="13"/>
  <c r="I9" i="13"/>
  <c r="F9" i="12"/>
  <c r="F6" i="12" s="1"/>
  <c r="C9" i="12"/>
  <c r="G9" i="12" s="1"/>
  <c r="E8" i="12"/>
  <c r="H8" i="12" s="1"/>
  <c r="E9" i="12"/>
  <c r="D8" i="12"/>
  <c r="C8" i="12"/>
  <c r="G8" i="12" s="1"/>
  <c r="H7" i="12"/>
  <c r="E7" i="12"/>
  <c r="D7" i="12"/>
  <c r="D6" i="12" s="1"/>
  <c r="C7" i="12"/>
  <c r="G7" i="12" s="1"/>
  <c r="J24" i="9"/>
  <c r="H22" i="9"/>
  <c r="I22" i="9" s="1"/>
  <c r="L22" i="9" s="1"/>
  <c r="I11" i="9"/>
  <c r="L162" i="1"/>
  <c r="J162" i="1"/>
  <c r="H162" i="1"/>
  <c r="K24" i="9" l="1"/>
  <c r="E6" i="12"/>
  <c r="H6" i="12" s="1"/>
  <c r="C6" i="12"/>
  <c r="G6" i="12" s="1"/>
  <c r="H9" i="12"/>
  <c r="BC134" i="6"/>
  <c r="BC135" i="6" s="1"/>
  <c r="M217" i="6"/>
  <c r="BB217" i="6" s="1"/>
  <c r="AY30" i="6"/>
  <c r="BA31" i="1" s="1"/>
  <c r="BA33" i="1" s="1"/>
  <c r="BA141" i="6"/>
  <c r="BA143" i="6"/>
  <c r="BA124" i="6"/>
  <c r="BA123" i="6"/>
  <c r="BA119" i="6"/>
  <c r="BA104" i="6"/>
  <c r="BA94" i="6"/>
  <c r="BA74" i="6"/>
  <c r="BA61" i="6"/>
  <c r="BA56" i="6"/>
  <c r="BA55" i="6"/>
  <c r="BA43" i="6"/>
  <c r="U148" i="6"/>
  <c r="T148" i="6"/>
  <c r="AA141" i="6"/>
  <c r="T141" i="1" s="1"/>
  <c r="AA189" i="6"/>
  <c r="T189" i="1" s="1"/>
  <c r="H189" i="6"/>
  <c r="N196" i="6"/>
  <c r="N204" i="6"/>
  <c r="Z74" i="1"/>
  <c r="Z75" i="1" s="1"/>
  <c r="T201" i="1"/>
  <c r="T200" i="1"/>
  <c r="T198" i="1"/>
  <c r="T195" i="1"/>
  <c r="T193" i="1"/>
  <c r="T192" i="1"/>
  <c r="T190" i="1"/>
  <c r="T187" i="1"/>
  <c r="T186" i="1"/>
  <c r="T184" i="1"/>
  <c r="T180" i="1"/>
  <c r="T182" i="1"/>
  <c r="AD203" i="1"/>
  <c r="AD201" i="1"/>
  <c r="AD200" i="1"/>
  <c r="AD198" i="1"/>
  <c r="AD195" i="1"/>
  <c r="AD193" i="1"/>
  <c r="AD192" i="1"/>
  <c r="AD190" i="1"/>
  <c r="AD187" i="1"/>
  <c r="AD186" i="1"/>
  <c r="AD184" i="1"/>
  <c r="AD182" i="1"/>
  <c r="AD180" i="1"/>
  <c r="AD178" i="1"/>
  <c r="AD174" i="1"/>
  <c r="AD173" i="1"/>
  <c r="AH201" i="1"/>
  <c r="AH200" i="1"/>
  <c r="AH198" i="1"/>
  <c r="AH195" i="1"/>
  <c r="AH193" i="1"/>
  <c r="AH192" i="1"/>
  <c r="AH190" i="1"/>
  <c r="AH187" i="1"/>
  <c r="AH186" i="1"/>
  <c r="AH184" i="1"/>
  <c r="AH182" i="1"/>
  <c r="AH181" i="1"/>
  <c r="AH180" i="1"/>
  <c r="AL182" i="1"/>
  <c r="AL181" i="1"/>
  <c r="AL180" i="1"/>
  <c r="AP190" i="1"/>
  <c r="AP189" i="1"/>
  <c r="AP187" i="1"/>
  <c r="AP186" i="1"/>
  <c r="AP184" i="1"/>
  <c r="AP182" i="1"/>
  <c r="AP181" i="1"/>
  <c r="AP180" i="1"/>
  <c r="AP178" i="1"/>
  <c r="AP174" i="1"/>
  <c r="AP173" i="1"/>
  <c r="T171" i="1"/>
  <c r="T170" i="1"/>
  <c r="T168" i="1"/>
  <c r="T166" i="1"/>
  <c r="T164" i="1"/>
  <c r="T161" i="1"/>
  <c r="T162" i="1" s="1"/>
  <c r="T159" i="1"/>
  <c r="T158" i="1"/>
  <c r="T157" i="1"/>
  <c r="T156" i="1"/>
  <c r="T154" i="1"/>
  <c r="T153" i="1"/>
  <c r="Z171" i="1"/>
  <c r="Z170" i="1"/>
  <c r="Z168" i="1"/>
  <c r="Z166" i="1"/>
  <c r="Z164" i="1"/>
  <c r="Z161" i="1"/>
  <c r="Z159" i="1"/>
  <c r="Z158" i="1"/>
  <c r="Z157" i="1"/>
  <c r="Z156" i="1"/>
  <c r="Z154" i="1"/>
  <c r="Z153" i="1"/>
  <c r="Z151" i="1"/>
  <c r="AD171" i="1"/>
  <c r="AD170" i="1"/>
  <c r="AD166" i="1"/>
  <c r="AD164" i="1"/>
  <c r="AD161" i="1"/>
  <c r="AD159" i="1"/>
  <c r="AD158" i="1"/>
  <c r="AD157" i="1"/>
  <c r="AD156" i="1"/>
  <c r="AD154" i="1"/>
  <c r="AD153" i="1"/>
  <c r="AD151" i="1"/>
  <c r="AH171" i="1"/>
  <c r="AH170" i="1"/>
  <c r="AH161" i="1"/>
  <c r="AH159" i="1"/>
  <c r="AH158" i="1"/>
  <c r="AH157" i="1"/>
  <c r="AH156" i="1"/>
  <c r="AH154" i="1"/>
  <c r="AH153" i="1"/>
  <c r="AH151" i="1"/>
  <c r="AL171" i="1"/>
  <c r="AL170" i="1"/>
  <c r="AL168" i="1"/>
  <c r="AL166" i="1"/>
  <c r="AL164" i="1"/>
  <c r="AL161" i="1"/>
  <c r="AL159" i="1"/>
  <c r="AL158" i="1"/>
  <c r="AL157" i="1"/>
  <c r="AL156" i="1"/>
  <c r="AL154" i="1"/>
  <c r="AL153" i="1"/>
  <c r="AL151" i="1"/>
  <c r="AP171" i="1"/>
  <c r="AP170" i="1"/>
  <c r="AP168" i="1"/>
  <c r="AP166" i="1"/>
  <c r="AP164" i="1"/>
  <c r="AP158" i="1"/>
  <c r="AP159" i="1"/>
  <c r="AP156" i="1"/>
  <c r="AP154" i="1"/>
  <c r="AT171" i="1"/>
  <c r="AT170" i="1"/>
  <c r="AT168" i="1"/>
  <c r="AT164" i="1"/>
  <c r="AT159" i="1"/>
  <c r="AT158" i="1"/>
  <c r="AT157" i="1"/>
  <c r="AT156" i="1"/>
  <c r="AT154" i="1"/>
  <c r="AT153" i="1"/>
  <c r="AT151" i="1"/>
  <c r="AT143" i="1"/>
  <c r="AT142" i="1"/>
  <c r="AT141" i="1"/>
  <c r="AT140" i="1"/>
  <c r="T148" i="1"/>
  <c r="T147" i="1"/>
  <c r="T145" i="1"/>
  <c r="T143" i="1"/>
  <c r="T142" i="1"/>
  <c r="T140" i="1"/>
  <c r="T138" i="1"/>
  <c r="T136" i="1"/>
  <c r="T137" i="1" s="1"/>
  <c r="T134" i="1"/>
  <c r="T132" i="1"/>
  <c r="T131" i="1"/>
  <c r="T127" i="1"/>
  <c r="T126" i="1"/>
  <c r="T125" i="1"/>
  <c r="T124" i="1"/>
  <c r="T123" i="1"/>
  <c r="T120" i="1"/>
  <c r="T119" i="1"/>
  <c r="T118" i="1"/>
  <c r="Z147" i="1"/>
  <c r="Z145" i="1"/>
  <c r="Z143" i="1"/>
  <c r="Z142" i="1"/>
  <c r="Z141" i="1"/>
  <c r="Z140" i="1"/>
  <c r="Z138" i="1"/>
  <c r="Z136" i="1"/>
  <c r="Z137" i="1" s="1"/>
  <c r="Z134" i="1"/>
  <c r="Z132" i="1"/>
  <c r="Z131" i="1"/>
  <c r="Z128" i="1"/>
  <c r="Z127" i="1"/>
  <c r="Z126" i="1"/>
  <c r="Z125" i="1"/>
  <c r="Z124" i="1"/>
  <c r="Z123" i="1"/>
  <c r="Z122" i="1"/>
  <c r="AD147" i="1"/>
  <c r="AD145" i="1"/>
  <c r="AD143" i="1"/>
  <c r="AD142" i="1"/>
  <c r="AD141" i="1"/>
  <c r="AD140" i="1"/>
  <c r="AD138" i="1"/>
  <c r="AD136" i="1"/>
  <c r="AD134" i="1"/>
  <c r="AD132" i="1"/>
  <c r="AD131" i="1"/>
  <c r="AD127" i="1"/>
  <c r="AD126" i="1"/>
  <c r="AD125" i="1"/>
  <c r="AD124" i="1"/>
  <c r="AD123" i="1"/>
  <c r="AD120" i="1"/>
  <c r="AD119" i="1"/>
  <c r="AD118" i="1"/>
  <c r="AH147" i="1"/>
  <c r="AH145" i="1"/>
  <c r="AH143" i="1"/>
  <c r="AH142" i="1"/>
  <c r="AH141" i="1"/>
  <c r="AH140" i="1"/>
  <c r="AH138" i="1"/>
  <c r="AH134" i="1"/>
  <c r="AH132" i="1"/>
  <c r="AH131" i="1"/>
  <c r="AL147" i="1"/>
  <c r="AL145" i="1"/>
  <c r="AL143" i="1"/>
  <c r="AL142" i="1"/>
  <c r="AL141" i="1"/>
  <c r="AL140" i="1"/>
  <c r="AL134" i="1"/>
  <c r="AL136" i="1"/>
  <c r="AL132" i="1"/>
  <c r="AL131" i="1"/>
  <c r="AP147" i="1"/>
  <c r="AP145" i="1"/>
  <c r="AP143" i="1"/>
  <c r="AP142" i="1"/>
  <c r="AP141" i="1"/>
  <c r="AP140" i="1"/>
  <c r="AP132" i="1"/>
  <c r="AP131" i="1"/>
  <c r="AP123" i="1"/>
  <c r="AP124" i="1"/>
  <c r="AP125" i="1"/>
  <c r="AP126" i="1"/>
  <c r="AP127" i="1"/>
  <c r="AP128" i="1"/>
  <c r="AL128" i="1"/>
  <c r="AL127" i="1"/>
  <c r="AL126" i="1"/>
  <c r="AL125" i="1"/>
  <c r="AL124" i="1"/>
  <c r="AL123" i="1"/>
  <c r="AL122" i="1"/>
  <c r="AH123" i="1"/>
  <c r="AH124" i="1"/>
  <c r="AH125" i="1"/>
  <c r="AH126" i="1"/>
  <c r="AH127" i="1"/>
  <c r="AH128" i="1"/>
  <c r="AH98" i="1"/>
  <c r="AH99" i="1"/>
  <c r="AH100" i="1"/>
  <c r="Z120" i="1"/>
  <c r="Z119" i="1"/>
  <c r="Z118" i="1"/>
  <c r="Z116" i="1"/>
  <c r="Z115" i="1"/>
  <c r="Z114" i="1"/>
  <c r="Z113" i="1"/>
  <c r="Z111" i="1"/>
  <c r="Z110" i="1"/>
  <c r="Z108" i="1"/>
  <c r="Z107" i="1"/>
  <c r="Z105" i="1"/>
  <c r="Z104" i="1"/>
  <c r="Z103" i="1"/>
  <c r="Z102" i="1"/>
  <c r="Z100" i="1"/>
  <c r="Z99" i="1"/>
  <c r="Z98" i="1"/>
  <c r="Z97" i="1"/>
  <c r="T100" i="1"/>
  <c r="AD116" i="1"/>
  <c r="AD115" i="1"/>
  <c r="AD114" i="1"/>
  <c r="AD113" i="1"/>
  <c r="AD111" i="1"/>
  <c r="AD110" i="1"/>
  <c r="AD108" i="1"/>
  <c r="AD107" i="1"/>
  <c r="AD105" i="1"/>
  <c r="AD104" i="1"/>
  <c r="AD103" i="1"/>
  <c r="AD102" i="1"/>
  <c r="AD99" i="1"/>
  <c r="AD100" i="1"/>
  <c r="Z95" i="1"/>
  <c r="Z94" i="1"/>
  <c r="Z93" i="1"/>
  <c r="J111" i="1"/>
  <c r="J110" i="1"/>
  <c r="J108" i="1"/>
  <c r="J107" i="1"/>
  <c r="J105" i="1"/>
  <c r="J104" i="1"/>
  <c r="J103" i="1"/>
  <c r="J102" i="1"/>
  <c r="J100" i="1"/>
  <c r="J99" i="1"/>
  <c r="J98" i="1"/>
  <c r="J97" i="1"/>
  <c r="J95" i="1"/>
  <c r="J94" i="1"/>
  <c r="J93" i="1"/>
  <c r="J91" i="1"/>
  <c r="J90" i="1"/>
  <c r="J89" i="1"/>
  <c r="J88" i="1"/>
  <c r="T116" i="1"/>
  <c r="T115" i="1"/>
  <c r="T114" i="1"/>
  <c r="T113" i="1"/>
  <c r="T111" i="1"/>
  <c r="T110" i="1"/>
  <c r="T108" i="1"/>
  <c r="T107" i="1"/>
  <c r="T105" i="1"/>
  <c r="T104" i="1"/>
  <c r="T103" i="1"/>
  <c r="T102" i="1"/>
  <c r="T99" i="1"/>
  <c r="T95" i="1"/>
  <c r="T93" i="1"/>
  <c r="AH120" i="1"/>
  <c r="AH119" i="1"/>
  <c r="AH118" i="1"/>
  <c r="AH115" i="1"/>
  <c r="AH114" i="1"/>
  <c r="AH113" i="1"/>
  <c r="AH111" i="1"/>
  <c r="AH110" i="1"/>
  <c r="AH108" i="1"/>
  <c r="AH107" i="1"/>
  <c r="AH104" i="1"/>
  <c r="AH105" i="1"/>
  <c r="AH103" i="1"/>
  <c r="AH102" i="1"/>
  <c r="AH95" i="1"/>
  <c r="AH94" i="1"/>
  <c r="AH93" i="1"/>
  <c r="AH90" i="1"/>
  <c r="AL119" i="1"/>
  <c r="AL120" i="1"/>
  <c r="AL118" i="1"/>
  <c r="AL116" i="1"/>
  <c r="AL115" i="1"/>
  <c r="AL114" i="1"/>
  <c r="AL113" i="1"/>
  <c r="AL111" i="1"/>
  <c r="AL110" i="1"/>
  <c r="AL108" i="1"/>
  <c r="AL107" i="1"/>
  <c r="AL105" i="1"/>
  <c r="AL104" i="1"/>
  <c r="AL103" i="1"/>
  <c r="AL102" i="1"/>
  <c r="AL100" i="1"/>
  <c r="AL99" i="1"/>
  <c r="AL98" i="1"/>
  <c r="AL97" i="1"/>
  <c r="AL95" i="1"/>
  <c r="AL94" i="1"/>
  <c r="AL93" i="1"/>
  <c r="AP120" i="1"/>
  <c r="AP119" i="1"/>
  <c r="AP118" i="1"/>
  <c r="AP116" i="1"/>
  <c r="AP115" i="1"/>
  <c r="AP114" i="1"/>
  <c r="AP113" i="1"/>
  <c r="AP111" i="1"/>
  <c r="AP110" i="1"/>
  <c r="AP108" i="1"/>
  <c r="AP107" i="1"/>
  <c r="AP105" i="1"/>
  <c r="AP104" i="1"/>
  <c r="AP102" i="1"/>
  <c r="AP100" i="1"/>
  <c r="AP99" i="1"/>
  <c r="AP98" i="1"/>
  <c r="AP97" i="1"/>
  <c r="AP95" i="1"/>
  <c r="AP93" i="1"/>
  <c r="T91" i="1"/>
  <c r="T90" i="1"/>
  <c r="T89" i="1"/>
  <c r="T88" i="1"/>
  <c r="Z91" i="1"/>
  <c r="Z90" i="1"/>
  <c r="Z89" i="1"/>
  <c r="Z88" i="1"/>
  <c r="AD91" i="1"/>
  <c r="AD90" i="1"/>
  <c r="AD89" i="1"/>
  <c r="AD88" i="1"/>
  <c r="AH88" i="1"/>
  <c r="AL90" i="1"/>
  <c r="AL89" i="1"/>
  <c r="AL88" i="1"/>
  <c r="AP91" i="1"/>
  <c r="T81" i="1"/>
  <c r="T80" i="1"/>
  <c r="Z81" i="1"/>
  <c r="Z80" i="1"/>
  <c r="AH80" i="1"/>
  <c r="AL81" i="1"/>
  <c r="AL80" i="1"/>
  <c r="AP80" i="1"/>
  <c r="J78" i="1"/>
  <c r="J77" i="1"/>
  <c r="J76" i="1"/>
  <c r="T78" i="1"/>
  <c r="T77" i="1"/>
  <c r="T76" i="1"/>
  <c r="T74" i="1"/>
  <c r="T73" i="1"/>
  <c r="Z78" i="1"/>
  <c r="Z77" i="1"/>
  <c r="Z76" i="1"/>
  <c r="AD78" i="1"/>
  <c r="AD77" i="1"/>
  <c r="AD76" i="1"/>
  <c r="AH78" i="1"/>
  <c r="AH77" i="1"/>
  <c r="AH76" i="1"/>
  <c r="AL78" i="1"/>
  <c r="AL77" i="1"/>
  <c r="AL76" i="1"/>
  <c r="AP78" i="1"/>
  <c r="AP76" i="1"/>
  <c r="T68" i="1"/>
  <c r="T69" i="1"/>
  <c r="T70" i="1"/>
  <c r="T71" i="1"/>
  <c r="T67" i="1"/>
  <c r="AL71" i="1"/>
  <c r="AL70" i="1"/>
  <c r="AL69" i="1"/>
  <c r="AL68" i="1"/>
  <c r="AL67" i="1"/>
  <c r="Z68" i="1"/>
  <c r="Z69" i="1"/>
  <c r="Z70" i="1"/>
  <c r="Z71" i="1"/>
  <c r="AH68" i="1"/>
  <c r="AH69" i="1"/>
  <c r="AH70" i="1"/>
  <c r="AH71" i="1"/>
  <c r="AP68" i="1"/>
  <c r="AP69" i="1"/>
  <c r="G54" i="1"/>
  <c r="K54" i="1"/>
  <c r="Q54" i="1"/>
  <c r="U54" i="1"/>
  <c r="AA54" i="1"/>
  <c r="AE54" i="1"/>
  <c r="AI54" i="1"/>
  <c r="AM54" i="1"/>
  <c r="AQ54" i="1"/>
  <c r="AU54" i="1"/>
  <c r="BB32" i="1"/>
  <c r="BB204" i="1"/>
  <c r="BA204" i="1"/>
  <c r="BB202" i="1"/>
  <c r="BA202" i="1"/>
  <c r="BB199" i="1"/>
  <c r="BA199" i="1"/>
  <c r="BB196" i="1"/>
  <c r="BA196" i="1"/>
  <c r="BB194" i="1"/>
  <c r="BA194" i="1"/>
  <c r="BB191" i="1"/>
  <c r="BA191" i="1"/>
  <c r="BB188" i="1"/>
  <c r="BA188" i="1"/>
  <c r="BB185" i="1"/>
  <c r="BA185" i="1"/>
  <c r="BB183" i="1"/>
  <c r="BA183" i="1"/>
  <c r="BB175" i="1"/>
  <c r="BA175" i="1"/>
  <c r="BB172" i="1"/>
  <c r="BA172" i="1"/>
  <c r="BB169" i="1"/>
  <c r="BA169" i="1"/>
  <c r="BB167" i="1"/>
  <c r="BA167" i="1"/>
  <c r="BB165" i="1"/>
  <c r="BA165" i="1"/>
  <c r="BB162" i="1"/>
  <c r="BA162" i="1"/>
  <c r="BB160" i="1"/>
  <c r="BA160" i="1"/>
  <c r="BB155" i="1"/>
  <c r="BA155" i="1"/>
  <c r="BA163" i="1" s="1"/>
  <c r="BB149" i="1"/>
  <c r="BA149" i="1"/>
  <c r="BB146" i="1"/>
  <c r="BA146" i="1"/>
  <c r="BB144" i="1"/>
  <c r="BA144" i="1"/>
  <c r="BB139" i="1"/>
  <c r="BA139" i="1"/>
  <c r="BB137" i="1"/>
  <c r="BA137" i="1"/>
  <c r="BB135" i="1"/>
  <c r="BA135" i="1"/>
  <c r="BB133" i="1"/>
  <c r="BA133" i="1"/>
  <c r="BB129" i="1"/>
  <c r="BA129" i="1"/>
  <c r="BB121" i="1"/>
  <c r="BA121" i="1"/>
  <c r="BB117" i="1"/>
  <c r="BA117" i="1"/>
  <c r="BB112" i="1"/>
  <c r="BA112" i="1"/>
  <c r="BB109" i="1"/>
  <c r="BA109" i="1"/>
  <c r="BB106" i="1"/>
  <c r="BA106" i="1"/>
  <c r="BB101" i="1"/>
  <c r="BA101" i="1"/>
  <c r="BB96" i="1"/>
  <c r="BA96" i="1"/>
  <c r="BB92" i="1"/>
  <c r="BA92" i="1"/>
  <c r="BB86" i="1"/>
  <c r="BA86" i="1"/>
  <c r="BB84" i="1"/>
  <c r="BA84" i="1"/>
  <c r="BB82" i="1"/>
  <c r="BA82" i="1"/>
  <c r="BB79" i="1"/>
  <c r="BA79" i="1"/>
  <c r="BB75" i="1"/>
  <c r="BA75" i="1"/>
  <c r="BB72" i="1"/>
  <c r="BA72" i="1"/>
  <c r="BB65" i="1"/>
  <c r="BA65" i="1"/>
  <c r="BB62" i="1"/>
  <c r="BA62" i="1"/>
  <c r="BA59" i="1"/>
  <c r="BB58" i="1"/>
  <c r="BB59" i="1" s="1"/>
  <c r="BB57" i="1"/>
  <c r="BA57" i="1"/>
  <c r="BB47" i="1"/>
  <c r="BB50" i="1" s="1"/>
  <c r="BB46" i="1"/>
  <c r="BA39" i="1"/>
  <c r="BA38" i="1"/>
  <c r="BB37" i="1"/>
  <c r="BB40" i="1" s="1"/>
  <c r="BA37" i="1"/>
  <c r="BA34" i="1"/>
  <c r="BB28" i="1"/>
  <c r="BA27" i="1"/>
  <c r="BA28" i="1" s="1"/>
  <c r="BA24" i="1"/>
  <c r="BB23" i="1"/>
  <c r="BB26" i="1" s="1"/>
  <c r="BA23" i="1"/>
  <c r="BB22" i="1"/>
  <c r="BA21" i="1"/>
  <c r="BA22" i="1" s="1"/>
  <c r="BB20" i="1"/>
  <c r="BA19" i="1"/>
  <c r="BA20" i="1" s="1"/>
  <c r="BB18" i="1"/>
  <c r="BA17" i="1"/>
  <c r="BA18" i="1" s="1"/>
  <c r="BB16" i="1"/>
  <c r="BA15" i="1"/>
  <c r="BA14" i="1"/>
  <c r="BA13" i="1"/>
  <c r="BB12" i="1"/>
  <c r="BA11" i="1"/>
  <c r="BA10" i="1"/>
  <c r="BA9" i="1"/>
  <c r="AU32" i="1"/>
  <c r="AQ32" i="1"/>
  <c r="AM32" i="1"/>
  <c r="AI32" i="1"/>
  <c r="AD32" i="1"/>
  <c r="BD32" i="1" s="1"/>
  <c r="E32" i="1" s="1"/>
  <c r="AA32" i="1"/>
  <c r="U32" i="1"/>
  <c r="Q32" i="1"/>
  <c r="K32" i="1"/>
  <c r="F32" i="1"/>
  <c r="N12" i="6"/>
  <c r="Q12" i="6"/>
  <c r="AZ30" i="6"/>
  <c r="BC30" i="6" s="1"/>
  <c r="BC31" i="6"/>
  <c r="BC26" i="6"/>
  <c r="AY32" i="6"/>
  <c r="AZ204" i="6"/>
  <c r="AZ205" i="6" s="1"/>
  <c r="AY204" i="6"/>
  <c r="AY202" i="6"/>
  <c r="AY199" i="6"/>
  <c r="AZ196" i="6"/>
  <c r="AY196" i="6"/>
  <c r="AZ194" i="6"/>
  <c r="AY194" i="6"/>
  <c r="AZ191" i="6"/>
  <c r="AY191" i="6"/>
  <c r="AZ188" i="6"/>
  <c r="AY188" i="6"/>
  <c r="AZ185" i="6"/>
  <c r="AY185" i="6"/>
  <c r="AZ183" i="6"/>
  <c r="AY183" i="6"/>
  <c r="AY175" i="6"/>
  <c r="AY172" i="6"/>
  <c r="AY169" i="6"/>
  <c r="AY167" i="6"/>
  <c r="AY165" i="6"/>
  <c r="AZ163" i="6"/>
  <c r="AZ162" i="6" s="1"/>
  <c r="AY162" i="6"/>
  <c r="AZ160" i="6"/>
  <c r="AY160" i="6"/>
  <c r="AZ155" i="6"/>
  <c r="AY155" i="6"/>
  <c r="AZ152" i="6"/>
  <c r="AY152" i="6"/>
  <c r="AY149" i="6"/>
  <c r="AZ146" i="6"/>
  <c r="AY146" i="6"/>
  <c r="AZ144" i="6"/>
  <c r="AY144" i="6"/>
  <c r="AZ139" i="6"/>
  <c r="AY139" i="6"/>
  <c r="AZ137" i="6"/>
  <c r="AY137" i="6"/>
  <c r="AZ135" i="6"/>
  <c r="AY135" i="6"/>
  <c r="AZ133" i="6"/>
  <c r="AY133" i="6"/>
  <c r="AZ129" i="6"/>
  <c r="AY129" i="6"/>
  <c r="AZ121" i="6"/>
  <c r="AY121" i="6"/>
  <c r="AZ117" i="6"/>
  <c r="AY117" i="6"/>
  <c r="AZ112" i="6"/>
  <c r="AY112" i="6"/>
  <c r="AZ109" i="6"/>
  <c r="AY109" i="6"/>
  <c r="AZ106" i="6"/>
  <c r="AY106" i="6"/>
  <c r="AZ101" i="6"/>
  <c r="AY101" i="6"/>
  <c r="AZ96" i="6"/>
  <c r="AY96" i="6"/>
  <c r="AZ92" i="6"/>
  <c r="AY92" i="6"/>
  <c r="AY86" i="6"/>
  <c r="AY84" i="6"/>
  <c r="AZ82" i="6"/>
  <c r="AY82" i="6"/>
  <c r="AZ79" i="6"/>
  <c r="AY79" i="6"/>
  <c r="AZ75" i="6"/>
  <c r="AY75" i="6"/>
  <c r="AZ72" i="6"/>
  <c r="AY72" i="6"/>
  <c r="AY65" i="6"/>
  <c r="AZ62" i="6"/>
  <c r="AY62" i="6"/>
  <c r="AZ59" i="6"/>
  <c r="AY59" i="6"/>
  <c r="AZ57" i="6"/>
  <c r="AY57" i="6"/>
  <c r="AZ50" i="6"/>
  <c r="AY50" i="6"/>
  <c r="AZ46" i="6"/>
  <c r="AY46" i="6"/>
  <c r="AZ40" i="6"/>
  <c r="AY40" i="6"/>
  <c r="AY27" i="6"/>
  <c r="AZ25" i="6"/>
  <c r="AY25" i="6"/>
  <c r="AZ21" i="6"/>
  <c r="AY21" i="6"/>
  <c r="AY19" i="6"/>
  <c r="AY17" i="6"/>
  <c r="AY15" i="6"/>
  <c r="AY11" i="6"/>
  <c r="AA23" i="6"/>
  <c r="X23" i="6"/>
  <c r="AM22" i="6"/>
  <c r="Z23" i="1" s="1"/>
  <c r="AA22" i="6"/>
  <c r="X22" i="6"/>
  <c r="E8" i="6"/>
  <c r="K8" i="6"/>
  <c r="X85" i="6"/>
  <c r="E198" i="6"/>
  <c r="AP198" i="6"/>
  <c r="Q189" i="6"/>
  <c r="K189" i="6"/>
  <c r="N189" i="6"/>
  <c r="H181" i="6"/>
  <c r="N181" i="6"/>
  <c r="N183" i="6" s="1"/>
  <c r="AA181" i="6"/>
  <c r="Q173" i="6"/>
  <c r="K173" i="6"/>
  <c r="N168" i="6"/>
  <c r="K166" i="6"/>
  <c r="Q166" i="6"/>
  <c r="Q164" i="6"/>
  <c r="K164" i="6"/>
  <c r="AA151" i="6"/>
  <c r="N148" i="6"/>
  <c r="AD148" i="1" s="1"/>
  <c r="Q148" i="6"/>
  <c r="AH148" i="1" s="1"/>
  <c r="AP148" i="6"/>
  <c r="X148" i="6"/>
  <c r="AM148" i="6"/>
  <c r="Z148" i="1" s="1"/>
  <c r="AP136" i="6"/>
  <c r="Q136" i="6"/>
  <c r="K136" i="6"/>
  <c r="H128" i="6"/>
  <c r="AA128" i="6"/>
  <c r="T128" i="1" s="1"/>
  <c r="N128" i="6"/>
  <c r="X128" i="6"/>
  <c r="X129" i="6" s="1"/>
  <c r="AP122" i="6"/>
  <c r="AA122" i="6"/>
  <c r="T122" i="1" s="1"/>
  <c r="Q122" i="6"/>
  <c r="N122" i="6"/>
  <c r="K122" i="6"/>
  <c r="H122" i="6"/>
  <c r="X116" i="6"/>
  <c r="Q116" i="6"/>
  <c r="K116" i="6"/>
  <c r="AP103" i="6"/>
  <c r="AP103" i="1" s="1"/>
  <c r="X103" i="6"/>
  <c r="X102" i="6"/>
  <c r="AA98" i="6"/>
  <c r="T98" i="1" s="1"/>
  <c r="N98" i="6"/>
  <c r="H98" i="6"/>
  <c r="H97" i="6"/>
  <c r="N97" i="6"/>
  <c r="AA97" i="6"/>
  <c r="T97" i="1" s="1"/>
  <c r="AP94" i="6"/>
  <c r="AA94" i="6"/>
  <c r="T94" i="1" s="1"/>
  <c r="X94" i="6"/>
  <c r="X91" i="6"/>
  <c r="U91" i="6"/>
  <c r="K91" i="6"/>
  <c r="Q91" i="6"/>
  <c r="AP90" i="6"/>
  <c r="X90" i="6"/>
  <c r="K89" i="6"/>
  <c r="Q89" i="6"/>
  <c r="X83" i="6"/>
  <c r="K81" i="6"/>
  <c r="Q81" i="6"/>
  <c r="AP81" i="6"/>
  <c r="AP81" i="1" s="1"/>
  <c r="X81" i="6"/>
  <c r="X77" i="6"/>
  <c r="AP77" i="6"/>
  <c r="X76" i="6"/>
  <c r="X71" i="6"/>
  <c r="AP71" i="6"/>
  <c r="AP71" i="1" s="1"/>
  <c r="X70" i="6"/>
  <c r="AP70" i="6"/>
  <c r="AP70" i="1" s="1"/>
  <c r="X69" i="6"/>
  <c r="X68" i="6"/>
  <c r="AP67" i="6"/>
  <c r="AP67" i="1" s="1"/>
  <c r="K67" i="6"/>
  <c r="Q67" i="6"/>
  <c r="X67" i="6"/>
  <c r="BB87" i="1" l="1"/>
  <c r="J14" i="13"/>
  <c r="I40" i="10"/>
  <c r="BB163" i="1"/>
  <c r="AZ28" i="6"/>
  <c r="AZ35" i="6" s="1"/>
  <c r="AZ208" i="6" s="1"/>
  <c r="AH91" i="1"/>
  <c r="T101" i="1"/>
  <c r="AH89" i="1"/>
  <c r="BC32" i="6"/>
  <c r="AH136" i="1"/>
  <c r="AH189" i="1"/>
  <c r="AY197" i="6"/>
  <c r="AY205" i="6" s="1"/>
  <c r="AD98" i="1"/>
  <c r="AH164" i="1"/>
  <c r="BB30" i="6"/>
  <c r="BB32" i="6" s="1"/>
  <c r="BA12" i="1"/>
  <c r="X72" i="6"/>
  <c r="BC94" i="6"/>
  <c r="AD122" i="1"/>
  <c r="T129" i="1"/>
  <c r="AD181" i="1"/>
  <c r="AD183" i="1" s="1"/>
  <c r="AZ51" i="6"/>
  <c r="AH106" i="1"/>
  <c r="AH116" i="1"/>
  <c r="AD128" i="1"/>
  <c r="AD189" i="1"/>
  <c r="AD191" i="1" s="1"/>
  <c r="T144" i="1"/>
  <c r="L14" i="13"/>
  <c r="J13" i="13"/>
  <c r="K14" i="13"/>
  <c r="AY150" i="6"/>
  <c r="AZ161" i="6"/>
  <c r="AZ32" i="6"/>
  <c r="AH79" i="1"/>
  <c r="AY28" i="6"/>
  <c r="AY35" i="6" s="1"/>
  <c r="AY208" i="6" s="1"/>
  <c r="AY66" i="6"/>
  <c r="BA26" i="1"/>
  <c r="BB66" i="1"/>
  <c r="AP94" i="1"/>
  <c r="N191" i="6"/>
  <c r="N197" i="6" s="1"/>
  <c r="N205" i="6" s="1"/>
  <c r="T96" i="1"/>
  <c r="BB31" i="1"/>
  <c r="BB33" i="1" s="1"/>
  <c r="AH92" i="1"/>
  <c r="BC141" i="6"/>
  <c r="BB29" i="1"/>
  <c r="BB130" i="1"/>
  <c r="BB176" i="1" s="1"/>
  <c r="BB206" i="1" s="1"/>
  <c r="BA16" i="1"/>
  <c r="BA130" i="1"/>
  <c r="BA197" i="1"/>
  <c r="BA205" i="1" s="1"/>
  <c r="BB197" i="1"/>
  <c r="BB205" i="1" s="1"/>
  <c r="BA87" i="1"/>
  <c r="BB150" i="1"/>
  <c r="BA150" i="1"/>
  <c r="BB51" i="1"/>
  <c r="AY130" i="6"/>
  <c r="AY163" i="6"/>
  <c r="AY87" i="6"/>
  <c r="AZ130" i="6"/>
  <c r="AZ66" i="6"/>
  <c r="AY51" i="6"/>
  <c r="AZ87" i="6"/>
  <c r="Q60" i="6"/>
  <c r="X60" i="6"/>
  <c r="K60" i="6"/>
  <c r="K58" i="6"/>
  <c r="Q58" i="6"/>
  <c r="X58" i="6"/>
  <c r="K56" i="6"/>
  <c r="Q56" i="6"/>
  <c r="AM56" i="6"/>
  <c r="Z56" i="1" s="1"/>
  <c r="X56" i="6"/>
  <c r="P56" i="1" s="1"/>
  <c r="U56" i="6"/>
  <c r="AL56" i="1" s="1"/>
  <c r="AM54" i="6"/>
  <c r="Z54" i="1" s="1"/>
  <c r="U54" i="6"/>
  <c r="AL54" i="1" s="1"/>
  <c r="K54" i="6"/>
  <c r="AH54" i="1" s="1"/>
  <c r="Q54" i="6"/>
  <c r="E54" i="6"/>
  <c r="J54" i="1" s="1"/>
  <c r="X54" i="6"/>
  <c r="P54" i="1" s="1"/>
  <c r="AM52" i="6"/>
  <c r="X53" i="6"/>
  <c r="U53" i="6"/>
  <c r="AL53" i="1" s="1"/>
  <c r="Q53" i="6"/>
  <c r="K53" i="6"/>
  <c r="E52" i="6"/>
  <c r="J52" i="1" s="1"/>
  <c r="U52" i="6"/>
  <c r="K52" i="6"/>
  <c r="Q52" i="6"/>
  <c r="X52" i="6"/>
  <c r="Q47" i="6"/>
  <c r="K47" i="6"/>
  <c r="E47" i="6"/>
  <c r="Q39" i="6"/>
  <c r="K39" i="6"/>
  <c r="E39" i="6"/>
  <c r="K37" i="6"/>
  <c r="Q37" i="6"/>
  <c r="H37" i="6"/>
  <c r="E37" i="6"/>
  <c r="E47" i="11"/>
  <c r="C30" i="11"/>
  <c r="D30" i="11"/>
  <c r="B30" i="11"/>
  <c r="C33" i="11"/>
  <c r="D33" i="11"/>
  <c r="E33" i="11"/>
  <c r="B33" i="11"/>
  <c r="C45" i="11"/>
  <c r="D45" i="11"/>
  <c r="E45" i="11"/>
  <c r="F45" i="11" s="1"/>
  <c r="B45" i="11"/>
  <c r="F38" i="11"/>
  <c r="G38" i="11"/>
  <c r="C38" i="11"/>
  <c r="D38" i="11"/>
  <c r="E38" i="11"/>
  <c r="B38" i="11"/>
  <c r="C34" i="11"/>
  <c r="D34" i="11"/>
  <c r="E34" i="11"/>
  <c r="B34" i="11"/>
  <c r="D43" i="11"/>
  <c r="C55" i="11"/>
  <c r="D55" i="11"/>
  <c r="E55" i="11"/>
  <c r="B55" i="11"/>
  <c r="F59" i="11"/>
  <c r="G59" i="11"/>
  <c r="D59" i="11"/>
  <c r="B36" i="11"/>
  <c r="B47" i="11"/>
  <c r="C47" i="11"/>
  <c r="F47" i="11"/>
  <c r="D53" i="11"/>
  <c r="D54" i="11"/>
  <c r="F54" i="11"/>
  <c r="G54" i="11"/>
  <c r="G53" i="11"/>
  <c r="F53" i="11"/>
  <c r="G55" i="11"/>
  <c r="F55" i="11"/>
  <c r="E56" i="11"/>
  <c r="C56" i="11"/>
  <c r="D41" i="11"/>
  <c r="G41" i="11" s="1"/>
  <c r="F41" i="11"/>
  <c r="C6" i="11"/>
  <c r="E6" i="11"/>
  <c r="B6" i="11"/>
  <c r="D25" i="11"/>
  <c r="G25" i="11" s="1"/>
  <c r="F10" i="11"/>
  <c r="D8" i="11"/>
  <c r="D9" i="11"/>
  <c r="G9" i="11" s="1"/>
  <c r="G10" i="11"/>
  <c r="D12" i="11"/>
  <c r="D13" i="11"/>
  <c r="G13" i="11" s="1"/>
  <c r="D14" i="11"/>
  <c r="G14" i="11" s="1"/>
  <c r="D15" i="11"/>
  <c r="G15" i="11" s="1"/>
  <c r="D16" i="11"/>
  <c r="G16" i="11" s="1"/>
  <c r="D17" i="11"/>
  <c r="G17" i="11" s="1"/>
  <c r="D18" i="11"/>
  <c r="G18" i="11" s="1"/>
  <c r="D19" i="11"/>
  <c r="G19" i="11" s="1"/>
  <c r="D20" i="11"/>
  <c r="G20" i="11" s="1"/>
  <c r="D21" i="11"/>
  <c r="G21" i="11" s="1"/>
  <c r="D22" i="11"/>
  <c r="G22" i="11" s="1"/>
  <c r="D23" i="11"/>
  <c r="G23" i="11" s="1"/>
  <c r="D24" i="11"/>
  <c r="G24" i="11" s="1"/>
  <c r="D26" i="11"/>
  <c r="G26" i="11" s="1"/>
  <c r="D27" i="11"/>
  <c r="G27" i="11" s="1"/>
  <c r="D28" i="11"/>
  <c r="G28" i="11" s="1"/>
  <c r="D31" i="11"/>
  <c r="G31" i="11" s="1"/>
  <c r="D32" i="11"/>
  <c r="G32" i="11" s="1"/>
  <c r="D35" i="11"/>
  <c r="G35" i="11" s="1"/>
  <c r="D36" i="11"/>
  <c r="G36" i="11" s="1"/>
  <c r="D37" i="11"/>
  <c r="G37" i="11" s="1"/>
  <c r="D40" i="11"/>
  <c r="G40" i="11" s="1"/>
  <c r="D57" i="11"/>
  <c r="G57" i="11" s="1"/>
  <c r="D58" i="11"/>
  <c r="G58" i="11" s="1"/>
  <c r="D39" i="11"/>
  <c r="G39" i="11" s="1"/>
  <c r="D60" i="11"/>
  <c r="G60" i="11" s="1"/>
  <c r="D61" i="11"/>
  <c r="G61" i="11" s="1"/>
  <c r="D42" i="11"/>
  <c r="G42" i="11" s="1"/>
  <c r="G43" i="11"/>
  <c r="D44" i="11"/>
  <c r="G44" i="11" s="1"/>
  <c r="D46" i="11"/>
  <c r="G46" i="11" s="1"/>
  <c r="D47" i="11"/>
  <c r="G47" i="11" s="1"/>
  <c r="D48" i="11"/>
  <c r="G48" i="11" s="1"/>
  <c r="D49" i="11"/>
  <c r="G49" i="11" s="1"/>
  <c r="D50" i="11"/>
  <c r="G50" i="11" s="1"/>
  <c r="D51" i="11"/>
  <c r="G51" i="11" s="1"/>
  <c r="D52" i="11"/>
  <c r="G52" i="11" s="1"/>
  <c r="D7" i="11"/>
  <c r="G7" i="11" s="1"/>
  <c r="F8" i="11"/>
  <c r="G8" i="11"/>
  <c r="F9" i="11"/>
  <c r="F11" i="11"/>
  <c r="G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31" i="11"/>
  <c r="F32" i="11"/>
  <c r="F35" i="11"/>
  <c r="F36" i="11"/>
  <c r="F37" i="11"/>
  <c r="F40" i="11"/>
  <c r="F57" i="11"/>
  <c r="F58" i="11"/>
  <c r="F39" i="11"/>
  <c r="F60" i="11"/>
  <c r="F61" i="11"/>
  <c r="F42" i="11"/>
  <c r="F43" i="11"/>
  <c r="F44" i="11"/>
  <c r="F46" i="11"/>
  <c r="F48" i="11"/>
  <c r="F49" i="11"/>
  <c r="F50" i="11"/>
  <c r="F51" i="11"/>
  <c r="F52" i="11"/>
  <c r="F7" i="11"/>
  <c r="AD129" i="1" l="1"/>
  <c r="J40" i="10"/>
  <c r="BA29" i="1"/>
  <c r="U57" i="6"/>
  <c r="X57" i="6"/>
  <c r="AZ176" i="6"/>
  <c r="AZ206" i="6" s="1"/>
  <c r="AZ209" i="6" s="1"/>
  <c r="AZ210" i="6" s="1"/>
  <c r="BA35" i="1"/>
  <c r="BA208" i="1" s="1"/>
  <c r="K57" i="6"/>
  <c r="AY176" i="6"/>
  <c r="AY206" i="6" s="1"/>
  <c r="AY209" i="6" s="1"/>
  <c r="AY210" i="6" s="1"/>
  <c r="AY213" i="6" s="1"/>
  <c r="BB35" i="1"/>
  <c r="BB208" i="1" s="1"/>
  <c r="Z52" i="1"/>
  <c r="Z57" i="1" s="1"/>
  <c r="AM57" i="6"/>
  <c r="BB209" i="1"/>
  <c r="K13" i="13"/>
  <c r="L13" i="13"/>
  <c r="G45" i="11"/>
  <c r="E30" i="11"/>
  <c r="D56" i="11"/>
  <c r="G56" i="11" s="1"/>
  <c r="F56" i="11"/>
  <c r="F6" i="11"/>
  <c r="F33" i="11"/>
  <c r="F34" i="11"/>
  <c r="D6" i="11"/>
  <c r="G6" i="11" s="1"/>
  <c r="G33" i="11"/>
  <c r="G12" i="11"/>
  <c r="G34" i="11"/>
  <c r="C201" i="1"/>
  <c r="C200" i="1"/>
  <c r="AN180" i="1"/>
  <c r="AN183" i="1" s="1"/>
  <c r="AN141" i="1"/>
  <c r="AN142" i="1"/>
  <c r="AN143" i="1"/>
  <c r="AN123" i="1"/>
  <c r="AN124" i="1"/>
  <c r="AN125" i="1"/>
  <c r="AN126" i="1"/>
  <c r="AN127" i="1"/>
  <c r="AN128" i="1"/>
  <c r="AN77" i="1"/>
  <c r="AN70" i="1"/>
  <c r="AN69" i="1"/>
  <c r="AN68" i="1"/>
  <c r="AN67" i="1"/>
  <c r="AN59" i="1"/>
  <c r="AN55" i="1"/>
  <c r="C55" i="1" s="1"/>
  <c r="AN53" i="1"/>
  <c r="AN44" i="1"/>
  <c r="AN39" i="1"/>
  <c r="AN37" i="1"/>
  <c r="AJ52" i="1"/>
  <c r="AJ34" i="1"/>
  <c r="AJ25" i="1"/>
  <c r="C25" i="1" s="1"/>
  <c r="F33" i="10" s="1"/>
  <c r="AJ24" i="1"/>
  <c r="AJ23" i="1"/>
  <c r="AJ21" i="1"/>
  <c r="AJ19" i="1"/>
  <c r="AJ17" i="1"/>
  <c r="AJ14" i="1"/>
  <c r="AJ15" i="1"/>
  <c r="AF174" i="1"/>
  <c r="AF123" i="1"/>
  <c r="AF124" i="1"/>
  <c r="AF125" i="1"/>
  <c r="AF126" i="1"/>
  <c r="AF127" i="1"/>
  <c r="AF128" i="1"/>
  <c r="AF115" i="1"/>
  <c r="AF114" i="1"/>
  <c r="AF113" i="1"/>
  <c r="AF100" i="1"/>
  <c r="AF99" i="1"/>
  <c r="AF98" i="1"/>
  <c r="AF90" i="1"/>
  <c r="AF88" i="1"/>
  <c r="AF80" i="1"/>
  <c r="AF68" i="1"/>
  <c r="AF69" i="1"/>
  <c r="AF70" i="1"/>
  <c r="AF71" i="1"/>
  <c r="AF61" i="1"/>
  <c r="AF56" i="1"/>
  <c r="AF49" i="1"/>
  <c r="AF48" i="1"/>
  <c r="AF39" i="1"/>
  <c r="AF38" i="1"/>
  <c r="AF15" i="1"/>
  <c r="AF14" i="1"/>
  <c r="AF11" i="1"/>
  <c r="AF10" i="1"/>
  <c r="AB190" i="1"/>
  <c r="AB189" i="1"/>
  <c r="AB181" i="1"/>
  <c r="AB183" i="1" s="1"/>
  <c r="AB178" i="1"/>
  <c r="AB179" i="1" s="1"/>
  <c r="AB167" i="1"/>
  <c r="AB165" i="1"/>
  <c r="AB163" i="1"/>
  <c r="AB162" i="1"/>
  <c r="AB49" i="1"/>
  <c r="AB48" i="1"/>
  <c r="AB39" i="1"/>
  <c r="AB38" i="1"/>
  <c r="AB15" i="1"/>
  <c r="AB14" i="1"/>
  <c r="AB11" i="1"/>
  <c r="AB10" i="1"/>
  <c r="X85" i="1"/>
  <c r="X67" i="1"/>
  <c r="R94" i="1"/>
  <c r="R96" i="1" s="1"/>
  <c r="R49" i="1"/>
  <c r="R48" i="1"/>
  <c r="R39" i="1"/>
  <c r="R38" i="1"/>
  <c r="R23" i="1"/>
  <c r="R15" i="1"/>
  <c r="R14" i="1"/>
  <c r="R13" i="1"/>
  <c r="R11" i="1"/>
  <c r="R10" i="1"/>
  <c r="R9" i="1"/>
  <c r="N198" i="1"/>
  <c r="N199" i="1" s="1"/>
  <c r="N195" i="1"/>
  <c r="C195" i="1" s="1"/>
  <c r="N193" i="1"/>
  <c r="C193" i="1" s="1"/>
  <c r="N192" i="1"/>
  <c r="C192" i="1" s="1"/>
  <c r="N190" i="1"/>
  <c r="N189" i="1"/>
  <c r="N187" i="1"/>
  <c r="C187" i="1" s="1"/>
  <c r="N186" i="1"/>
  <c r="C186" i="1" s="1"/>
  <c r="N184" i="1"/>
  <c r="N182" i="1"/>
  <c r="C182" i="1" s="1"/>
  <c r="N164" i="1"/>
  <c r="N166" i="1"/>
  <c r="N168" i="1"/>
  <c r="N171" i="1"/>
  <c r="C171" i="1" s="1"/>
  <c r="N170" i="1"/>
  <c r="C170" i="1" s="1"/>
  <c r="F106" i="10" s="1"/>
  <c r="N174" i="1"/>
  <c r="N173" i="1"/>
  <c r="N161" i="1"/>
  <c r="N162" i="1" s="1"/>
  <c r="N159" i="1"/>
  <c r="N157" i="1"/>
  <c r="N156" i="1"/>
  <c r="N153" i="1"/>
  <c r="N151" i="1"/>
  <c r="N145" i="1"/>
  <c r="N143" i="1"/>
  <c r="N142" i="1"/>
  <c r="N134" i="1"/>
  <c r="N132" i="1"/>
  <c r="C132" i="1" s="1"/>
  <c r="N131" i="1"/>
  <c r="C131" i="1" s="1"/>
  <c r="N122" i="1"/>
  <c r="N124" i="1"/>
  <c r="N123" i="1"/>
  <c r="N119" i="1"/>
  <c r="C119" i="1" s="1"/>
  <c r="N114" i="1"/>
  <c r="N113" i="1"/>
  <c r="N104" i="1"/>
  <c r="C104" i="1" s="1"/>
  <c r="N99" i="1"/>
  <c r="N97" i="1"/>
  <c r="N94" i="1"/>
  <c r="N74" i="1"/>
  <c r="C74" i="1" s="1"/>
  <c r="N73" i="1"/>
  <c r="N64" i="1"/>
  <c r="N61" i="1"/>
  <c r="BA217" i="6"/>
  <c r="BA201" i="6"/>
  <c r="BA200" i="6"/>
  <c r="BA195" i="6"/>
  <c r="BA193" i="6"/>
  <c r="BA192" i="6"/>
  <c r="BA190" i="6"/>
  <c r="BA189" i="6"/>
  <c r="BA187" i="6"/>
  <c r="BA186" i="6"/>
  <c r="BA182" i="6"/>
  <c r="BA177" i="6"/>
  <c r="BA174" i="6"/>
  <c r="BA171" i="6"/>
  <c r="BA170" i="6"/>
  <c r="BA132" i="6"/>
  <c r="BA131" i="6"/>
  <c r="BA30" i="6"/>
  <c r="BA24" i="6"/>
  <c r="BA13" i="6"/>
  <c r="BA14" i="6"/>
  <c r="BA9" i="6"/>
  <c r="BA34" i="6"/>
  <c r="AT199" i="6"/>
  <c r="AQ199" i="6"/>
  <c r="AN198" i="6"/>
  <c r="AN184" i="6"/>
  <c r="AN161" i="6"/>
  <c r="AN162" i="6" s="1"/>
  <c r="AN157" i="6"/>
  <c r="AN157" i="1" s="1"/>
  <c r="AN160" i="1" s="1"/>
  <c r="AN153" i="6"/>
  <c r="AN153" i="1" s="1"/>
  <c r="AN155" i="1" s="1"/>
  <c r="AN148" i="6"/>
  <c r="AN140" i="6"/>
  <c r="AN138" i="6"/>
  <c r="AN136" i="6"/>
  <c r="AN134" i="6"/>
  <c r="BA134" i="6" s="1"/>
  <c r="AN122" i="6"/>
  <c r="AN113" i="6"/>
  <c r="AN111" i="6"/>
  <c r="AN93" i="6"/>
  <c r="AN91" i="6"/>
  <c r="AN90" i="6"/>
  <c r="AN85" i="6"/>
  <c r="AN83" i="6"/>
  <c r="AN73" i="6"/>
  <c r="BA73" i="6" s="1"/>
  <c r="AN71" i="6"/>
  <c r="AT65" i="6"/>
  <c r="AN64" i="6"/>
  <c r="AT58" i="6"/>
  <c r="AN54" i="6"/>
  <c r="AN52" i="6"/>
  <c r="AN50" i="6"/>
  <c r="AT47" i="6"/>
  <c r="AT50" i="6" s="1"/>
  <c r="AX50" i="1" s="1"/>
  <c r="AT46" i="6"/>
  <c r="AT37" i="6"/>
  <c r="AT40" i="6" s="1"/>
  <c r="AN38" i="6"/>
  <c r="AN26" i="6"/>
  <c r="AT22" i="6"/>
  <c r="AQ20" i="6"/>
  <c r="BA20" i="6" s="1"/>
  <c r="AN18" i="6"/>
  <c r="AN19" i="1" s="1"/>
  <c r="AN16" i="6"/>
  <c r="BA16" i="6" s="1"/>
  <c r="AK148" i="6"/>
  <c r="AH120" i="6"/>
  <c r="AK22" i="6"/>
  <c r="AH22" i="6"/>
  <c r="J106" i="10" l="1"/>
  <c r="F105" i="10"/>
  <c r="BA17" i="6"/>
  <c r="BA21" i="6"/>
  <c r="BA196" i="6"/>
  <c r="AN64" i="1"/>
  <c r="AN65" i="1" s="1"/>
  <c r="AN83" i="1"/>
  <c r="AN84" i="1" s="1"/>
  <c r="AN93" i="1"/>
  <c r="AN96" i="1" s="1"/>
  <c r="X120" i="1"/>
  <c r="X148" i="1"/>
  <c r="X149" i="1" s="1"/>
  <c r="AN54" i="1"/>
  <c r="AN71" i="1"/>
  <c r="AN72" i="1" s="1"/>
  <c r="AN113" i="1"/>
  <c r="AN117" i="1" s="1"/>
  <c r="BA113" i="6"/>
  <c r="BB210" i="1"/>
  <c r="BB213" i="1" s="1"/>
  <c r="F30" i="11"/>
  <c r="G30" i="11"/>
  <c r="AN117" i="6"/>
  <c r="BA172" i="6"/>
  <c r="BA194" i="6"/>
  <c r="AX47" i="1"/>
  <c r="C123" i="1"/>
  <c r="BA191" i="6"/>
  <c r="BA188" i="6"/>
  <c r="BA202" i="6"/>
  <c r="X23" i="1"/>
  <c r="X26" i="1" s="1"/>
  <c r="BA26" i="6"/>
  <c r="AN27" i="1"/>
  <c r="AT59" i="6"/>
  <c r="AX58" i="1"/>
  <c r="AN73" i="1"/>
  <c r="AN75" i="1" s="1"/>
  <c r="BA75" i="6"/>
  <c r="AN91" i="1"/>
  <c r="AN136" i="1"/>
  <c r="AN137" i="1" s="1"/>
  <c r="BA184" i="6"/>
  <c r="AN184" i="1"/>
  <c r="AN185" i="1" s="1"/>
  <c r="AN197" i="1" s="1"/>
  <c r="BA133" i="6"/>
  <c r="AN17" i="1"/>
  <c r="AN40" i="6"/>
  <c r="AN199" i="6"/>
  <c r="AN198" i="1"/>
  <c r="AN199" i="1" s="1"/>
  <c r="AN65" i="6"/>
  <c r="AN52" i="1"/>
  <c r="AN85" i="1"/>
  <c r="AN86" i="1" s="1"/>
  <c r="AN112" i="6"/>
  <c r="AN111" i="1"/>
  <c r="AN112" i="1" s="1"/>
  <c r="AN122" i="1"/>
  <c r="AN129" i="1" s="1"/>
  <c r="AN140" i="1"/>
  <c r="AN144" i="1" s="1"/>
  <c r="BA18" i="6"/>
  <c r="AN38" i="1"/>
  <c r="AN40" i="1" s="1"/>
  <c r="AN138" i="1"/>
  <c r="AN139" i="1" s="1"/>
  <c r="AN161" i="1"/>
  <c r="AN162" i="1" s="1"/>
  <c r="AN163" i="1" s="1"/>
  <c r="AN57" i="6"/>
  <c r="AN90" i="1"/>
  <c r="AN96" i="6"/>
  <c r="AN134" i="1"/>
  <c r="AN135" i="1" s="1"/>
  <c r="BA135" i="6"/>
  <c r="AN148" i="1"/>
  <c r="AN149" i="1" s="1"/>
  <c r="BA153" i="6"/>
  <c r="C124" i="1"/>
  <c r="C61" i="1"/>
  <c r="C189" i="1"/>
  <c r="R12" i="1"/>
  <c r="C172" i="1"/>
  <c r="C190" i="1"/>
  <c r="C153" i="1"/>
  <c r="C94" i="1"/>
  <c r="AT51" i="6"/>
  <c r="V120" i="6"/>
  <c r="N120" i="1" s="1"/>
  <c r="V63" i="6"/>
  <c r="BA63" i="6" s="1"/>
  <c r="Y203" i="6"/>
  <c r="V203" i="6"/>
  <c r="V181" i="6"/>
  <c r="V180" i="6"/>
  <c r="V158" i="6"/>
  <c r="V154" i="6"/>
  <c r="Y151" i="6"/>
  <c r="Y152" i="6" s="1"/>
  <c r="Y148" i="6"/>
  <c r="R148" i="1" s="1"/>
  <c r="V148" i="6"/>
  <c r="V147" i="6"/>
  <c r="V140" i="6"/>
  <c r="V138" i="6"/>
  <c r="N138" i="1" s="1"/>
  <c r="N139" i="1" s="1"/>
  <c r="Y136" i="6"/>
  <c r="R136" i="1" s="1"/>
  <c r="R137" i="1" s="1"/>
  <c r="V136" i="6"/>
  <c r="Y128" i="6"/>
  <c r="V128" i="6"/>
  <c r="N128" i="1" s="1"/>
  <c r="V127" i="6"/>
  <c r="BA127" i="6" s="1"/>
  <c r="V126" i="6"/>
  <c r="BA126" i="6" s="1"/>
  <c r="V125" i="6"/>
  <c r="BA125" i="6" s="1"/>
  <c r="V118" i="6"/>
  <c r="BA118" i="6" s="1"/>
  <c r="Y116" i="6"/>
  <c r="V116" i="6"/>
  <c r="N116" i="1" s="1"/>
  <c r="V115" i="6"/>
  <c r="BA115" i="6" s="1"/>
  <c r="X112" i="6"/>
  <c r="V111" i="6"/>
  <c r="N111" i="1" s="1"/>
  <c r="V110" i="6"/>
  <c r="V108" i="6"/>
  <c r="V107" i="6"/>
  <c r="BA107" i="6" s="1"/>
  <c r="V105" i="6"/>
  <c r="BA105" i="6" s="1"/>
  <c r="V103" i="6"/>
  <c r="BA103" i="6" s="1"/>
  <c r="V102" i="6"/>
  <c r="BA102" i="6" s="1"/>
  <c r="V100" i="6"/>
  <c r="BA100" i="6" s="1"/>
  <c r="Y99" i="6"/>
  <c r="V98" i="6"/>
  <c r="BA98" i="6" s="1"/>
  <c r="Y97" i="6"/>
  <c r="V95" i="6"/>
  <c r="BA95" i="6" s="1"/>
  <c r="V93" i="6"/>
  <c r="BA93" i="6" s="1"/>
  <c r="V91" i="6"/>
  <c r="N91" i="1" s="1"/>
  <c r="V90" i="6"/>
  <c r="N90" i="1" s="1"/>
  <c r="C90" i="1" s="1"/>
  <c r="V89" i="6"/>
  <c r="V88" i="6"/>
  <c r="BA88" i="6" s="1"/>
  <c r="V85" i="6"/>
  <c r="BA85" i="6" s="1"/>
  <c r="V83" i="6"/>
  <c r="BA83" i="6" s="1"/>
  <c r="V81" i="6"/>
  <c r="V80" i="6"/>
  <c r="BA80" i="6" s="1"/>
  <c r="V78" i="6"/>
  <c r="BA78" i="6" s="1"/>
  <c r="V77" i="6"/>
  <c r="BA77" i="6" s="1"/>
  <c r="V76" i="6"/>
  <c r="BA76" i="6" s="1"/>
  <c r="V71" i="6"/>
  <c r="N71" i="1" s="1"/>
  <c r="V70" i="6"/>
  <c r="BA70" i="6" s="1"/>
  <c r="V69" i="6"/>
  <c r="BA69" i="6" s="1"/>
  <c r="V68" i="6"/>
  <c r="BA68" i="6" s="1"/>
  <c r="V67" i="6"/>
  <c r="V60" i="6"/>
  <c r="V58" i="6"/>
  <c r="V54" i="6"/>
  <c r="N54" i="1" s="1"/>
  <c r="V53" i="6"/>
  <c r="V52" i="6"/>
  <c r="Y46" i="6"/>
  <c r="Y47" i="6"/>
  <c r="Y37" i="6"/>
  <c r="Y23" i="6"/>
  <c r="V23" i="6"/>
  <c r="V22" i="6"/>
  <c r="BA22" i="6" s="1"/>
  <c r="L203" i="6"/>
  <c r="L204" i="6" s="1"/>
  <c r="R179" i="6"/>
  <c r="L179" i="6"/>
  <c r="O178" i="6"/>
  <c r="L175" i="6"/>
  <c r="O173" i="6"/>
  <c r="R169" i="6"/>
  <c r="L168" i="6"/>
  <c r="AB168" i="1" s="1"/>
  <c r="AB169" i="1" s="1"/>
  <c r="O168" i="6"/>
  <c r="O166" i="6"/>
  <c r="R165" i="6"/>
  <c r="L165" i="6"/>
  <c r="O164" i="6"/>
  <c r="O165" i="6" s="1"/>
  <c r="R148" i="6"/>
  <c r="AJ148" i="1" s="1"/>
  <c r="AJ149" i="1" s="1"/>
  <c r="AJ150" i="1" s="1"/>
  <c r="L148" i="6"/>
  <c r="O136" i="6"/>
  <c r="L128" i="6"/>
  <c r="O122" i="6"/>
  <c r="L116" i="6"/>
  <c r="L117" i="6" s="1"/>
  <c r="O116" i="6"/>
  <c r="O117" i="6" s="1"/>
  <c r="O108" i="6"/>
  <c r="O109" i="6" s="1"/>
  <c r="R101" i="6"/>
  <c r="L99" i="6"/>
  <c r="O97" i="6"/>
  <c r="O101" i="6" s="1"/>
  <c r="L97" i="6"/>
  <c r="L92" i="6"/>
  <c r="R92" i="6"/>
  <c r="O91" i="6"/>
  <c r="O89" i="6"/>
  <c r="O81" i="6"/>
  <c r="O82" i="6" s="1"/>
  <c r="O67" i="6"/>
  <c r="O72" i="6" s="1"/>
  <c r="L62" i="6"/>
  <c r="R59" i="6"/>
  <c r="L59" i="6"/>
  <c r="L65" i="6"/>
  <c r="O65" i="6"/>
  <c r="N65" i="6"/>
  <c r="R64" i="6"/>
  <c r="BA64" i="6" s="1"/>
  <c r="R62" i="6"/>
  <c r="O60" i="6"/>
  <c r="O58" i="6"/>
  <c r="O59" i="6" s="1"/>
  <c r="R57" i="6"/>
  <c r="L57" i="6"/>
  <c r="O54" i="6"/>
  <c r="O53" i="6"/>
  <c r="O52" i="6"/>
  <c r="R50" i="6"/>
  <c r="O47" i="6"/>
  <c r="O50" i="6" s="1"/>
  <c r="L47" i="6"/>
  <c r="L50" i="6" s="1"/>
  <c r="O45" i="6"/>
  <c r="R46" i="6"/>
  <c r="L46" i="6"/>
  <c r="O41" i="6"/>
  <c r="R40" i="6"/>
  <c r="O37" i="6"/>
  <c r="O40" i="6" s="1"/>
  <c r="L37" i="6"/>
  <c r="L40" i="6" s="1"/>
  <c r="R12" i="6"/>
  <c r="O12" i="6"/>
  <c r="AF13" i="1" s="1"/>
  <c r="L12" i="6"/>
  <c r="I45" i="6"/>
  <c r="F104" i="10" l="1"/>
  <c r="J104" i="10" s="1"/>
  <c r="J105" i="10"/>
  <c r="BA27" i="6"/>
  <c r="BA185" i="6"/>
  <c r="BA84" i="6"/>
  <c r="BA19" i="6"/>
  <c r="C71" i="1"/>
  <c r="C120" i="1"/>
  <c r="BA138" i="6"/>
  <c r="BA71" i="6"/>
  <c r="V62" i="6"/>
  <c r="N203" i="1"/>
  <c r="N204" i="1" s="1"/>
  <c r="BA120" i="6"/>
  <c r="BA90" i="6"/>
  <c r="X121" i="1"/>
  <c r="X130" i="1" s="1"/>
  <c r="C138" i="1"/>
  <c r="C139" i="1" s="1"/>
  <c r="F85" i="10" s="1"/>
  <c r="AN87" i="1"/>
  <c r="C111" i="1"/>
  <c r="C73" i="1"/>
  <c r="C75" i="1" s="1"/>
  <c r="F65" i="10" s="1"/>
  <c r="AF45" i="1"/>
  <c r="AN92" i="1"/>
  <c r="AN130" i="1" s="1"/>
  <c r="AN57" i="1"/>
  <c r="AN66" i="1" s="1"/>
  <c r="V117" i="6"/>
  <c r="V204" i="6"/>
  <c r="AN150" i="1"/>
  <c r="L205" i="6"/>
  <c r="O15" i="6"/>
  <c r="V139" i="6"/>
  <c r="N76" i="1"/>
  <c r="C76" i="1" s="1"/>
  <c r="N89" i="1"/>
  <c r="V101" i="6"/>
  <c r="N100" i="1"/>
  <c r="C100" i="1" s="1"/>
  <c r="N118" i="1"/>
  <c r="C118" i="1" s="1"/>
  <c r="V57" i="6"/>
  <c r="N52" i="1"/>
  <c r="BA147" i="6"/>
  <c r="N147" i="1"/>
  <c r="L15" i="6"/>
  <c r="AB13" i="1"/>
  <c r="AB16" i="1" s="1"/>
  <c r="O46" i="6"/>
  <c r="O51" i="6" s="1"/>
  <c r="O57" i="6"/>
  <c r="R65" i="6"/>
  <c r="R66" i="6" s="1"/>
  <c r="AJ64" i="1"/>
  <c r="O167" i="6"/>
  <c r="O179" i="6"/>
  <c r="Y40" i="6"/>
  <c r="R37" i="1"/>
  <c r="R40" i="1" s="1"/>
  <c r="N53" i="1"/>
  <c r="N70" i="1"/>
  <c r="C70" i="1" s="1"/>
  <c r="V79" i="6"/>
  <c r="N78" i="1"/>
  <c r="C78" i="1" s="1"/>
  <c r="V86" i="6"/>
  <c r="N85" i="1"/>
  <c r="C85" i="1" s="1"/>
  <c r="C86" i="1" s="1"/>
  <c r="F69" i="10" s="1"/>
  <c r="N98" i="1"/>
  <c r="N103" i="1"/>
  <c r="C103" i="1" s="1"/>
  <c r="V112" i="6"/>
  <c r="N110" i="1"/>
  <c r="BA110" i="6"/>
  <c r="N126" i="1"/>
  <c r="C126" i="1" s="1"/>
  <c r="V144" i="6"/>
  <c r="N140" i="1"/>
  <c r="V149" i="6"/>
  <c r="N148" i="1"/>
  <c r="N154" i="1"/>
  <c r="C154" i="1" s="1"/>
  <c r="C155" i="1" s="1"/>
  <c r="F93" i="10" s="1"/>
  <c r="BA154" i="6"/>
  <c r="V65" i="6"/>
  <c r="N63" i="1"/>
  <c r="C184" i="1"/>
  <c r="C185" i="1" s="1"/>
  <c r="F121" i="10" s="1"/>
  <c r="N81" i="1"/>
  <c r="L169" i="6"/>
  <c r="R24" i="1"/>
  <c r="R26" i="1" s="1"/>
  <c r="BA23" i="6"/>
  <c r="N60" i="1"/>
  <c r="N69" i="1"/>
  <c r="C69" i="1" s="1"/>
  <c r="N77" i="1"/>
  <c r="C77" i="1" s="1"/>
  <c r="Y101" i="6"/>
  <c r="R97" i="1"/>
  <c r="V106" i="6"/>
  <c r="N102" i="1"/>
  <c r="N108" i="1"/>
  <c r="V129" i="6"/>
  <c r="N125" i="1"/>
  <c r="R128" i="1"/>
  <c r="R129" i="1" s="1"/>
  <c r="O92" i="6"/>
  <c r="L101" i="6"/>
  <c r="O169" i="6"/>
  <c r="O175" i="6"/>
  <c r="Y50" i="6"/>
  <c r="R47" i="1"/>
  <c r="R50" i="1" s="1"/>
  <c r="V72" i="6"/>
  <c r="N67" i="1"/>
  <c r="V82" i="6"/>
  <c r="N80" i="1"/>
  <c r="C80" i="1" s="1"/>
  <c r="V92" i="6"/>
  <c r="N88" i="1"/>
  <c r="C88" i="1" s="1"/>
  <c r="V96" i="6"/>
  <c r="N93" i="1"/>
  <c r="R99" i="1"/>
  <c r="N105" i="1"/>
  <c r="C105" i="1" s="1"/>
  <c r="R116" i="1"/>
  <c r="R117" i="1" s="1"/>
  <c r="N127" i="1"/>
  <c r="C127" i="1" s="1"/>
  <c r="V137" i="6"/>
  <c r="N136" i="1"/>
  <c r="N137" i="1" s="1"/>
  <c r="N141" i="1"/>
  <c r="N158" i="1"/>
  <c r="BA111" i="6"/>
  <c r="R15" i="6"/>
  <c r="BA12" i="6"/>
  <c r="AJ13" i="1"/>
  <c r="O62" i="6"/>
  <c r="N58" i="1"/>
  <c r="BA96" i="6"/>
  <c r="N95" i="1"/>
  <c r="C95" i="1" s="1"/>
  <c r="V109" i="6"/>
  <c r="N107" i="1"/>
  <c r="C107" i="1" s="1"/>
  <c r="R151" i="1"/>
  <c r="BA151" i="6"/>
  <c r="V183" i="6"/>
  <c r="BA180" i="6"/>
  <c r="N180" i="1"/>
  <c r="C180" i="1" s="1"/>
  <c r="Y204" i="6"/>
  <c r="R203" i="1"/>
  <c r="C134" i="1"/>
  <c r="C135" i="1" s="1"/>
  <c r="F83" i="10" s="1"/>
  <c r="BA139" i="6"/>
  <c r="N68" i="1"/>
  <c r="C68" i="1" s="1"/>
  <c r="V84" i="6"/>
  <c r="N83" i="1"/>
  <c r="C83" i="1" s="1"/>
  <c r="C84" i="1" s="1"/>
  <c r="F68" i="10" s="1"/>
  <c r="N115" i="1"/>
  <c r="N181" i="1"/>
  <c r="BA181" i="6"/>
  <c r="L51" i="6"/>
  <c r="V121" i="6"/>
  <c r="R51" i="6"/>
  <c r="L66" i="6"/>
  <c r="F203" i="6"/>
  <c r="C198" i="6"/>
  <c r="I178" i="6"/>
  <c r="I173" i="6"/>
  <c r="BA173" i="6" s="1"/>
  <c r="I168" i="6"/>
  <c r="I166" i="6"/>
  <c r="BA166" i="6" s="1"/>
  <c r="K165" i="6"/>
  <c r="I164" i="6"/>
  <c r="BA164" i="6" s="1"/>
  <c r="C159" i="6"/>
  <c r="C158" i="6"/>
  <c r="BA158" i="6" s="1"/>
  <c r="C157" i="6"/>
  <c r="BA157" i="6" s="1"/>
  <c r="C156" i="6"/>
  <c r="F148" i="6"/>
  <c r="AB148" i="1" s="1"/>
  <c r="AB149" i="1" s="1"/>
  <c r="AB150" i="1" s="1"/>
  <c r="C145" i="6"/>
  <c r="C142" i="6"/>
  <c r="BA142" i="6" s="1"/>
  <c r="C140" i="6"/>
  <c r="BA140" i="6" s="1"/>
  <c r="I136" i="6"/>
  <c r="AF136" i="1" s="1"/>
  <c r="AF137" i="1" s="1"/>
  <c r="AF150" i="1" s="1"/>
  <c r="K137" i="6"/>
  <c r="F128" i="6"/>
  <c r="AB128" i="1" s="1"/>
  <c r="AB129" i="1" s="1"/>
  <c r="I122" i="6"/>
  <c r="AF122" i="1" s="1"/>
  <c r="AF129" i="1" s="1"/>
  <c r="I116" i="6"/>
  <c r="AF116" i="1" s="1"/>
  <c r="AF117" i="1" s="1"/>
  <c r="F116" i="6"/>
  <c r="C114" i="6"/>
  <c r="BA114" i="6" s="1"/>
  <c r="I108" i="6"/>
  <c r="BA108" i="6" s="1"/>
  <c r="F99" i="6"/>
  <c r="AB99" i="1" s="1"/>
  <c r="F97" i="6"/>
  <c r="AB97" i="1" s="1"/>
  <c r="I97" i="6"/>
  <c r="I91" i="6"/>
  <c r="AF91" i="1" s="1"/>
  <c r="C91" i="1" s="1"/>
  <c r="I89" i="6"/>
  <c r="AF89" i="1" s="1"/>
  <c r="I81" i="6"/>
  <c r="AF81" i="1" s="1"/>
  <c r="AF82" i="1" s="1"/>
  <c r="I67" i="6"/>
  <c r="AF67" i="1" s="1"/>
  <c r="AF72" i="1" s="1"/>
  <c r="C62" i="6"/>
  <c r="I60" i="6"/>
  <c r="I62" i="6" s="1"/>
  <c r="I58" i="6"/>
  <c r="AF58" i="1" s="1"/>
  <c r="AF59" i="1" s="1"/>
  <c r="C54" i="6"/>
  <c r="I54" i="6"/>
  <c r="AF54" i="1" s="1"/>
  <c r="I53" i="6"/>
  <c r="AF53" i="1" s="1"/>
  <c r="I52" i="6"/>
  <c r="AF52" i="1" s="1"/>
  <c r="I47" i="6"/>
  <c r="F47" i="6"/>
  <c r="C49" i="6"/>
  <c r="BA49" i="6" s="1"/>
  <c r="C48" i="6"/>
  <c r="BA48" i="6" s="1"/>
  <c r="C47" i="6"/>
  <c r="H47" i="1" s="1"/>
  <c r="H204" i="1"/>
  <c r="H202" i="1"/>
  <c r="H196" i="1"/>
  <c r="H194" i="1"/>
  <c r="H191" i="1"/>
  <c r="H188" i="1"/>
  <c r="H185" i="1"/>
  <c r="H181" i="1"/>
  <c r="H178" i="1"/>
  <c r="H174" i="1"/>
  <c r="H172" i="1"/>
  <c r="H169" i="1"/>
  <c r="H167" i="1"/>
  <c r="H165" i="1"/>
  <c r="H158" i="1"/>
  <c r="H157" i="1"/>
  <c r="C157" i="1" s="1"/>
  <c r="H156" i="1"/>
  <c r="H155" i="1"/>
  <c r="H151" i="1"/>
  <c r="C151" i="1" s="1"/>
  <c r="H149" i="1"/>
  <c r="H143" i="1"/>
  <c r="C143" i="1" s="1"/>
  <c r="H141" i="1"/>
  <c r="H139" i="1"/>
  <c r="H137" i="1"/>
  <c r="H135" i="1"/>
  <c r="H133" i="1"/>
  <c r="H122" i="1"/>
  <c r="H121" i="1"/>
  <c r="H116" i="1"/>
  <c r="H115" i="1"/>
  <c r="H113" i="1"/>
  <c r="C113" i="1" s="1"/>
  <c r="H112" i="1"/>
  <c r="H109" i="1"/>
  <c r="H106" i="1"/>
  <c r="H101" i="1"/>
  <c r="H96" i="1"/>
  <c r="H92" i="1"/>
  <c r="H86" i="1"/>
  <c r="H84" i="1"/>
  <c r="H82" i="1"/>
  <c r="H79" i="1"/>
  <c r="H75" i="1"/>
  <c r="H67" i="1"/>
  <c r="H65" i="1"/>
  <c r="H62" i="1"/>
  <c r="H59" i="1"/>
  <c r="H56" i="1"/>
  <c r="C56" i="1" s="1"/>
  <c r="H43" i="1"/>
  <c r="C43" i="1" s="1"/>
  <c r="H28" i="1"/>
  <c r="H26" i="1"/>
  <c r="H22" i="1"/>
  <c r="H20" i="1"/>
  <c r="H18" i="1"/>
  <c r="H15" i="1"/>
  <c r="H14" i="1"/>
  <c r="H13" i="1"/>
  <c r="F46" i="6"/>
  <c r="C45" i="6"/>
  <c r="H45" i="1" s="1"/>
  <c r="C44" i="6"/>
  <c r="BA44" i="6" s="1"/>
  <c r="C42" i="6"/>
  <c r="BA42" i="6" s="1"/>
  <c r="I41" i="6"/>
  <c r="I46" i="6" s="1"/>
  <c r="C41" i="6"/>
  <c r="H41" i="1" s="1"/>
  <c r="I37" i="6"/>
  <c r="F37" i="6"/>
  <c r="AB37" i="1" s="1"/>
  <c r="AB40" i="1" s="1"/>
  <c r="C39" i="6"/>
  <c r="BA39" i="6" s="1"/>
  <c r="C38" i="6"/>
  <c r="C37" i="6"/>
  <c r="I8" i="6"/>
  <c r="F8" i="6"/>
  <c r="AB9" i="1" s="1"/>
  <c r="AB12" i="1" s="1"/>
  <c r="C10" i="6"/>
  <c r="C8" i="6"/>
  <c r="H9" i="1" s="1"/>
  <c r="I175" i="1"/>
  <c r="D217" i="1"/>
  <c r="BB22" i="6"/>
  <c r="C152" i="1" l="1"/>
  <c r="F91" i="10"/>
  <c r="F90" i="10" s="1"/>
  <c r="C141" i="1"/>
  <c r="C115" i="1"/>
  <c r="BA167" i="6"/>
  <c r="BA15" i="6"/>
  <c r="BA175" i="6"/>
  <c r="BA25" i="6"/>
  <c r="BA165" i="6"/>
  <c r="BA152" i="6"/>
  <c r="BA155" i="6"/>
  <c r="C121" i="1"/>
  <c r="F78" i="10" s="1"/>
  <c r="H114" i="1"/>
  <c r="C114" i="1" s="1"/>
  <c r="H49" i="1"/>
  <c r="C49" i="1" s="1"/>
  <c r="BA47" i="6"/>
  <c r="BA50" i="6" s="1"/>
  <c r="BA97" i="6"/>
  <c r="R101" i="1"/>
  <c r="H48" i="1"/>
  <c r="C48" i="1" s="1"/>
  <c r="N144" i="1"/>
  <c r="BA116" i="6"/>
  <c r="BA58" i="6"/>
  <c r="BA89" i="6"/>
  <c r="BA99" i="6"/>
  <c r="BA54" i="6"/>
  <c r="BA60" i="6"/>
  <c r="BA136" i="6"/>
  <c r="BA148" i="6"/>
  <c r="BA81" i="6"/>
  <c r="C156" i="1"/>
  <c r="C57" i="6"/>
  <c r="H54" i="1"/>
  <c r="BA67" i="6"/>
  <c r="BA91" i="6"/>
  <c r="BA128" i="6"/>
  <c r="BA52" i="6"/>
  <c r="H145" i="1"/>
  <c r="H146" i="1" s="1"/>
  <c r="BA145" i="6"/>
  <c r="BA53" i="6"/>
  <c r="BA45" i="6"/>
  <c r="BA41" i="6"/>
  <c r="BA122" i="6"/>
  <c r="C45" i="1"/>
  <c r="H140" i="1"/>
  <c r="C158" i="1"/>
  <c r="F40" i="6"/>
  <c r="C117" i="6"/>
  <c r="BA37" i="6"/>
  <c r="AF87" i="1"/>
  <c r="AF92" i="1"/>
  <c r="V130" i="6"/>
  <c r="C128" i="1"/>
  <c r="H11" i="1"/>
  <c r="H12" i="1" s="1"/>
  <c r="BA10" i="6"/>
  <c r="H38" i="1"/>
  <c r="BA38" i="6"/>
  <c r="C50" i="6"/>
  <c r="I50" i="6"/>
  <c r="AF47" i="1"/>
  <c r="AF50" i="1" s="1"/>
  <c r="I59" i="6"/>
  <c r="I82" i="6"/>
  <c r="I101" i="6"/>
  <c r="AF97" i="1"/>
  <c r="AF101" i="1" s="1"/>
  <c r="I109" i="6"/>
  <c r="AF108" i="1"/>
  <c r="AF109" i="1" s="1"/>
  <c r="I179" i="6"/>
  <c r="AF178" i="1"/>
  <c r="AF179" i="1" s="1"/>
  <c r="AF205" i="1" s="1"/>
  <c r="C58" i="1"/>
  <c r="C59" i="1" s="1"/>
  <c r="F60" i="10" s="1"/>
  <c r="BA106" i="6"/>
  <c r="BA112" i="6"/>
  <c r="BA79" i="6"/>
  <c r="H44" i="1"/>
  <c r="C44" i="1" s="1"/>
  <c r="AF57" i="1"/>
  <c r="AB101" i="1"/>
  <c r="I117" i="6"/>
  <c r="I137" i="6"/>
  <c r="I167" i="6"/>
  <c r="AF166" i="1"/>
  <c r="H198" i="1"/>
  <c r="C198" i="1" s="1"/>
  <c r="C199" i="1" s="1"/>
  <c r="F127" i="10" s="1"/>
  <c r="F126" i="10" s="1"/>
  <c r="BA198" i="6"/>
  <c r="AF60" i="1"/>
  <c r="AF62" i="1" s="1"/>
  <c r="C136" i="1"/>
  <c r="C137" i="1" s="1"/>
  <c r="F84" i="10" s="1"/>
  <c r="C99" i="1"/>
  <c r="BA65" i="6"/>
  <c r="N112" i="1"/>
  <c r="C110" i="1"/>
  <c r="C112" i="1" s="1"/>
  <c r="F76" i="10" s="1"/>
  <c r="O66" i="6"/>
  <c r="N57" i="1"/>
  <c r="C52" i="1"/>
  <c r="C79" i="1"/>
  <c r="F66" i="10" s="1"/>
  <c r="AF9" i="1"/>
  <c r="BA8" i="6"/>
  <c r="F117" i="6"/>
  <c r="AB116" i="1"/>
  <c r="AB117" i="1" s="1"/>
  <c r="H159" i="1"/>
  <c r="C159" i="1" s="1"/>
  <c r="BA159" i="6"/>
  <c r="I169" i="6"/>
  <c r="AF168" i="1"/>
  <c r="F204" i="6"/>
  <c r="AB203" i="1"/>
  <c r="AB204" i="1" s="1"/>
  <c r="BA203" i="6"/>
  <c r="BA183" i="6"/>
  <c r="BA62" i="6"/>
  <c r="C63" i="1"/>
  <c r="N65" i="1"/>
  <c r="C148" i="1"/>
  <c r="N101" i="1"/>
  <c r="C98" i="1"/>
  <c r="Y51" i="6"/>
  <c r="AF41" i="1"/>
  <c r="AF46" i="1" s="1"/>
  <c r="BA121" i="6"/>
  <c r="C40" i="6"/>
  <c r="I40" i="6"/>
  <c r="AF37" i="1"/>
  <c r="AF40" i="1" s="1"/>
  <c r="H42" i="1"/>
  <c r="C42" i="1" s="1"/>
  <c r="H39" i="1"/>
  <c r="F50" i="6"/>
  <c r="AB47" i="1"/>
  <c r="AB50" i="1" s="1"/>
  <c r="I92" i="6"/>
  <c r="F101" i="6"/>
  <c r="C144" i="6"/>
  <c r="BA144" i="6"/>
  <c r="C160" i="6"/>
  <c r="BA156" i="6"/>
  <c r="I165" i="6"/>
  <c r="AF164" i="1"/>
  <c r="I175" i="6"/>
  <c r="AF173" i="1"/>
  <c r="BA109" i="6"/>
  <c r="N96" i="1"/>
  <c r="C93" i="1"/>
  <c r="C96" i="1" s="1"/>
  <c r="F72" i="10" s="1"/>
  <c r="BA168" i="6"/>
  <c r="C125" i="1"/>
  <c r="N129" i="1"/>
  <c r="C102" i="1"/>
  <c r="C106" i="1" s="1"/>
  <c r="F74" i="10" s="1"/>
  <c r="N106" i="1"/>
  <c r="C81" i="1"/>
  <c r="C82" i="1" s="1"/>
  <c r="F67" i="10" s="1"/>
  <c r="C53" i="1"/>
  <c r="AJ65" i="1"/>
  <c r="AJ66" i="1" s="1"/>
  <c r="C64" i="1"/>
  <c r="C147" i="1"/>
  <c r="N149" i="1"/>
  <c r="BA178" i="6"/>
  <c r="C89" i="1"/>
  <c r="C92" i="1" s="1"/>
  <c r="F71" i="10" s="1"/>
  <c r="H129" i="1"/>
  <c r="C122" i="1"/>
  <c r="C145" i="1"/>
  <c r="C146" i="1" s="1"/>
  <c r="F87" i="10" s="1"/>
  <c r="H183" i="1"/>
  <c r="H197" i="1" s="1"/>
  <c r="C181" i="1"/>
  <c r="C183" i="1" s="1"/>
  <c r="H72" i="1"/>
  <c r="H87" i="1" s="1"/>
  <c r="C67" i="1"/>
  <c r="C72" i="1" s="1"/>
  <c r="F64" i="10" s="1"/>
  <c r="F63" i="10" s="1"/>
  <c r="H175" i="1"/>
  <c r="C174" i="1"/>
  <c r="F111" i="10" s="1"/>
  <c r="C199" i="6"/>
  <c r="H37" i="1"/>
  <c r="H142" i="1"/>
  <c r="C46" i="6"/>
  <c r="H16" i="1"/>
  <c r="I57" i="6"/>
  <c r="BB8" i="6"/>
  <c r="S150" i="6"/>
  <c r="S130" i="6"/>
  <c r="S87" i="6"/>
  <c r="S66" i="6"/>
  <c r="S13" i="6"/>
  <c r="C197" i="1" l="1"/>
  <c r="F120" i="10"/>
  <c r="F119" i="10" s="1"/>
  <c r="F118" i="10" s="1"/>
  <c r="F51" i="6"/>
  <c r="H50" i="1"/>
  <c r="BA149" i="6"/>
  <c r="BA137" i="6"/>
  <c r="BA204" i="6"/>
  <c r="BA146" i="6"/>
  <c r="BA169" i="6"/>
  <c r="BA82" i="6"/>
  <c r="I51" i="6"/>
  <c r="BA59" i="6"/>
  <c r="BA179" i="6"/>
  <c r="BA129" i="6"/>
  <c r="BA199" i="6"/>
  <c r="BA72" i="6"/>
  <c r="BA160" i="6"/>
  <c r="H117" i="1"/>
  <c r="H130" i="1" s="1"/>
  <c r="BA197" i="6"/>
  <c r="BA11" i="6"/>
  <c r="C51" i="6"/>
  <c r="H40" i="1"/>
  <c r="H199" i="1"/>
  <c r="H205" i="1" s="1"/>
  <c r="C178" i="1"/>
  <c r="C179" i="1" s="1"/>
  <c r="F117" i="10" s="1"/>
  <c r="F116" i="10" s="1"/>
  <c r="F115" i="10" s="1"/>
  <c r="H57" i="1"/>
  <c r="H66" i="1" s="1"/>
  <c r="C54" i="1"/>
  <c r="C57" i="1" s="1"/>
  <c r="F59" i="10" s="1"/>
  <c r="C140" i="1"/>
  <c r="H144" i="1"/>
  <c r="H150" i="1" s="1"/>
  <c r="H160" i="1"/>
  <c r="H163" i="1" s="1"/>
  <c r="H46" i="1"/>
  <c r="BA40" i="6"/>
  <c r="BA92" i="6"/>
  <c r="C97" i="1"/>
  <c r="C101" i="1" s="1"/>
  <c r="F73" i="10" s="1"/>
  <c r="F70" i="10" s="1"/>
  <c r="C160" i="1"/>
  <c r="F94" i="10" s="1"/>
  <c r="C108" i="1"/>
  <c r="C109" i="1" s="1"/>
  <c r="F75" i="10" s="1"/>
  <c r="C149" i="1"/>
  <c r="F88" i="10" s="1"/>
  <c r="AF51" i="1"/>
  <c r="AF130" i="1"/>
  <c r="C47" i="1"/>
  <c r="C50" i="1" s="1"/>
  <c r="F56" i="10" s="1"/>
  <c r="F55" i="10" s="1"/>
  <c r="C129" i="1"/>
  <c r="F79" i="10" s="1"/>
  <c r="C65" i="1"/>
  <c r="F62" i="10" s="1"/>
  <c r="BA101" i="6"/>
  <c r="C173" i="1"/>
  <c r="AF175" i="1"/>
  <c r="AF169" i="1"/>
  <c r="C168" i="1"/>
  <c r="AF167" i="1"/>
  <c r="C166" i="1"/>
  <c r="AB130" i="1"/>
  <c r="C41" i="1"/>
  <c r="C46" i="1" s="1"/>
  <c r="F54" i="10" s="1"/>
  <c r="F53" i="10" s="1"/>
  <c r="C87" i="1"/>
  <c r="C60" i="1"/>
  <c r="C62" i="1" s="1"/>
  <c r="F61" i="10" s="1"/>
  <c r="AF66" i="1"/>
  <c r="C203" i="1"/>
  <c r="C204" i="1" s="1"/>
  <c r="F131" i="10" s="1"/>
  <c r="F130" i="10" s="1"/>
  <c r="F129" i="10" s="1"/>
  <c r="AF165" i="1"/>
  <c r="C164" i="1"/>
  <c r="C116" i="1"/>
  <c r="C117" i="1" s="1"/>
  <c r="F77" i="10" s="1"/>
  <c r="BA57" i="6"/>
  <c r="C142" i="1"/>
  <c r="C144" i="1" s="1"/>
  <c r="F86" i="10" s="1"/>
  <c r="F82" i="10" s="1"/>
  <c r="H29" i="1"/>
  <c r="H35" i="1" s="1"/>
  <c r="H208" i="1" s="1"/>
  <c r="AX204" i="1"/>
  <c r="AX202" i="1"/>
  <c r="AX199" i="1"/>
  <c r="AX196" i="1"/>
  <c r="AX194" i="1"/>
  <c r="AX191" i="1"/>
  <c r="AX188" i="1"/>
  <c r="AX185" i="1"/>
  <c r="AX183" i="1"/>
  <c r="AX175" i="1"/>
  <c r="AX172" i="1"/>
  <c r="AX169" i="1"/>
  <c r="AX167" i="1"/>
  <c r="AX165" i="1"/>
  <c r="AX160" i="1"/>
  <c r="AX162" i="1" s="1"/>
  <c r="AX155" i="1"/>
  <c r="AX149" i="1"/>
  <c r="AX146" i="1"/>
  <c r="AX144" i="1"/>
  <c r="AX139" i="1"/>
  <c r="AX137" i="1"/>
  <c r="AX135" i="1"/>
  <c r="AX133" i="1"/>
  <c r="AX129" i="1"/>
  <c r="AX121" i="1"/>
  <c r="AX117" i="1"/>
  <c r="AX112" i="1"/>
  <c r="AX109" i="1"/>
  <c r="AX106" i="1"/>
  <c r="AX101" i="1"/>
  <c r="AX96" i="1"/>
  <c r="AX92" i="1"/>
  <c r="AX86" i="1"/>
  <c r="AX84" i="1"/>
  <c r="AX82" i="1"/>
  <c r="AX79" i="1"/>
  <c r="AX75" i="1"/>
  <c r="AX72" i="1"/>
  <c r="AX65" i="1"/>
  <c r="AX62" i="1"/>
  <c r="AX59" i="1"/>
  <c r="AX57" i="1"/>
  <c r="AX46" i="1"/>
  <c r="AX40" i="1"/>
  <c r="AX39" i="1"/>
  <c r="C39" i="1" s="1"/>
  <c r="F52" i="10" s="1"/>
  <c r="AX38" i="1"/>
  <c r="C38" i="1" s="1"/>
  <c r="AX37" i="1"/>
  <c r="C37" i="1" s="1"/>
  <c r="F51" i="10" s="1"/>
  <c r="AX34" i="1"/>
  <c r="AX27" i="1"/>
  <c r="AX28" i="1" s="1"/>
  <c r="AX24" i="1"/>
  <c r="AX23" i="1"/>
  <c r="AX21" i="1"/>
  <c r="AX22" i="1" s="1"/>
  <c r="AX19" i="1"/>
  <c r="AX20" i="1" s="1"/>
  <c r="AX17" i="1"/>
  <c r="AX18" i="1" s="1"/>
  <c r="AX15" i="1"/>
  <c r="AX14" i="1"/>
  <c r="AX13" i="1"/>
  <c r="AX11" i="1"/>
  <c r="AX10" i="1"/>
  <c r="AX9" i="1"/>
  <c r="AR202" i="1"/>
  <c r="AR199" i="1"/>
  <c r="AR175" i="1"/>
  <c r="AR172" i="1"/>
  <c r="AR169" i="1"/>
  <c r="AR167" i="1"/>
  <c r="AR165" i="1"/>
  <c r="AR149" i="1"/>
  <c r="AR86" i="1"/>
  <c r="AR84" i="1"/>
  <c r="AR65" i="1"/>
  <c r="AR34" i="1"/>
  <c r="AR27" i="1"/>
  <c r="AR28" i="1" s="1"/>
  <c r="AR24" i="1"/>
  <c r="AR23" i="1"/>
  <c r="AR21" i="1"/>
  <c r="AR22" i="1" s="1"/>
  <c r="AR19" i="1"/>
  <c r="AR20" i="1" s="1"/>
  <c r="AR17" i="1"/>
  <c r="AR18" i="1" s="1"/>
  <c r="AR15" i="1"/>
  <c r="AR14" i="1"/>
  <c r="AR13" i="1"/>
  <c r="AR11" i="1"/>
  <c r="AR10" i="1"/>
  <c r="AR9" i="1"/>
  <c r="AN50" i="1"/>
  <c r="AN28" i="1"/>
  <c r="AN24" i="1"/>
  <c r="AN23" i="1"/>
  <c r="AN21" i="1"/>
  <c r="AN22" i="1" s="1"/>
  <c r="AN20" i="1"/>
  <c r="AN18" i="1"/>
  <c r="AN15" i="1"/>
  <c r="AN14" i="1"/>
  <c r="AN13" i="1"/>
  <c r="AN11" i="1"/>
  <c r="AN10" i="1"/>
  <c r="AN9" i="1"/>
  <c r="AJ204" i="1"/>
  <c r="AJ202" i="1"/>
  <c r="AJ199" i="1"/>
  <c r="AJ196" i="1"/>
  <c r="AJ194" i="1"/>
  <c r="AJ191" i="1"/>
  <c r="AJ188" i="1"/>
  <c r="AJ185" i="1"/>
  <c r="AJ183" i="1"/>
  <c r="AJ169" i="1"/>
  <c r="AJ165" i="1"/>
  <c r="AJ40" i="1"/>
  <c r="AJ27" i="1"/>
  <c r="AJ28" i="1" s="1"/>
  <c r="AJ22" i="1"/>
  <c r="AJ20" i="1"/>
  <c r="AJ18" i="1"/>
  <c r="AJ11" i="1"/>
  <c r="AJ10" i="1"/>
  <c r="AJ9" i="1"/>
  <c r="AF27" i="1"/>
  <c r="AF28" i="1" s="1"/>
  <c r="AF24" i="1"/>
  <c r="AF23" i="1"/>
  <c r="AF21" i="1"/>
  <c r="AF22" i="1" s="1"/>
  <c r="AF19" i="1"/>
  <c r="AF20" i="1" s="1"/>
  <c r="AF17" i="1"/>
  <c r="AF18" i="1" s="1"/>
  <c r="AB216" i="1"/>
  <c r="AB46" i="1"/>
  <c r="AB28" i="1"/>
  <c r="AB18" i="1"/>
  <c r="X34" i="1"/>
  <c r="X28" i="1"/>
  <c r="X21" i="1"/>
  <c r="X19" i="1"/>
  <c r="X20" i="1" s="1"/>
  <c r="X17" i="1"/>
  <c r="X18" i="1" s="1"/>
  <c r="X15" i="1"/>
  <c r="X14" i="1"/>
  <c r="X13" i="1"/>
  <c r="X11" i="1"/>
  <c r="X10" i="1"/>
  <c r="X9" i="1"/>
  <c r="R204" i="1"/>
  <c r="R202" i="1"/>
  <c r="R199" i="1"/>
  <c r="R197" i="1"/>
  <c r="R196" i="1"/>
  <c r="R194" i="1"/>
  <c r="R191" i="1"/>
  <c r="R188" i="1"/>
  <c r="R185" i="1"/>
  <c r="R183" i="1"/>
  <c r="R179" i="1"/>
  <c r="R175" i="1"/>
  <c r="R172" i="1"/>
  <c r="R169" i="1"/>
  <c r="R167" i="1"/>
  <c r="R165" i="1"/>
  <c r="R160" i="1"/>
  <c r="R155" i="1"/>
  <c r="R152" i="1"/>
  <c r="R149" i="1"/>
  <c r="R146" i="1"/>
  <c r="R144" i="1"/>
  <c r="R139" i="1"/>
  <c r="R135" i="1"/>
  <c r="R133" i="1"/>
  <c r="R121" i="1"/>
  <c r="R112" i="1"/>
  <c r="R109" i="1"/>
  <c r="R106" i="1"/>
  <c r="R92" i="1"/>
  <c r="R86" i="1"/>
  <c r="R84" i="1"/>
  <c r="R82" i="1"/>
  <c r="R79" i="1"/>
  <c r="R75" i="1"/>
  <c r="R72" i="1"/>
  <c r="R65" i="1"/>
  <c r="R62" i="1"/>
  <c r="R59" i="1"/>
  <c r="R57" i="1"/>
  <c r="R46" i="1"/>
  <c r="R51" i="1" s="1"/>
  <c r="R28" i="1"/>
  <c r="R22" i="1"/>
  <c r="R20" i="1"/>
  <c r="R18" i="1"/>
  <c r="R16" i="1"/>
  <c r="N202" i="1"/>
  <c r="N196" i="1"/>
  <c r="N194" i="1"/>
  <c r="N191" i="1"/>
  <c r="N188" i="1"/>
  <c r="N185" i="1"/>
  <c r="N183" i="1"/>
  <c r="N179" i="1"/>
  <c r="N175" i="1"/>
  <c r="N172" i="1"/>
  <c r="N169" i="1"/>
  <c r="N167" i="1"/>
  <c r="N165" i="1"/>
  <c r="N160" i="1"/>
  <c r="N155" i="1"/>
  <c r="N146" i="1"/>
  <c r="N135" i="1"/>
  <c r="N133" i="1"/>
  <c r="N121" i="1"/>
  <c r="N117" i="1"/>
  <c r="N109" i="1"/>
  <c r="N92" i="1"/>
  <c r="N86" i="1"/>
  <c r="N84" i="1"/>
  <c r="N82" i="1"/>
  <c r="N79" i="1"/>
  <c r="N75" i="1"/>
  <c r="N72" i="1"/>
  <c r="N62" i="1"/>
  <c r="N59" i="1"/>
  <c r="N50" i="1"/>
  <c r="N46" i="1"/>
  <c r="N40" i="1"/>
  <c r="N27" i="1"/>
  <c r="N24" i="1"/>
  <c r="N23" i="1"/>
  <c r="N22" i="1"/>
  <c r="N14" i="1"/>
  <c r="N11" i="1"/>
  <c r="N10" i="1"/>
  <c r="I9" i="1"/>
  <c r="I10" i="1"/>
  <c r="I11" i="1"/>
  <c r="I13" i="1"/>
  <c r="I14" i="1"/>
  <c r="I15" i="1"/>
  <c r="I17" i="1"/>
  <c r="I18" i="1" s="1"/>
  <c r="I19" i="1"/>
  <c r="I20" i="1" s="1"/>
  <c r="I21" i="1"/>
  <c r="I22" i="1" s="1"/>
  <c r="I23" i="1"/>
  <c r="I24" i="1"/>
  <c r="I27" i="1"/>
  <c r="I28" i="1" s="1"/>
  <c r="I40" i="1"/>
  <c r="I46" i="1"/>
  <c r="I50" i="1"/>
  <c r="I57" i="1"/>
  <c r="I59" i="1"/>
  <c r="I62" i="1"/>
  <c r="I65" i="1"/>
  <c r="I66" i="1"/>
  <c r="I72" i="1"/>
  <c r="I75" i="1"/>
  <c r="I79" i="1"/>
  <c r="I82" i="1"/>
  <c r="I84" i="1"/>
  <c r="I86" i="1"/>
  <c r="I87" i="1"/>
  <c r="I92" i="1"/>
  <c r="I96" i="1"/>
  <c r="I101" i="1"/>
  <c r="I106" i="1"/>
  <c r="I109" i="1"/>
  <c r="I112" i="1"/>
  <c r="I117" i="1"/>
  <c r="I121" i="1"/>
  <c r="I129" i="1"/>
  <c r="I130" i="1"/>
  <c r="I135" i="1"/>
  <c r="I137" i="1"/>
  <c r="I139" i="1"/>
  <c r="I144" i="1"/>
  <c r="I146" i="1"/>
  <c r="I149" i="1"/>
  <c r="I150" i="1"/>
  <c r="I155" i="1"/>
  <c r="I160" i="1"/>
  <c r="I162" i="1" s="1"/>
  <c r="I163" i="1"/>
  <c r="I165" i="1"/>
  <c r="I167" i="1"/>
  <c r="I169" i="1"/>
  <c r="I172" i="1"/>
  <c r="I179" i="1"/>
  <c r="I183" i="1"/>
  <c r="I185" i="1"/>
  <c r="I188" i="1"/>
  <c r="I191" i="1"/>
  <c r="I194" i="1"/>
  <c r="I196" i="1"/>
  <c r="I197" i="1"/>
  <c r="I199" i="1"/>
  <c r="I202" i="1"/>
  <c r="I204" i="1"/>
  <c r="AT204" i="6"/>
  <c r="AT202" i="6"/>
  <c r="AT196" i="6"/>
  <c r="AT194" i="6"/>
  <c r="AT191" i="6"/>
  <c r="AT188" i="6"/>
  <c r="AT185" i="6"/>
  <c r="AT183" i="6"/>
  <c r="AT175" i="6"/>
  <c r="AT172" i="6"/>
  <c r="AT169" i="6"/>
  <c r="AT167" i="6"/>
  <c r="AT165" i="6"/>
  <c r="AT163" i="6"/>
  <c r="AT162" i="6" s="1"/>
  <c r="AT160" i="6"/>
  <c r="AT155" i="6"/>
  <c r="AT152" i="6"/>
  <c r="AT149" i="6"/>
  <c r="AT146" i="6"/>
  <c r="AT144" i="6"/>
  <c r="AT139" i="6"/>
  <c r="AT137" i="6"/>
  <c r="AT135" i="6"/>
  <c r="AT129" i="6"/>
  <c r="AT121" i="6"/>
  <c r="AT117" i="6"/>
  <c r="AT112" i="6"/>
  <c r="AT109" i="6"/>
  <c r="AT106" i="6"/>
  <c r="AT101" i="6"/>
  <c r="AT96" i="6"/>
  <c r="AT92" i="6"/>
  <c r="AT86" i="6"/>
  <c r="AT84" i="6"/>
  <c r="AT82" i="6"/>
  <c r="AT79" i="6"/>
  <c r="AT75" i="6"/>
  <c r="AT72" i="6"/>
  <c r="AT62" i="6"/>
  <c r="AT57" i="6"/>
  <c r="AT27" i="6"/>
  <c r="AT25" i="6"/>
  <c r="AT21" i="6"/>
  <c r="AT19" i="6"/>
  <c r="AT17" i="6"/>
  <c r="AT15" i="6"/>
  <c r="AT11" i="6"/>
  <c r="AQ204" i="6"/>
  <c r="AR204" i="1" s="1"/>
  <c r="AQ196" i="6"/>
  <c r="AR196" i="1" s="1"/>
  <c r="AQ194" i="6"/>
  <c r="AR194" i="1" s="1"/>
  <c r="AQ191" i="6"/>
  <c r="AR191" i="1" s="1"/>
  <c r="AQ188" i="6"/>
  <c r="AR188" i="1" s="1"/>
  <c r="AQ185" i="6"/>
  <c r="AR185" i="1" s="1"/>
  <c r="AQ183" i="6"/>
  <c r="AQ163" i="6"/>
  <c r="AR163" i="1" s="1"/>
  <c r="AQ160" i="6"/>
  <c r="AR160" i="1" s="1"/>
  <c r="AQ155" i="6"/>
  <c r="AQ152" i="6"/>
  <c r="AQ146" i="6"/>
  <c r="AR146" i="1" s="1"/>
  <c r="AQ144" i="6"/>
  <c r="AR144" i="1" s="1"/>
  <c r="AQ139" i="6"/>
  <c r="AR139" i="1" s="1"/>
  <c r="AQ137" i="6"/>
  <c r="AR137" i="1" s="1"/>
  <c r="AQ135" i="6"/>
  <c r="AR135" i="1" s="1"/>
  <c r="AQ133" i="6"/>
  <c r="AR133" i="1" s="1"/>
  <c r="AQ129" i="6"/>
  <c r="AR129" i="1" s="1"/>
  <c r="AQ121" i="6"/>
  <c r="AR121" i="1" s="1"/>
  <c r="AQ117" i="6"/>
  <c r="AR117" i="1" s="1"/>
  <c r="AQ112" i="6"/>
  <c r="AR112" i="1" s="1"/>
  <c r="AQ109" i="6"/>
  <c r="AR109" i="1" s="1"/>
  <c r="AQ106" i="6"/>
  <c r="AR106" i="1" s="1"/>
  <c r="AQ101" i="6"/>
  <c r="AR101" i="1" s="1"/>
  <c r="AQ96" i="6"/>
  <c r="AR96" i="1" s="1"/>
  <c r="AQ92" i="6"/>
  <c r="AQ82" i="6"/>
  <c r="AR82" i="1" s="1"/>
  <c r="AQ79" i="6"/>
  <c r="AR79" i="1" s="1"/>
  <c r="AQ75" i="6"/>
  <c r="AR75" i="1" s="1"/>
  <c r="AQ72" i="6"/>
  <c r="AR72" i="1" s="1"/>
  <c r="AQ62" i="6"/>
  <c r="AR62" i="1" s="1"/>
  <c r="AQ59" i="6"/>
  <c r="AR59" i="1" s="1"/>
  <c r="AQ57" i="6"/>
  <c r="AQ50" i="6"/>
  <c r="AR50" i="1" s="1"/>
  <c r="AQ46" i="6"/>
  <c r="AR46" i="1" s="1"/>
  <c r="AQ40" i="6"/>
  <c r="AR40" i="1" s="1"/>
  <c r="AQ21" i="6"/>
  <c r="AQ28" i="6" s="1"/>
  <c r="AN204" i="6"/>
  <c r="AN202" i="6"/>
  <c r="AN196" i="6"/>
  <c r="AN194" i="6"/>
  <c r="AN191" i="6"/>
  <c r="AN188" i="6"/>
  <c r="AN185" i="6"/>
  <c r="AN183" i="6"/>
  <c r="AN175" i="6"/>
  <c r="AN175" i="1" s="1"/>
  <c r="AN172" i="6"/>
  <c r="AN169" i="6"/>
  <c r="AN167" i="6"/>
  <c r="AN165" i="6"/>
  <c r="AN160" i="6"/>
  <c r="AN155" i="6"/>
  <c r="AN152" i="6"/>
  <c r="AN149" i="6"/>
  <c r="AN146" i="6"/>
  <c r="AN144" i="6"/>
  <c r="AN139" i="6"/>
  <c r="AN137" i="6"/>
  <c r="AN135" i="6"/>
  <c r="AN129" i="6"/>
  <c r="AN121" i="6"/>
  <c r="AN109" i="6"/>
  <c r="AN106" i="6"/>
  <c r="AN101" i="6"/>
  <c r="AN92" i="6"/>
  <c r="AN86" i="6"/>
  <c r="AN84" i="6"/>
  <c r="AN82" i="6"/>
  <c r="AN79" i="6"/>
  <c r="AN75" i="6"/>
  <c r="AN72" i="6"/>
  <c r="AN62" i="6"/>
  <c r="AN59" i="6"/>
  <c r="AN46" i="6"/>
  <c r="AN27" i="6"/>
  <c r="AN25" i="6"/>
  <c r="AN21" i="6"/>
  <c r="AN19" i="6"/>
  <c r="AN17" i="6"/>
  <c r="AN15" i="6"/>
  <c r="AN11" i="6"/>
  <c r="AK204" i="6"/>
  <c r="AK202" i="6"/>
  <c r="AK199" i="6"/>
  <c r="AK196" i="6"/>
  <c r="AK194" i="6"/>
  <c r="AK191" i="6"/>
  <c r="AK188" i="6"/>
  <c r="AK185" i="6"/>
  <c r="AK183" i="6"/>
  <c r="AK175" i="6"/>
  <c r="AK172" i="6"/>
  <c r="AK169" i="6"/>
  <c r="AK167" i="6"/>
  <c r="AK165" i="6"/>
  <c r="AK162" i="6"/>
  <c r="AK160" i="6"/>
  <c r="AK155" i="6"/>
  <c r="AK152" i="6"/>
  <c r="AK149" i="6"/>
  <c r="AK146" i="6"/>
  <c r="AK144" i="6"/>
  <c r="AK139" i="6"/>
  <c r="AK137" i="6"/>
  <c r="AK135" i="6"/>
  <c r="AK133" i="6"/>
  <c r="AK129" i="6"/>
  <c r="AK121" i="6"/>
  <c r="AK117" i="6"/>
  <c r="AK112" i="6"/>
  <c r="AK109" i="6"/>
  <c r="AK106" i="6"/>
  <c r="AK101" i="6"/>
  <c r="AK96" i="6"/>
  <c r="AK92" i="6"/>
  <c r="AK86" i="6"/>
  <c r="AK84" i="6"/>
  <c r="AK82" i="6"/>
  <c r="AK79" i="6"/>
  <c r="AK75" i="6"/>
  <c r="AK72" i="6"/>
  <c r="AK65" i="6"/>
  <c r="AK62" i="6"/>
  <c r="AK59" i="6"/>
  <c r="AK57" i="6"/>
  <c r="AK50" i="6"/>
  <c r="AK46" i="6"/>
  <c r="AK40" i="6"/>
  <c r="AK27" i="6"/>
  <c r="AK25" i="6"/>
  <c r="AK21" i="6"/>
  <c r="AK19" i="6"/>
  <c r="AK17" i="6"/>
  <c r="AK15" i="6"/>
  <c r="AK11" i="6"/>
  <c r="AH204" i="6"/>
  <c r="AH202" i="6"/>
  <c r="AH199" i="6"/>
  <c r="AH196" i="6"/>
  <c r="AH194" i="6"/>
  <c r="AH191" i="6"/>
  <c r="AH188" i="6"/>
  <c r="AH185" i="6"/>
  <c r="AH183" i="6"/>
  <c r="AH175" i="6"/>
  <c r="AH172" i="6"/>
  <c r="AH169" i="6"/>
  <c r="AH167" i="6"/>
  <c r="AH165" i="6"/>
  <c r="AH162" i="6"/>
  <c r="AH160" i="6"/>
  <c r="AH155" i="6"/>
  <c r="AH152" i="6"/>
  <c r="AH149" i="6"/>
  <c r="AH146" i="6"/>
  <c r="AH144" i="6"/>
  <c r="AH139" i="6"/>
  <c r="AH137" i="6"/>
  <c r="AH135" i="6"/>
  <c r="AH133" i="6"/>
  <c r="AH129" i="6"/>
  <c r="AH121" i="6"/>
  <c r="AH117" i="6"/>
  <c r="AH112" i="6"/>
  <c r="AH109" i="6"/>
  <c r="AH106" i="6"/>
  <c r="AH101" i="6"/>
  <c r="AH96" i="6"/>
  <c r="AH92" i="6"/>
  <c r="AH86" i="6"/>
  <c r="AH84" i="6"/>
  <c r="AH82" i="6"/>
  <c r="AH79" i="6"/>
  <c r="AH75" i="6"/>
  <c r="AH72" i="6"/>
  <c r="AH65" i="6"/>
  <c r="AH62" i="6"/>
  <c r="AH59" i="6"/>
  <c r="AH57" i="6"/>
  <c r="AH50" i="6"/>
  <c r="AH46" i="6"/>
  <c r="AH40" i="6"/>
  <c r="AH27" i="6"/>
  <c r="AH25" i="6"/>
  <c r="AH21" i="6"/>
  <c r="AH19" i="6"/>
  <c r="AH17" i="6"/>
  <c r="AH15" i="6"/>
  <c r="AH11" i="6"/>
  <c r="Y202" i="6"/>
  <c r="Y199" i="6"/>
  <c r="Y196" i="6"/>
  <c r="Y194" i="6"/>
  <c r="Y191" i="6"/>
  <c r="Y188" i="6"/>
  <c r="Y185" i="6"/>
  <c r="Y183" i="6"/>
  <c r="Y175" i="6"/>
  <c r="Y172" i="6"/>
  <c r="Y169" i="6"/>
  <c r="Y167" i="6"/>
  <c r="Y165" i="6"/>
  <c r="Y162" i="6"/>
  <c r="R161" i="1" s="1"/>
  <c r="C161" i="1" s="1"/>
  <c r="C162" i="1" s="1"/>
  <c r="Y160" i="6"/>
  <c r="Y155" i="6"/>
  <c r="Y149" i="6"/>
  <c r="Y146" i="6"/>
  <c r="Y144" i="6"/>
  <c r="Y139" i="6"/>
  <c r="Y137" i="6"/>
  <c r="Y135" i="6"/>
  <c r="Y133" i="6"/>
  <c r="Y129" i="6"/>
  <c r="Y121" i="6"/>
  <c r="Y117" i="6"/>
  <c r="Y112" i="6"/>
  <c r="Y109" i="6"/>
  <c r="Y106" i="6"/>
  <c r="Y96" i="6"/>
  <c r="Y92" i="6"/>
  <c r="Y86" i="6"/>
  <c r="Y84" i="6"/>
  <c r="Y82" i="6"/>
  <c r="Y79" i="6"/>
  <c r="Y75" i="6"/>
  <c r="Y72" i="6"/>
  <c r="Y65" i="6"/>
  <c r="Y62" i="6"/>
  <c r="Y59" i="6"/>
  <c r="Y57" i="6"/>
  <c r="Y27" i="6"/>
  <c r="Y25" i="6"/>
  <c r="Y21" i="6"/>
  <c r="Y19" i="6"/>
  <c r="Y17" i="6"/>
  <c r="Y15" i="6"/>
  <c r="Y11" i="6"/>
  <c r="V202" i="6"/>
  <c r="V196" i="6"/>
  <c r="V194" i="6"/>
  <c r="V191" i="6"/>
  <c r="V188" i="6"/>
  <c r="V185" i="6"/>
  <c r="V175" i="6"/>
  <c r="V172" i="6"/>
  <c r="V169" i="6"/>
  <c r="V167" i="6"/>
  <c r="V165" i="6"/>
  <c r="V162" i="6"/>
  <c r="V160" i="6"/>
  <c r="V155" i="6"/>
  <c r="V152" i="6"/>
  <c r="V146" i="6"/>
  <c r="V135" i="6"/>
  <c r="V75" i="6"/>
  <c r="V87" i="6" s="1"/>
  <c r="V59" i="6"/>
  <c r="V66" i="6" s="1"/>
  <c r="V50" i="6"/>
  <c r="V46" i="6"/>
  <c r="V40" i="6"/>
  <c r="V27" i="6"/>
  <c r="V25" i="6"/>
  <c r="V21" i="6"/>
  <c r="N19" i="1" s="1"/>
  <c r="V19" i="6"/>
  <c r="N17" i="1" s="1"/>
  <c r="V17" i="6"/>
  <c r="N15" i="1" s="1"/>
  <c r="V15" i="6"/>
  <c r="N13" i="1" s="1"/>
  <c r="V11" i="6"/>
  <c r="R204" i="6"/>
  <c r="R202" i="6"/>
  <c r="R199" i="6"/>
  <c r="R196" i="6"/>
  <c r="R194" i="6"/>
  <c r="R191" i="6"/>
  <c r="R188" i="6"/>
  <c r="R185" i="6"/>
  <c r="R183" i="6"/>
  <c r="R175" i="6"/>
  <c r="AJ175" i="1" s="1"/>
  <c r="R172" i="6"/>
  <c r="AJ172" i="1" s="1"/>
  <c r="R167" i="6"/>
  <c r="AJ167" i="1" s="1"/>
  <c r="R162" i="6"/>
  <c r="AJ162" i="1" s="1"/>
  <c r="R160" i="6"/>
  <c r="AJ160" i="1" s="1"/>
  <c r="R155" i="6"/>
  <c r="AJ155" i="1" s="1"/>
  <c r="R152" i="6"/>
  <c r="R149" i="6"/>
  <c r="R146" i="6"/>
  <c r="R144" i="6"/>
  <c r="R139" i="6"/>
  <c r="R137" i="6"/>
  <c r="R135" i="6"/>
  <c r="R133" i="6"/>
  <c r="R129" i="6"/>
  <c r="R121" i="6"/>
  <c r="R117" i="6"/>
  <c r="R112" i="6"/>
  <c r="R109" i="6"/>
  <c r="R106" i="6"/>
  <c r="R96" i="6"/>
  <c r="R86" i="6"/>
  <c r="R84" i="6"/>
  <c r="R82" i="6"/>
  <c r="R79" i="6"/>
  <c r="R75" i="6"/>
  <c r="R72" i="6"/>
  <c r="R27" i="6"/>
  <c r="R25" i="6"/>
  <c r="R21" i="6"/>
  <c r="R19" i="6"/>
  <c r="R17" i="6"/>
  <c r="R11" i="6"/>
  <c r="O202" i="6"/>
  <c r="O199" i="6"/>
  <c r="O196" i="6"/>
  <c r="O194" i="6"/>
  <c r="O191" i="6"/>
  <c r="O188" i="6"/>
  <c r="O185" i="6"/>
  <c r="O183" i="6"/>
  <c r="O172" i="6"/>
  <c r="O162" i="6"/>
  <c r="O160" i="6"/>
  <c r="O155" i="6"/>
  <c r="O152" i="6"/>
  <c r="O149" i="6"/>
  <c r="O146" i="6"/>
  <c r="O144" i="6"/>
  <c r="O139" i="6"/>
  <c r="O137" i="6"/>
  <c r="O135" i="6"/>
  <c r="O133" i="6"/>
  <c r="O129" i="6"/>
  <c r="O121" i="6"/>
  <c r="O112" i="6"/>
  <c r="O106" i="6"/>
  <c r="O96" i="6"/>
  <c r="O86" i="6"/>
  <c r="O84" i="6"/>
  <c r="O79" i="6"/>
  <c r="O75" i="6"/>
  <c r="O27" i="6"/>
  <c r="O25" i="6"/>
  <c r="O21" i="6"/>
  <c r="O19" i="6"/>
  <c r="O17" i="6"/>
  <c r="O11" i="6"/>
  <c r="L172" i="6"/>
  <c r="L167" i="6"/>
  <c r="L162" i="6"/>
  <c r="L160" i="6"/>
  <c r="L155" i="6"/>
  <c r="L152" i="6"/>
  <c r="L149" i="6"/>
  <c r="L146" i="6"/>
  <c r="L144" i="6"/>
  <c r="L139" i="6"/>
  <c r="L137" i="6"/>
  <c r="L135" i="6"/>
  <c r="L129" i="6"/>
  <c r="L121" i="6"/>
  <c r="L109" i="6"/>
  <c r="L106" i="6"/>
  <c r="L96" i="6"/>
  <c r="L86" i="6"/>
  <c r="L84" i="6"/>
  <c r="L82" i="6"/>
  <c r="L79" i="6"/>
  <c r="L75" i="6"/>
  <c r="L72" i="6"/>
  <c r="L32" i="6"/>
  <c r="L11" i="6"/>
  <c r="L28" i="6" s="1"/>
  <c r="I204" i="6"/>
  <c r="I202" i="6"/>
  <c r="I199" i="6"/>
  <c r="I196" i="6"/>
  <c r="I194" i="6"/>
  <c r="I191" i="6"/>
  <c r="I188" i="6"/>
  <c r="I185" i="6"/>
  <c r="I183" i="6"/>
  <c r="I172" i="6"/>
  <c r="I162" i="6"/>
  <c r="I160" i="6"/>
  <c r="I155" i="6"/>
  <c r="I152" i="6"/>
  <c r="I149" i="6"/>
  <c r="I146" i="6"/>
  <c r="I144" i="6"/>
  <c r="I139" i="6"/>
  <c r="I135" i="6"/>
  <c r="I133" i="6"/>
  <c r="I129" i="6"/>
  <c r="I121" i="6"/>
  <c r="I112" i="6"/>
  <c r="I106" i="6"/>
  <c r="I96" i="6"/>
  <c r="I86" i="6"/>
  <c r="I84" i="6"/>
  <c r="I79" i="6"/>
  <c r="I75" i="6"/>
  <c r="I72" i="6"/>
  <c r="I65" i="6"/>
  <c r="I66" i="6" s="1"/>
  <c r="I27" i="6"/>
  <c r="I25" i="6"/>
  <c r="I21" i="6"/>
  <c r="I19" i="6"/>
  <c r="I17" i="6"/>
  <c r="I15" i="6"/>
  <c r="I11" i="6"/>
  <c r="F202" i="6"/>
  <c r="AB202" i="1" s="1"/>
  <c r="F199" i="6"/>
  <c r="AB199" i="1" s="1"/>
  <c r="F196" i="6"/>
  <c r="F194" i="6"/>
  <c r="F191" i="6"/>
  <c r="AB191" i="1" s="1"/>
  <c r="F188" i="6"/>
  <c r="AB188" i="1" s="1"/>
  <c r="F185" i="6"/>
  <c r="AB185" i="1" s="1"/>
  <c r="F183" i="6"/>
  <c r="F175" i="6"/>
  <c r="AB175" i="1" s="1"/>
  <c r="F172" i="6"/>
  <c r="F169" i="6"/>
  <c r="F167" i="6"/>
  <c r="F165" i="6"/>
  <c r="F162" i="6"/>
  <c r="F160" i="6"/>
  <c r="F155" i="6"/>
  <c r="F152" i="6"/>
  <c r="F149" i="6"/>
  <c r="F146" i="6"/>
  <c r="F144" i="6"/>
  <c r="F139" i="6"/>
  <c r="F137" i="6"/>
  <c r="F135" i="6"/>
  <c r="F133" i="6"/>
  <c r="F129" i="6"/>
  <c r="F121" i="6"/>
  <c r="F112" i="6"/>
  <c r="F109" i="6"/>
  <c r="F106" i="6"/>
  <c r="F96" i="6"/>
  <c r="F92" i="6"/>
  <c r="F86" i="6"/>
  <c r="F84" i="6"/>
  <c r="F82" i="6"/>
  <c r="F79" i="6"/>
  <c r="F75" i="6"/>
  <c r="F72" i="6"/>
  <c r="F65" i="6"/>
  <c r="F62" i="6"/>
  <c r="F59" i="6"/>
  <c r="F57" i="6"/>
  <c r="F27" i="6"/>
  <c r="F25" i="6"/>
  <c r="F21" i="6"/>
  <c r="AB22" i="1" s="1"/>
  <c r="F19" i="6"/>
  <c r="AB20" i="1" s="1"/>
  <c r="F17" i="6"/>
  <c r="F15" i="6"/>
  <c r="F11" i="6"/>
  <c r="C202" i="6"/>
  <c r="C196" i="6"/>
  <c r="C194" i="6"/>
  <c r="C191" i="6"/>
  <c r="C188" i="6"/>
  <c r="C185" i="6"/>
  <c r="C183" i="6"/>
  <c r="C175" i="6"/>
  <c r="C172" i="6"/>
  <c r="C169" i="6"/>
  <c r="C167" i="6"/>
  <c r="C165" i="6"/>
  <c r="C162" i="6"/>
  <c r="C155" i="6"/>
  <c r="C152" i="6"/>
  <c r="C149" i="6"/>
  <c r="C146" i="6"/>
  <c r="C139" i="6"/>
  <c r="C137" i="6"/>
  <c r="C135" i="6"/>
  <c r="C133" i="6"/>
  <c r="C129" i="6"/>
  <c r="C121" i="6"/>
  <c r="C112" i="6"/>
  <c r="C109" i="6"/>
  <c r="C106" i="6"/>
  <c r="C101" i="6"/>
  <c r="C96" i="6"/>
  <c r="C92" i="6"/>
  <c r="C86" i="6"/>
  <c r="C84" i="6"/>
  <c r="C82" i="6"/>
  <c r="C79" i="6"/>
  <c r="C75" i="6"/>
  <c r="C72" i="6"/>
  <c r="C65" i="6"/>
  <c r="C59" i="6"/>
  <c r="C27" i="6"/>
  <c r="C25" i="6"/>
  <c r="C21" i="6"/>
  <c r="C19" i="6"/>
  <c r="C17" i="6"/>
  <c r="C15" i="6"/>
  <c r="C11" i="6"/>
  <c r="F50" i="10" l="1"/>
  <c r="F49" i="10" s="1"/>
  <c r="C175" i="1"/>
  <c r="F110" i="10"/>
  <c r="F109" i="10" s="1"/>
  <c r="F108" i="10" s="1"/>
  <c r="F58" i="10"/>
  <c r="F57" i="10" s="1"/>
  <c r="C165" i="1"/>
  <c r="F98" i="10"/>
  <c r="F97" i="10" s="1"/>
  <c r="F96" i="10" s="1"/>
  <c r="C163" i="1"/>
  <c r="F95" i="10"/>
  <c r="F92" i="10"/>
  <c r="F89" i="10" s="1"/>
  <c r="C167" i="1"/>
  <c r="F101" i="10"/>
  <c r="F100" i="10" s="1"/>
  <c r="F114" i="10"/>
  <c r="C169" i="1"/>
  <c r="F103" i="10"/>
  <c r="F102" i="10" s="1"/>
  <c r="BA205" i="6"/>
  <c r="BA35" i="6"/>
  <c r="H51" i="1"/>
  <c r="BA66" i="6"/>
  <c r="BA150" i="6"/>
  <c r="AN66" i="6"/>
  <c r="AT66" i="6"/>
  <c r="N130" i="1"/>
  <c r="C205" i="1"/>
  <c r="G14" i="9" s="1"/>
  <c r="N150" i="1"/>
  <c r="H176" i="1"/>
  <c r="H206" i="1" s="1"/>
  <c r="H209" i="1" s="1"/>
  <c r="H210" i="1" s="1"/>
  <c r="BA130" i="6"/>
  <c r="BA51" i="6"/>
  <c r="BA86" i="6"/>
  <c r="N163" i="1"/>
  <c r="N197" i="1"/>
  <c r="N205" i="1" s="1"/>
  <c r="V163" i="6"/>
  <c r="O150" i="6"/>
  <c r="R197" i="6"/>
  <c r="R205" i="6" s="1"/>
  <c r="V51" i="6"/>
  <c r="AF176" i="1"/>
  <c r="AF206" i="1" s="1"/>
  <c r="C150" i="1"/>
  <c r="Y205" i="6"/>
  <c r="C40" i="1"/>
  <c r="C51" i="1" s="1"/>
  <c r="C130" i="1"/>
  <c r="C28" i="6"/>
  <c r="C35" i="6" s="1"/>
  <c r="C208" i="6" s="1"/>
  <c r="C150" i="6"/>
  <c r="F66" i="6"/>
  <c r="O205" i="6"/>
  <c r="V150" i="6"/>
  <c r="AQ161" i="6"/>
  <c r="BA161" i="6" s="1"/>
  <c r="AR155" i="1"/>
  <c r="I163" i="6"/>
  <c r="AQ35" i="6"/>
  <c r="AQ208" i="6" s="1"/>
  <c r="AT197" i="6"/>
  <c r="AT205" i="6" s="1"/>
  <c r="C163" i="6"/>
  <c r="L163" i="6"/>
  <c r="Y130" i="6"/>
  <c r="AH163" i="6"/>
  <c r="AH197" i="6"/>
  <c r="AH205" i="6" s="1"/>
  <c r="AT150" i="6"/>
  <c r="C66" i="1"/>
  <c r="R162" i="1"/>
  <c r="R163" i="1" s="1"/>
  <c r="AX87" i="1"/>
  <c r="R87" i="1"/>
  <c r="R66" i="1"/>
  <c r="AJ197" i="1"/>
  <c r="AJ205" i="1" s="1"/>
  <c r="AX66" i="1"/>
  <c r="AX150" i="1"/>
  <c r="AX130" i="1"/>
  <c r="AX163" i="1"/>
  <c r="AX197" i="1"/>
  <c r="AX205" i="1" s="1"/>
  <c r="R130" i="1"/>
  <c r="C14" i="1"/>
  <c r="F18" i="10" s="1"/>
  <c r="N66" i="1"/>
  <c r="C24" i="1"/>
  <c r="F32" i="10" s="1"/>
  <c r="C13" i="1"/>
  <c r="F17" i="10" s="1"/>
  <c r="R205" i="1"/>
  <c r="AN176" i="1"/>
  <c r="C11" i="1"/>
  <c r="F15" i="10" s="1"/>
  <c r="C15" i="1"/>
  <c r="F19" i="10" s="1"/>
  <c r="X22" i="1"/>
  <c r="C21" i="1"/>
  <c r="N28" i="1"/>
  <c r="C27" i="1"/>
  <c r="R150" i="1"/>
  <c r="N18" i="1"/>
  <c r="C17" i="1"/>
  <c r="C10" i="1"/>
  <c r="C23" i="1"/>
  <c r="F31" i="10" s="1"/>
  <c r="N87" i="1"/>
  <c r="AB51" i="1"/>
  <c r="AB176" i="1"/>
  <c r="N20" i="1"/>
  <c r="C19" i="1"/>
  <c r="C34" i="1"/>
  <c r="F42" i="10" s="1"/>
  <c r="J42" i="10" s="1"/>
  <c r="AB197" i="1"/>
  <c r="AX26" i="1"/>
  <c r="AN150" i="6"/>
  <c r="F197" i="6"/>
  <c r="I28" i="6"/>
  <c r="I35" i="6" s="1"/>
  <c r="I208" i="6" s="1"/>
  <c r="L87" i="6"/>
  <c r="L150" i="6"/>
  <c r="O87" i="6"/>
  <c r="V28" i="6"/>
  <c r="V35" i="6" s="1"/>
  <c r="V208" i="6" s="1"/>
  <c r="V197" i="6"/>
  <c r="Y150" i="6"/>
  <c r="AH87" i="6"/>
  <c r="AH130" i="6"/>
  <c r="AH150" i="6"/>
  <c r="AK130" i="6"/>
  <c r="AQ87" i="6"/>
  <c r="AQ130" i="6"/>
  <c r="AR130" i="1" s="1"/>
  <c r="AQ197" i="6"/>
  <c r="AT87" i="6"/>
  <c r="AR183" i="1"/>
  <c r="C87" i="6"/>
  <c r="F150" i="6"/>
  <c r="I130" i="6"/>
  <c r="I197" i="6"/>
  <c r="O130" i="6"/>
  <c r="R163" i="6"/>
  <c r="AJ163" i="1" s="1"/>
  <c r="AJ176" i="1" s="1"/>
  <c r="Y66" i="6"/>
  <c r="Y87" i="6"/>
  <c r="AH66" i="6"/>
  <c r="AK163" i="6"/>
  <c r="AK197" i="6"/>
  <c r="AK205" i="6" s="1"/>
  <c r="AN87" i="6"/>
  <c r="AN197" i="6"/>
  <c r="AQ66" i="6"/>
  <c r="AR66" i="1" s="1"/>
  <c r="I87" i="6"/>
  <c r="AN130" i="6"/>
  <c r="C197" i="6"/>
  <c r="C205" i="6" s="1"/>
  <c r="F130" i="6"/>
  <c r="C66" i="6"/>
  <c r="C130" i="6"/>
  <c r="F87" i="6"/>
  <c r="I150" i="6"/>
  <c r="L130" i="6"/>
  <c r="O163" i="6"/>
  <c r="R150" i="6"/>
  <c r="Y163" i="6"/>
  <c r="AK150" i="6"/>
  <c r="AN28" i="6"/>
  <c r="AN35" i="6" s="1"/>
  <c r="AN208" i="6" s="1"/>
  <c r="AN163" i="6"/>
  <c r="AQ150" i="6"/>
  <c r="AR150" i="1" s="1"/>
  <c r="AQ162" i="6"/>
  <c r="AR162" i="1" s="1"/>
  <c r="N9" i="1"/>
  <c r="C9" i="1" s="1"/>
  <c r="F14" i="10" s="1"/>
  <c r="F13" i="10" s="1"/>
  <c r="AR57" i="1"/>
  <c r="AR92" i="1"/>
  <c r="AX12" i="1"/>
  <c r="R87" i="6"/>
  <c r="L35" i="6"/>
  <c r="L208" i="6" s="1"/>
  <c r="AK66" i="6"/>
  <c r="AK87" i="6"/>
  <c r="AT130" i="6"/>
  <c r="AN12" i="1"/>
  <c r="AN16" i="1"/>
  <c r="AN26" i="1"/>
  <c r="AR26" i="1"/>
  <c r="AN51" i="6"/>
  <c r="AN51" i="1" s="1"/>
  <c r="R130" i="6"/>
  <c r="Y28" i="6"/>
  <c r="Y35" i="6" s="1"/>
  <c r="Y208" i="6" s="1"/>
  <c r="AJ26" i="1"/>
  <c r="AR16" i="1"/>
  <c r="AX16" i="1"/>
  <c r="AT28" i="6"/>
  <c r="AT35" i="6" s="1"/>
  <c r="AT208" i="6" s="1"/>
  <c r="AK28" i="6"/>
  <c r="AK35" i="6" s="1"/>
  <c r="AK208" i="6" s="1"/>
  <c r="AH28" i="6"/>
  <c r="AH35" i="6" s="1"/>
  <c r="AH208" i="6" s="1"/>
  <c r="N26" i="1"/>
  <c r="AB33" i="1"/>
  <c r="O28" i="6"/>
  <c r="O35" i="6" s="1"/>
  <c r="O208" i="6" s="1"/>
  <c r="R28" i="6"/>
  <c r="R35" i="6" s="1"/>
  <c r="R208" i="6" s="1"/>
  <c r="AF12" i="1"/>
  <c r="AR12" i="1"/>
  <c r="AX51" i="1"/>
  <c r="AB26" i="1"/>
  <c r="AB29" i="1" s="1"/>
  <c r="AF26" i="1"/>
  <c r="N16" i="1"/>
  <c r="R29" i="1"/>
  <c r="R35" i="1" s="1"/>
  <c r="R208" i="1" s="1"/>
  <c r="AJ12" i="1"/>
  <c r="AJ16" i="1"/>
  <c r="AF16" i="1"/>
  <c r="X12" i="1"/>
  <c r="X16" i="1"/>
  <c r="I51" i="1"/>
  <c r="N51" i="1"/>
  <c r="I12" i="1"/>
  <c r="I205" i="1"/>
  <c r="I26" i="1"/>
  <c r="I16" i="1"/>
  <c r="AQ51" i="6"/>
  <c r="AR51" i="1" s="1"/>
  <c r="AK51" i="6"/>
  <c r="AH51" i="6"/>
  <c r="F163" i="6"/>
  <c r="F28" i="6"/>
  <c r="F35" i="6" s="1"/>
  <c r="F208" i="6" s="1"/>
  <c r="C20" i="1" l="1"/>
  <c r="F26" i="10"/>
  <c r="F25" i="10" s="1"/>
  <c r="F99" i="10"/>
  <c r="F48" i="10" s="1"/>
  <c r="F47" i="10" s="1"/>
  <c r="F16" i="10"/>
  <c r="C22" i="1"/>
  <c r="F28" i="10"/>
  <c r="F27" i="10" s="1"/>
  <c r="C28" i="1"/>
  <c r="F36" i="10"/>
  <c r="F35" i="10" s="1"/>
  <c r="F34" i="10" s="1"/>
  <c r="F30" i="10"/>
  <c r="F29" i="10" s="1"/>
  <c r="F12" i="10"/>
  <c r="C18" i="1"/>
  <c r="F22" i="10"/>
  <c r="F21" i="10" s="1"/>
  <c r="F20" i="10" s="1"/>
  <c r="BA208" i="6"/>
  <c r="BA162" i="6"/>
  <c r="BA28" i="6"/>
  <c r="R176" i="1"/>
  <c r="R206" i="1" s="1"/>
  <c r="R209" i="1" s="1"/>
  <c r="R210" i="1" s="1"/>
  <c r="R213" i="1" s="1"/>
  <c r="H213" i="1"/>
  <c r="AX176" i="1"/>
  <c r="AX206" i="1" s="1"/>
  <c r="AX209" i="1" s="1"/>
  <c r="V176" i="6"/>
  <c r="AK176" i="6"/>
  <c r="AK206" i="6" s="1"/>
  <c r="F176" i="6"/>
  <c r="N12" i="1"/>
  <c r="N29" i="1" s="1"/>
  <c r="N35" i="1" s="1"/>
  <c r="N208" i="1" s="1"/>
  <c r="C176" i="1"/>
  <c r="G13" i="9" s="1"/>
  <c r="G15" i="9" s="1"/>
  <c r="AH176" i="6"/>
  <c r="AH206" i="6" s="1"/>
  <c r="AH209" i="6" s="1"/>
  <c r="AH210" i="6" s="1"/>
  <c r="AH213" i="6" s="1"/>
  <c r="AT176" i="6"/>
  <c r="AT206" i="6" s="1"/>
  <c r="AT209" i="6" s="1"/>
  <c r="AT210" i="6" s="1"/>
  <c r="AT213" i="6" s="1"/>
  <c r="Y176" i="6"/>
  <c r="Y206" i="6" s="1"/>
  <c r="Y209" i="6" s="1"/>
  <c r="Y210" i="6" s="1"/>
  <c r="AR87" i="1"/>
  <c r="AR176" i="1" s="1"/>
  <c r="N176" i="1"/>
  <c r="N206" i="1" s="1"/>
  <c r="N209" i="1" s="1"/>
  <c r="C26" i="1"/>
  <c r="C16" i="1"/>
  <c r="C12" i="1"/>
  <c r="AN29" i="1"/>
  <c r="AN35" i="1" s="1"/>
  <c r="AN208" i="1" s="1"/>
  <c r="AF29" i="1"/>
  <c r="AF35" i="1" s="1"/>
  <c r="AF208" i="1" s="1"/>
  <c r="AR29" i="1"/>
  <c r="AR35" i="1" s="1"/>
  <c r="AR208" i="1" s="1"/>
  <c r="I205" i="6"/>
  <c r="AX29" i="1"/>
  <c r="AX35" i="1" s="1"/>
  <c r="AX208" i="1" s="1"/>
  <c r="AQ176" i="6"/>
  <c r="C176" i="6"/>
  <c r="C206" i="6" s="1"/>
  <c r="C209" i="6" s="1"/>
  <c r="C210" i="6" s="1"/>
  <c r="C213" i="6" s="1"/>
  <c r="O176" i="6"/>
  <c r="O206" i="6" s="1"/>
  <c r="O209" i="6" s="1"/>
  <c r="O210" i="6" s="1"/>
  <c r="O213" i="6" s="1"/>
  <c r="AQ205" i="6"/>
  <c r="AR197" i="1"/>
  <c r="AR205" i="1" s="1"/>
  <c r="F205" i="6"/>
  <c r="AB205" i="1"/>
  <c r="AB206" i="1" s="1"/>
  <c r="L176" i="6"/>
  <c r="L206" i="6" s="1"/>
  <c r="L209" i="6" s="1"/>
  <c r="L210" i="6" s="1"/>
  <c r="AN176" i="6"/>
  <c r="AN205" i="6"/>
  <c r="AN205" i="1"/>
  <c r="AN206" i="1" s="1"/>
  <c r="AN209" i="1" s="1"/>
  <c r="V205" i="6"/>
  <c r="I176" i="6"/>
  <c r="AB35" i="1"/>
  <c r="AB208" i="1" s="1"/>
  <c r="R176" i="6"/>
  <c r="R206" i="6" s="1"/>
  <c r="R209" i="6" s="1"/>
  <c r="R210" i="6" s="1"/>
  <c r="R213" i="6" s="1"/>
  <c r="AJ206" i="1"/>
  <c r="AJ209" i="1" s="1"/>
  <c r="AJ29" i="1"/>
  <c r="AJ35" i="1" s="1"/>
  <c r="AJ208" i="1" s="1"/>
  <c r="I29" i="1"/>
  <c r="I35" i="1" s="1"/>
  <c r="I208" i="1" s="1"/>
  <c r="AX210" i="1" l="1"/>
  <c r="AX213" i="1" s="1"/>
  <c r="F24" i="10"/>
  <c r="F11" i="10" s="1"/>
  <c r="F10" i="10" s="1"/>
  <c r="V206" i="6"/>
  <c r="V209" i="6" s="1"/>
  <c r="V210" i="6" s="1"/>
  <c r="V213" i="6" s="1"/>
  <c r="BA163" i="6"/>
  <c r="F206" i="6"/>
  <c r="F209" i="6" s="1"/>
  <c r="F210" i="6" s="1"/>
  <c r="C29" i="1"/>
  <c r="I206" i="6"/>
  <c r="I209" i="6" s="1"/>
  <c r="I210" i="6" s="1"/>
  <c r="AQ206" i="6"/>
  <c r="AQ209" i="6" s="1"/>
  <c r="AQ210" i="6" s="1"/>
  <c r="AQ213" i="6" s="1"/>
  <c r="AR206" i="1"/>
  <c r="AR209" i="1" s="1"/>
  <c r="AR210" i="1" s="1"/>
  <c r="AR213" i="1" s="1"/>
  <c r="AN210" i="1"/>
  <c r="AN213" i="1" s="1"/>
  <c r="AB209" i="1"/>
  <c r="AB210" i="1" s="1"/>
  <c r="AB213" i="1" s="1"/>
  <c r="AF209" i="1"/>
  <c r="AF210" i="1" s="1"/>
  <c r="AF213" i="1" s="1"/>
  <c r="AK209" i="6"/>
  <c r="AK210" i="6" s="1"/>
  <c r="AK213" i="6" s="1"/>
  <c r="AN206" i="6"/>
  <c r="AN209" i="6" s="1"/>
  <c r="AN210" i="6" s="1"/>
  <c r="AN213" i="6" s="1"/>
  <c r="AJ210" i="1"/>
  <c r="AJ213" i="1" s="1"/>
  <c r="N210" i="1"/>
  <c r="N213" i="1" s="1"/>
  <c r="G10" i="9" l="1"/>
  <c r="G12" i="9" s="1"/>
  <c r="G16" i="9" s="1"/>
  <c r="C35" i="1"/>
  <c r="I213" i="6"/>
  <c r="AD31" i="1" l="1"/>
  <c r="BD31" i="1" s="1"/>
  <c r="E31" i="1" l="1"/>
  <c r="I39" i="10" s="1"/>
  <c r="BD33" i="1"/>
  <c r="AD33" i="1"/>
  <c r="J39" i="10" l="1"/>
  <c r="K39" i="10"/>
  <c r="I38" i="10"/>
  <c r="J12" i="13"/>
  <c r="E33" i="1"/>
  <c r="J21" i="9" s="1"/>
  <c r="T181" i="1"/>
  <c r="J67" i="1"/>
  <c r="J72" i="1" s="1"/>
  <c r="AH56" i="1"/>
  <c r="T23" i="1"/>
  <c r="X198" i="6"/>
  <c r="X180" i="6"/>
  <c r="X136" i="6"/>
  <c r="E122" i="6"/>
  <c r="K97" i="6"/>
  <c r="Q97" i="6"/>
  <c r="T91" i="6"/>
  <c r="K61" i="6"/>
  <c r="Q61" i="6"/>
  <c r="E56" i="6"/>
  <c r="AP54" i="6"/>
  <c r="AP52" i="6"/>
  <c r="AA47" i="6"/>
  <c r="N47" i="6"/>
  <c r="H47" i="6"/>
  <c r="E45" i="6"/>
  <c r="AA37" i="6"/>
  <c r="N37" i="6"/>
  <c r="U12" i="6"/>
  <c r="H8" i="6"/>
  <c r="J38" i="10" l="1"/>
  <c r="AH97" i="1"/>
  <c r="AH101" i="1" s="1"/>
  <c r="AL91" i="1"/>
  <c r="AP54" i="1"/>
  <c r="BD54" i="1" s="1"/>
  <c r="E54" i="1" s="1"/>
  <c r="F54" i="1" s="1"/>
  <c r="K21" i="9"/>
  <c r="J23" i="9"/>
  <c r="L12" i="13"/>
  <c r="J11" i="13"/>
  <c r="K12" i="13"/>
  <c r="AA40" i="6"/>
  <c r="E57" i="6"/>
  <c r="X29" i="1"/>
  <c r="X35" i="1" s="1"/>
  <c r="X208" i="1" s="1"/>
  <c r="BC56" i="6"/>
  <c r="J56" i="1"/>
  <c r="K23" i="9" l="1"/>
  <c r="J26" i="9"/>
  <c r="BD56" i="1"/>
  <c r="E56" i="1" s="1"/>
  <c r="J57" i="1"/>
  <c r="J10" i="13"/>
  <c r="K11" i="13"/>
  <c r="L11" i="13"/>
  <c r="C206" i="1"/>
  <c r="K26" i="9" l="1"/>
  <c r="L10" i="13"/>
  <c r="J9" i="13"/>
  <c r="K10" i="13"/>
  <c r="G37" i="1"/>
  <c r="G38" i="1"/>
  <c r="G39" i="1"/>
  <c r="G41" i="1"/>
  <c r="G42" i="1"/>
  <c r="F43" i="1"/>
  <c r="G43" i="1"/>
  <c r="G44" i="1"/>
  <c r="G45" i="1"/>
  <c r="G47" i="1"/>
  <c r="G48" i="1"/>
  <c r="G49" i="1"/>
  <c r="G52" i="1"/>
  <c r="G53" i="1"/>
  <c r="F55" i="1"/>
  <c r="G55" i="1"/>
  <c r="G58" i="1"/>
  <c r="G60" i="1"/>
  <c r="F61" i="1"/>
  <c r="G61" i="1"/>
  <c r="D62" i="1"/>
  <c r="G62" i="1" s="1"/>
  <c r="G63" i="1"/>
  <c r="G64" i="1"/>
  <c r="D65" i="1"/>
  <c r="G65" i="1" s="1"/>
  <c r="G67" i="1"/>
  <c r="K9" i="13" l="1"/>
  <c r="L9" i="13"/>
  <c r="BC138" i="6" l="1"/>
  <c r="BC139" i="6" s="1"/>
  <c r="AP139" i="6"/>
  <c r="J174" i="1" l="1"/>
  <c r="J175" i="1" s="1"/>
  <c r="F174" i="1"/>
  <c r="AU174" i="1"/>
  <c r="AQ174" i="1"/>
  <c r="AM174" i="1"/>
  <c r="AI174" i="1"/>
  <c r="AH174" i="1"/>
  <c r="AE174" i="1"/>
  <c r="AA174" i="1"/>
  <c r="U174" i="1"/>
  <c r="Q174" i="1"/>
  <c r="P174" i="1"/>
  <c r="K174" i="1"/>
  <c r="G174" i="1"/>
  <c r="AT148" i="1"/>
  <c r="Z85" i="1"/>
  <c r="AH61" i="1"/>
  <c r="AS149" i="6"/>
  <c r="BC78" i="6"/>
  <c r="BC174" i="6"/>
  <c r="E175" i="6"/>
  <c r="Q168" i="6"/>
  <c r="K168" i="6"/>
  <c r="K175" i="6" l="1"/>
  <c r="BD174" i="1"/>
  <c r="E174" i="1" s="1"/>
  <c r="I111" i="10" s="1"/>
  <c r="AM67" i="6"/>
  <c r="Q57" i="6"/>
  <c r="T52" i="6"/>
  <c r="J111" i="10" l="1"/>
  <c r="K111" i="10"/>
  <c r="Z67" i="1"/>
  <c r="BC52" i="6"/>
  <c r="AL52" i="1"/>
  <c r="AL57" i="1" s="1"/>
  <c r="J181" i="1"/>
  <c r="J183" i="1" s="1"/>
  <c r="J122" i="1"/>
  <c r="J129" i="1" s="1"/>
  <c r="AP77" i="1"/>
  <c r="BC136" i="6" l="1"/>
  <c r="BC137" i="6" s="1"/>
  <c r="AP137" i="6"/>
  <c r="BC37" i="6"/>
  <c r="S216" i="1" l="1"/>
  <c r="O199" i="1"/>
  <c r="AC216" i="1"/>
  <c r="AK34" i="1"/>
  <c r="AM34" i="1" s="1"/>
  <c r="BB16" i="6"/>
  <c r="BB34" i="6"/>
  <c r="J15" i="6"/>
  <c r="J11" i="6"/>
  <c r="G32" i="6"/>
  <c r="BD25" i="1"/>
  <c r="E25" i="1" s="1"/>
  <c r="I33" i="10" s="1"/>
  <c r="S25" i="1"/>
  <c r="BC25" i="1" s="1"/>
  <c r="D25" i="1" s="1"/>
  <c r="G33" i="10" s="1"/>
  <c r="H33" i="10" s="1"/>
  <c r="BB24" i="6"/>
  <c r="BB23" i="6"/>
  <c r="BC24" i="6"/>
  <c r="BC23" i="6"/>
  <c r="Z25" i="6"/>
  <c r="U9" i="1"/>
  <c r="AU212" i="1"/>
  <c r="AU211" i="1"/>
  <c r="AU207" i="1"/>
  <c r="AU203" i="1"/>
  <c r="AU201" i="1"/>
  <c r="AU200" i="1"/>
  <c r="AU198" i="1"/>
  <c r="AU195" i="1"/>
  <c r="AU193" i="1"/>
  <c r="AU192" i="1"/>
  <c r="AU190" i="1"/>
  <c r="AU189" i="1"/>
  <c r="AU187" i="1"/>
  <c r="AU186" i="1"/>
  <c r="AU184" i="1"/>
  <c r="AU182" i="1"/>
  <c r="AU181" i="1"/>
  <c r="AU180" i="1"/>
  <c r="AU179" i="1"/>
  <c r="AU178" i="1"/>
  <c r="AU173" i="1"/>
  <c r="AU171" i="1"/>
  <c r="AU170" i="1"/>
  <c r="AU168" i="1"/>
  <c r="AU166" i="1"/>
  <c r="AU164" i="1"/>
  <c r="AU161" i="1"/>
  <c r="AU159" i="1"/>
  <c r="AU158" i="1"/>
  <c r="AU157" i="1"/>
  <c r="AU156" i="1"/>
  <c r="AU154" i="1"/>
  <c r="AU153" i="1"/>
  <c r="AU152" i="1"/>
  <c r="AU151" i="1"/>
  <c r="AU148" i="1"/>
  <c r="AU147" i="1"/>
  <c r="AU145" i="1"/>
  <c r="AU143" i="1"/>
  <c r="AU142" i="1"/>
  <c r="AU141" i="1"/>
  <c r="AU140" i="1"/>
  <c r="AU138" i="1"/>
  <c r="AU136" i="1"/>
  <c r="AU134" i="1"/>
  <c r="AU132" i="1"/>
  <c r="AU131" i="1"/>
  <c r="AU128" i="1"/>
  <c r="AU127" i="1"/>
  <c r="AU126" i="1"/>
  <c r="AU125" i="1"/>
  <c r="AU124" i="1"/>
  <c r="AU123" i="1"/>
  <c r="AU122" i="1"/>
  <c r="AU120" i="1"/>
  <c r="AU119" i="1"/>
  <c r="AU118" i="1"/>
  <c r="AU116" i="1"/>
  <c r="AU115" i="1"/>
  <c r="AU114" i="1"/>
  <c r="AU113" i="1"/>
  <c r="AU111" i="1"/>
  <c r="AU110" i="1"/>
  <c r="AU108" i="1"/>
  <c r="AU107" i="1"/>
  <c r="AU105" i="1"/>
  <c r="AU104" i="1"/>
  <c r="AU103" i="1"/>
  <c r="AU102" i="1"/>
  <c r="AU100" i="1"/>
  <c r="AU99" i="1"/>
  <c r="AU98" i="1"/>
  <c r="AU97" i="1"/>
  <c r="AU95" i="1"/>
  <c r="AU94" i="1"/>
  <c r="AU93" i="1"/>
  <c r="AU91" i="1"/>
  <c r="AU90" i="1"/>
  <c r="AU89" i="1"/>
  <c r="AU88" i="1"/>
  <c r="AU85" i="1"/>
  <c r="AU83" i="1"/>
  <c r="AU81" i="1"/>
  <c r="AU80" i="1"/>
  <c r="AU78" i="1"/>
  <c r="AU77" i="1"/>
  <c r="AU76" i="1"/>
  <c r="AU74" i="1"/>
  <c r="AU73" i="1"/>
  <c r="AU71" i="1"/>
  <c r="AU70" i="1"/>
  <c r="AU69" i="1"/>
  <c r="AU68" i="1"/>
  <c r="AU67" i="1"/>
  <c r="AU64" i="1"/>
  <c r="AU63" i="1"/>
  <c r="AU61" i="1"/>
  <c r="AU60" i="1"/>
  <c r="AU58" i="1"/>
  <c r="AU55" i="1"/>
  <c r="AU53" i="1"/>
  <c r="AU52" i="1"/>
  <c r="AU49" i="1"/>
  <c r="AU48" i="1"/>
  <c r="AU47" i="1"/>
  <c r="AU45" i="1"/>
  <c r="AU44" i="1"/>
  <c r="AU43" i="1"/>
  <c r="AU42" i="1"/>
  <c r="AU41" i="1"/>
  <c r="AU39" i="1"/>
  <c r="AU38" i="1"/>
  <c r="AU37" i="1"/>
  <c r="AU33" i="1"/>
  <c r="AU31" i="1"/>
  <c r="AQ212" i="1"/>
  <c r="AQ211" i="1"/>
  <c r="AQ207" i="1"/>
  <c r="AQ203" i="1"/>
  <c r="AQ201" i="1"/>
  <c r="AQ200" i="1"/>
  <c r="AQ198" i="1"/>
  <c r="AQ195" i="1"/>
  <c r="AQ193" i="1"/>
  <c r="AQ192" i="1"/>
  <c r="AQ190" i="1"/>
  <c r="AQ189" i="1"/>
  <c r="AQ187" i="1"/>
  <c r="AQ186" i="1"/>
  <c r="AQ184" i="1"/>
  <c r="AQ182" i="1"/>
  <c r="AQ181" i="1"/>
  <c r="AQ180" i="1"/>
  <c r="AQ179" i="1"/>
  <c r="AQ178" i="1"/>
  <c r="AQ173" i="1"/>
  <c r="AQ171" i="1"/>
  <c r="AQ170" i="1"/>
  <c r="AQ168" i="1"/>
  <c r="AQ166" i="1"/>
  <c r="AQ164" i="1"/>
  <c r="AQ161" i="1"/>
  <c r="AQ159" i="1"/>
  <c r="AQ158" i="1"/>
  <c r="AQ157" i="1"/>
  <c r="AQ156" i="1"/>
  <c r="AQ154" i="1"/>
  <c r="AQ153" i="1"/>
  <c r="AQ152" i="1"/>
  <c r="AQ151" i="1"/>
  <c r="AQ148" i="1"/>
  <c r="AQ147" i="1"/>
  <c r="AQ145" i="1"/>
  <c r="AQ143" i="1"/>
  <c r="AQ142" i="1"/>
  <c r="AQ141" i="1"/>
  <c r="AQ140" i="1"/>
  <c r="AQ138" i="1"/>
  <c r="AQ136" i="1"/>
  <c r="AQ134" i="1"/>
  <c r="AQ132" i="1"/>
  <c r="AQ131" i="1"/>
  <c r="AQ128" i="1"/>
  <c r="AQ127" i="1"/>
  <c r="AQ126" i="1"/>
  <c r="AQ125" i="1"/>
  <c r="AQ124" i="1"/>
  <c r="AQ123" i="1"/>
  <c r="AQ122" i="1"/>
  <c r="AQ120" i="1"/>
  <c r="AQ119" i="1"/>
  <c r="AQ118" i="1"/>
  <c r="AQ116" i="1"/>
  <c r="AQ115" i="1"/>
  <c r="AQ114" i="1"/>
  <c r="AQ113" i="1"/>
  <c r="AQ111" i="1"/>
  <c r="AQ110" i="1"/>
  <c r="AQ108" i="1"/>
  <c r="AQ107" i="1"/>
  <c r="AQ105" i="1"/>
  <c r="AQ104" i="1"/>
  <c r="AQ103" i="1"/>
  <c r="AQ102" i="1"/>
  <c r="AQ100" i="1"/>
  <c r="AQ99" i="1"/>
  <c r="AQ98" i="1"/>
  <c r="AQ97" i="1"/>
  <c r="AQ95" i="1"/>
  <c r="AQ94" i="1"/>
  <c r="AQ93" i="1"/>
  <c r="AQ91" i="1"/>
  <c r="AQ90" i="1"/>
  <c r="AQ89" i="1"/>
  <c r="AQ88" i="1"/>
  <c r="AQ85" i="1"/>
  <c r="AQ83" i="1"/>
  <c r="AQ81" i="1"/>
  <c r="AQ80" i="1"/>
  <c r="AQ78" i="1"/>
  <c r="AQ77" i="1"/>
  <c r="AQ76" i="1"/>
  <c r="AQ74" i="1"/>
  <c r="AQ73" i="1"/>
  <c r="AQ71" i="1"/>
  <c r="AQ70" i="1"/>
  <c r="AQ69" i="1"/>
  <c r="AQ68" i="1"/>
  <c r="AQ67" i="1"/>
  <c r="AQ64" i="1"/>
  <c r="AQ63" i="1"/>
  <c r="AQ61" i="1"/>
  <c r="AQ60" i="1"/>
  <c r="AQ58" i="1"/>
  <c r="AQ55" i="1"/>
  <c r="AQ53" i="1"/>
  <c r="AQ52" i="1"/>
  <c r="AQ49" i="1"/>
  <c r="AQ48" i="1"/>
  <c r="AQ47" i="1"/>
  <c r="AQ45" i="1"/>
  <c r="AQ44" i="1"/>
  <c r="AQ43" i="1"/>
  <c r="AQ42" i="1"/>
  <c r="AQ41" i="1"/>
  <c r="AQ39" i="1"/>
  <c r="AQ38" i="1"/>
  <c r="AQ37" i="1"/>
  <c r="AQ34" i="1"/>
  <c r="AQ33" i="1"/>
  <c r="AQ31" i="1"/>
  <c r="AM212" i="1"/>
  <c r="AM211" i="1"/>
  <c r="AM207" i="1"/>
  <c r="AM203" i="1"/>
  <c r="AM201" i="1"/>
  <c r="AM200" i="1"/>
  <c r="AM198" i="1"/>
  <c r="AM195" i="1"/>
  <c r="AM193" i="1"/>
  <c r="AM192" i="1"/>
  <c r="AM190" i="1"/>
  <c r="AM189" i="1"/>
  <c r="AM187" i="1"/>
  <c r="AM186" i="1"/>
  <c r="AM184" i="1"/>
  <c r="AM182" i="1"/>
  <c r="AM181" i="1"/>
  <c r="AM180" i="1"/>
  <c r="AM179" i="1"/>
  <c r="AM178" i="1"/>
  <c r="AM173" i="1"/>
  <c r="AM171" i="1"/>
  <c r="AM170" i="1"/>
  <c r="AM168" i="1"/>
  <c r="AM166" i="1"/>
  <c r="AM164" i="1"/>
  <c r="AM161" i="1"/>
  <c r="AM159" i="1"/>
  <c r="AM158" i="1"/>
  <c r="AM157" i="1"/>
  <c r="AM156" i="1"/>
  <c r="AM154" i="1"/>
  <c r="AM153" i="1"/>
  <c r="AM152" i="1"/>
  <c r="AM151" i="1"/>
  <c r="AM148" i="1"/>
  <c r="AM147" i="1"/>
  <c r="AM145" i="1"/>
  <c r="AM143" i="1"/>
  <c r="AM142" i="1"/>
  <c r="AM141" i="1"/>
  <c r="AM140" i="1"/>
  <c r="AM138" i="1"/>
  <c r="AM136" i="1"/>
  <c r="AM134" i="1"/>
  <c r="AM132" i="1"/>
  <c r="AM131" i="1"/>
  <c r="AM128" i="1"/>
  <c r="AM127" i="1"/>
  <c r="AM126" i="1"/>
  <c r="AM125" i="1"/>
  <c r="AM124" i="1"/>
  <c r="AM123" i="1"/>
  <c r="AM122" i="1"/>
  <c r="AM120" i="1"/>
  <c r="AM119" i="1"/>
  <c r="AM118" i="1"/>
  <c r="AM116" i="1"/>
  <c r="AM115" i="1"/>
  <c r="AM114" i="1"/>
  <c r="AM113" i="1"/>
  <c r="AM111" i="1"/>
  <c r="AM110" i="1"/>
  <c r="AM108" i="1"/>
  <c r="AM107" i="1"/>
  <c r="AM105" i="1"/>
  <c r="AM104" i="1"/>
  <c r="AM103" i="1"/>
  <c r="AM102" i="1"/>
  <c r="AM100" i="1"/>
  <c r="AM99" i="1"/>
  <c r="AM98" i="1"/>
  <c r="AM97" i="1"/>
  <c r="AM95" i="1"/>
  <c r="AM94" i="1"/>
  <c r="AM93" i="1"/>
  <c r="AM91" i="1"/>
  <c r="AM90" i="1"/>
  <c r="AM89" i="1"/>
  <c r="AM88" i="1"/>
  <c r="AM85" i="1"/>
  <c r="AM83" i="1"/>
  <c r="AM81" i="1"/>
  <c r="AM80" i="1"/>
  <c r="AM78" i="1"/>
  <c r="AM77" i="1"/>
  <c r="AM76" i="1"/>
  <c r="AM74" i="1"/>
  <c r="AM73" i="1"/>
  <c r="AM71" i="1"/>
  <c r="AM70" i="1"/>
  <c r="AM69" i="1"/>
  <c r="AM68" i="1"/>
  <c r="AM67" i="1"/>
  <c r="AM64" i="1"/>
  <c r="AM63" i="1"/>
  <c r="AM61" i="1"/>
  <c r="AM60" i="1"/>
  <c r="AM58" i="1"/>
  <c r="AM55" i="1"/>
  <c r="AM53" i="1"/>
  <c r="AM52" i="1"/>
  <c r="AM49" i="1"/>
  <c r="AM48" i="1"/>
  <c r="AM47" i="1"/>
  <c r="AM45" i="1"/>
  <c r="AM44" i="1"/>
  <c r="AM43" i="1"/>
  <c r="AM42" i="1"/>
  <c r="AM41" i="1"/>
  <c r="AM39" i="1"/>
  <c r="AM38" i="1"/>
  <c r="AM37" i="1"/>
  <c r="AM33" i="1"/>
  <c r="AM31" i="1"/>
  <c r="AI212" i="1"/>
  <c r="AI211" i="1"/>
  <c r="AI207" i="1"/>
  <c r="AI203" i="1"/>
  <c r="AI201" i="1"/>
  <c r="AI200" i="1"/>
  <c r="AI198" i="1"/>
  <c r="AI195" i="1"/>
  <c r="AI193" i="1"/>
  <c r="AI192" i="1"/>
  <c r="AI190" i="1"/>
  <c r="AI189" i="1"/>
  <c r="AI187" i="1"/>
  <c r="AI186" i="1"/>
  <c r="AI184" i="1"/>
  <c r="AI182" i="1"/>
  <c r="AI181" i="1"/>
  <c r="AI180" i="1"/>
  <c r="AI178" i="1"/>
  <c r="AI173" i="1"/>
  <c r="AI171" i="1"/>
  <c r="AI170" i="1"/>
  <c r="AI168" i="1"/>
  <c r="AI166" i="1"/>
  <c r="AI164" i="1"/>
  <c r="AI161" i="1"/>
  <c r="AI159" i="1"/>
  <c r="AI158" i="1"/>
  <c r="AI157" i="1"/>
  <c r="AI156" i="1"/>
  <c r="AI154" i="1"/>
  <c r="AI153" i="1"/>
  <c r="AI152" i="1"/>
  <c r="AI151" i="1"/>
  <c r="AI148" i="1"/>
  <c r="AI147" i="1"/>
  <c r="AI145" i="1"/>
  <c r="AI143" i="1"/>
  <c r="AI142" i="1"/>
  <c r="AI141" i="1"/>
  <c r="AI140" i="1"/>
  <c r="AI138" i="1"/>
  <c r="AI136" i="1"/>
  <c r="AI134" i="1"/>
  <c r="AI132" i="1"/>
  <c r="AI131" i="1"/>
  <c r="AI128" i="1"/>
  <c r="AI127" i="1"/>
  <c r="AI126" i="1"/>
  <c r="AI125" i="1"/>
  <c r="AI124" i="1"/>
  <c r="AI123" i="1"/>
  <c r="AI122" i="1"/>
  <c r="AI120" i="1"/>
  <c r="AI119" i="1"/>
  <c r="AI118" i="1"/>
  <c r="AI116" i="1"/>
  <c r="AI115" i="1"/>
  <c r="AI114" i="1"/>
  <c r="AI113" i="1"/>
  <c r="AI111" i="1"/>
  <c r="AI110" i="1"/>
  <c r="AI108" i="1"/>
  <c r="AI107" i="1"/>
  <c r="AI105" i="1"/>
  <c r="AI104" i="1"/>
  <c r="AI103" i="1"/>
  <c r="AI102" i="1"/>
  <c r="AI100" i="1"/>
  <c r="AI99" i="1"/>
  <c r="AI98" i="1"/>
  <c r="AI97" i="1"/>
  <c r="AI95" i="1"/>
  <c r="AI94" i="1"/>
  <c r="AI93" i="1"/>
  <c r="AI91" i="1"/>
  <c r="AI90" i="1"/>
  <c r="AI89" i="1"/>
  <c r="AI88" i="1"/>
  <c r="AI85" i="1"/>
  <c r="AI83" i="1"/>
  <c r="AI81" i="1"/>
  <c r="AI80" i="1"/>
  <c r="AI78" i="1"/>
  <c r="AI77" i="1"/>
  <c r="AI76" i="1"/>
  <c r="AI74" i="1"/>
  <c r="AI73" i="1"/>
  <c r="AI71" i="1"/>
  <c r="AI70" i="1"/>
  <c r="AI69" i="1"/>
  <c r="AI68" i="1"/>
  <c r="AI67" i="1"/>
  <c r="AI64" i="1"/>
  <c r="AI63" i="1"/>
  <c r="AI61" i="1"/>
  <c r="AI60" i="1"/>
  <c r="AI58" i="1"/>
  <c r="AI55" i="1"/>
  <c r="AI53" i="1"/>
  <c r="AI52" i="1"/>
  <c r="AI49" i="1"/>
  <c r="AI48" i="1"/>
  <c r="AI47" i="1"/>
  <c r="AI45" i="1"/>
  <c r="AI44" i="1"/>
  <c r="AI43" i="1"/>
  <c r="AI42" i="1"/>
  <c r="AI41" i="1"/>
  <c r="AI39" i="1"/>
  <c r="AI38" i="1"/>
  <c r="AI37" i="1"/>
  <c r="AI34" i="1"/>
  <c r="AI33" i="1"/>
  <c r="AI31" i="1"/>
  <c r="AE212" i="1"/>
  <c r="AE211" i="1"/>
  <c r="AE207" i="1"/>
  <c r="AE203" i="1"/>
  <c r="AE201" i="1"/>
  <c r="AE200" i="1"/>
  <c r="AE198" i="1"/>
  <c r="AE195" i="1"/>
  <c r="AE193" i="1"/>
  <c r="AE192" i="1"/>
  <c r="AE190" i="1"/>
  <c r="AE189" i="1"/>
  <c r="AE187" i="1"/>
  <c r="AE186" i="1"/>
  <c r="AE184" i="1"/>
  <c r="AE182" i="1"/>
  <c r="AE181" i="1"/>
  <c r="AE180" i="1"/>
  <c r="AE178" i="1"/>
  <c r="AE173" i="1"/>
  <c r="AE171" i="1"/>
  <c r="AE170" i="1"/>
  <c r="AE168" i="1"/>
  <c r="AE166" i="1"/>
  <c r="AE164" i="1"/>
  <c r="AE161" i="1"/>
  <c r="AE159" i="1"/>
  <c r="AE158" i="1"/>
  <c r="AE157" i="1"/>
  <c r="AE156" i="1"/>
  <c r="AE154" i="1"/>
  <c r="AE153" i="1"/>
  <c r="AE152" i="1"/>
  <c r="AE151" i="1"/>
  <c r="AE148" i="1"/>
  <c r="AE147" i="1"/>
  <c r="AE145" i="1"/>
  <c r="AE143" i="1"/>
  <c r="AE142" i="1"/>
  <c r="AE141" i="1"/>
  <c r="AE140" i="1"/>
  <c r="AE138" i="1"/>
  <c r="AE136" i="1"/>
  <c r="AE134" i="1"/>
  <c r="AE132" i="1"/>
  <c r="AE131" i="1"/>
  <c r="AE128" i="1"/>
  <c r="AE127" i="1"/>
  <c r="AE126" i="1"/>
  <c r="AE125" i="1"/>
  <c r="AE124" i="1"/>
  <c r="AE123" i="1"/>
  <c r="AE122" i="1"/>
  <c r="AE120" i="1"/>
  <c r="AE119" i="1"/>
  <c r="AE118" i="1"/>
  <c r="AE116" i="1"/>
  <c r="AE115" i="1"/>
  <c r="AE114" i="1"/>
  <c r="AE113" i="1"/>
  <c r="AE111" i="1"/>
  <c r="AE110" i="1"/>
  <c r="AE108" i="1"/>
  <c r="AE107" i="1"/>
  <c r="AE105" i="1"/>
  <c r="AE104" i="1"/>
  <c r="AE103" i="1"/>
  <c r="AE102" i="1"/>
  <c r="AE100" i="1"/>
  <c r="AE99" i="1"/>
  <c r="AE98" i="1"/>
  <c r="AE97" i="1"/>
  <c r="AE95" i="1"/>
  <c r="AE94" i="1"/>
  <c r="AE93" i="1"/>
  <c r="AE91" i="1"/>
  <c r="AE90" i="1"/>
  <c r="AE89" i="1"/>
  <c r="AE88" i="1"/>
  <c r="AE85" i="1"/>
  <c r="AE83" i="1"/>
  <c r="AE81" i="1"/>
  <c r="AE80" i="1"/>
  <c r="AE78" i="1"/>
  <c r="AE77" i="1"/>
  <c r="AE76" i="1"/>
  <c r="AE74" i="1"/>
  <c r="AE73" i="1"/>
  <c r="AE71" i="1"/>
  <c r="AE70" i="1"/>
  <c r="AE69" i="1"/>
  <c r="AE68" i="1"/>
  <c r="AE67" i="1"/>
  <c r="AE64" i="1"/>
  <c r="AE63" i="1"/>
  <c r="AE61" i="1"/>
  <c r="AE60" i="1"/>
  <c r="AE58" i="1"/>
  <c r="AE55" i="1"/>
  <c r="AE53" i="1"/>
  <c r="AE52" i="1"/>
  <c r="AE49" i="1"/>
  <c r="AE48" i="1"/>
  <c r="AE47" i="1"/>
  <c r="AE45" i="1"/>
  <c r="AE44" i="1"/>
  <c r="AE43" i="1"/>
  <c r="AE42" i="1"/>
  <c r="AE41" i="1"/>
  <c r="AE39" i="1"/>
  <c r="AE38" i="1"/>
  <c r="AE37" i="1"/>
  <c r="AE34" i="1"/>
  <c r="AA212" i="1"/>
  <c r="AA211" i="1"/>
  <c r="AA207" i="1"/>
  <c r="AA203" i="1"/>
  <c r="AA201" i="1"/>
  <c r="AA200" i="1"/>
  <c r="AA198" i="1"/>
  <c r="AA195" i="1"/>
  <c r="AA193" i="1"/>
  <c r="AA192" i="1"/>
  <c r="AA190" i="1"/>
  <c r="AA189" i="1"/>
  <c r="AA187" i="1"/>
  <c r="AA186" i="1"/>
  <c r="AA184" i="1"/>
  <c r="AA182" i="1"/>
  <c r="AA181" i="1"/>
  <c r="AA180" i="1"/>
  <c r="AA179" i="1"/>
  <c r="AA178" i="1"/>
  <c r="AA173" i="1"/>
  <c r="AA171" i="1"/>
  <c r="AA170" i="1"/>
  <c r="AA168" i="1"/>
  <c r="AA166" i="1"/>
  <c r="AA164" i="1"/>
  <c r="AA161" i="1"/>
  <c r="AA159" i="1"/>
  <c r="AA158" i="1"/>
  <c r="AA157" i="1"/>
  <c r="AA156" i="1"/>
  <c r="AA154" i="1"/>
  <c r="AA153" i="1"/>
  <c r="AA152" i="1"/>
  <c r="AA151" i="1"/>
  <c r="AA148" i="1"/>
  <c r="AA147" i="1"/>
  <c r="AA145" i="1"/>
  <c r="AA143" i="1"/>
  <c r="AA142" i="1"/>
  <c r="AA141" i="1"/>
  <c r="AA140" i="1"/>
  <c r="AA138" i="1"/>
  <c r="AA136" i="1"/>
  <c r="AA134" i="1"/>
  <c r="AA132" i="1"/>
  <c r="AA131" i="1"/>
  <c r="AA128" i="1"/>
  <c r="AA127" i="1"/>
  <c r="AA126" i="1"/>
  <c r="AA125" i="1"/>
  <c r="AA124" i="1"/>
  <c r="AA123" i="1"/>
  <c r="AA122" i="1"/>
  <c r="AA120" i="1"/>
  <c r="AA119" i="1"/>
  <c r="AA118" i="1"/>
  <c r="AA116" i="1"/>
  <c r="AA115" i="1"/>
  <c r="AA114" i="1"/>
  <c r="AA113" i="1"/>
  <c r="AA111" i="1"/>
  <c r="AA110" i="1"/>
  <c r="AA108" i="1"/>
  <c r="AA107" i="1"/>
  <c r="AA105" i="1"/>
  <c r="AA104" i="1"/>
  <c r="AA103" i="1"/>
  <c r="AA102" i="1"/>
  <c r="AA100" i="1"/>
  <c r="AA99" i="1"/>
  <c r="AA98" i="1"/>
  <c r="AA97" i="1"/>
  <c r="AA95" i="1"/>
  <c r="AA94" i="1"/>
  <c r="AA93" i="1"/>
  <c r="AA91" i="1"/>
  <c r="AA90" i="1"/>
  <c r="AA89" i="1"/>
  <c r="AA88" i="1"/>
  <c r="AA85" i="1"/>
  <c r="AA83" i="1"/>
  <c r="AA81" i="1"/>
  <c r="AA80" i="1"/>
  <c r="AA78" i="1"/>
  <c r="AA77" i="1"/>
  <c r="AA76" i="1"/>
  <c r="AA74" i="1"/>
  <c r="AA73" i="1"/>
  <c r="AA71" i="1"/>
  <c r="AA70" i="1"/>
  <c r="AA69" i="1"/>
  <c r="AA68" i="1"/>
  <c r="AA67" i="1"/>
  <c r="AA64" i="1"/>
  <c r="AA63" i="1"/>
  <c r="AA61" i="1"/>
  <c r="AA60" i="1"/>
  <c r="AA58" i="1"/>
  <c r="AA55" i="1"/>
  <c r="AA53" i="1"/>
  <c r="AA52" i="1"/>
  <c r="AA49" i="1"/>
  <c r="AA48" i="1"/>
  <c r="AA47" i="1"/>
  <c r="AA45" i="1"/>
  <c r="AA44" i="1"/>
  <c r="AA43" i="1"/>
  <c r="AA42" i="1"/>
  <c r="AA41" i="1"/>
  <c r="AA39" i="1"/>
  <c r="AA38" i="1"/>
  <c r="AA37" i="1"/>
  <c r="AA33" i="1"/>
  <c r="AA31" i="1"/>
  <c r="U212" i="1"/>
  <c r="U211" i="1"/>
  <c r="U207" i="1"/>
  <c r="U203" i="1"/>
  <c r="U201" i="1"/>
  <c r="U200" i="1"/>
  <c r="U198" i="1"/>
  <c r="U195" i="1"/>
  <c r="U193" i="1"/>
  <c r="U192" i="1"/>
  <c r="U190" i="1"/>
  <c r="U189" i="1"/>
  <c r="U187" i="1"/>
  <c r="U186" i="1"/>
  <c r="U184" i="1"/>
  <c r="U182" i="1"/>
  <c r="U181" i="1"/>
  <c r="U180" i="1"/>
  <c r="U178" i="1"/>
  <c r="U173" i="1"/>
  <c r="U171" i="1"/>
  <c r="U170" i="1"/>
  <c r="U168" i="1"/>
  <c r="U166" i="1"/>
  <c r="U164" i="1"/>
  <c r="U161" i="1"/>
  <c r="U159" i="1"/>
  <c r="U158" i="1"/>
  <c r="U157" i="1"/>
  <c r="U156" i="1"/>
  <c r="U154" i="1"/>
  <c r="U153" i="1"/>
  <c r="U151" i="1"/>
  <c r="U148" i="1"/>
  <c r="U147" i="1"/>
  <c r="U145" i="1"/>
  <c r="U143" i="1"/>
  <c r="U142" i="1"/>
  <c r="U141" i="1"/>
  <c r="U140" i="1"/>
  <c r="U138" i="1"/>
  <c r="U136" i="1"/>
  <c r="U134" i="1"/>
  <c r="U132" i="1"/>
  <c r="U131" i="1"/>
  <c r="U128" i="1"/>
  <c r="U127" i="1"/>
  <c r="U126" i="1"/>
  <c r="U125" i="1"/>
  <c r="U124" i="1"/>
  <c r="U123" i="1"/>
  <c r="U122" i="1"/>
  <c r="U120" i="1"/>
  <c r="U119" i="1"/>
  <c r="U118" i="1"/>
  <c r="U116" i="1"/>
  <c r="U115" i="1"/>
  <c r="U114" i="1"/>
  <c r="U113" i="1"/>
  <c r="U111" i="1"/>
  <c r="U110" i="1"/>
  <c r="U108" i="1"/>
  <c r="U107" i="1"/>
  <c r="U105" i="1"/>
  <c r="U104" i="1"/>
  <c r="U103" i="1"/>
  <c r="U102" i="1"/>
  <c r="U100" i="1"/>
  <c r="U99" i="1"/>
  <c r="U98" i="1"/>
  <c r="U97" i="1"/>
  <c r="U95" i="1"/>
  <c r="U94" i="1"/>
  <c r="U93" i="1"/>
  <c r="U91" i="1"/>
  <c r="U90" i="1"/>
  <c r="U89" i="1"/>
  <c r="U88" i="1"/>
  <c r="U85" i="1"/>
  <c r="U83" i="1"/>
  <c r="U81" i="1"/>
  <c r="U80" i="1"/>
  <c r="U78" i="1"/>
  <c r="U77" i="1"/>
  <c r="U76" i="1"/>
  <c r="U74" i="1"/>
  <c r="U73" i="1"/>
  <c r="U71" i="1"/>
  <c r="U70" i="1"/>
  <c r="U69" i="1"/>
  <c r="U68" i="1"/>
  <c r="U67" i="1"/>
  <c r="U64" i="1"/>
  <c r="U63" i="1"/>
  <c r="U61" i="1"/>
  <c r="U60" i="1"/>
  <c r="U58" i="1"/>
  <c r="U55" i="1"/>
  <c r="U53" i="1"/>
  <c r="U52" i="1"/>
  <c r="U49" i="1"/>
  <c r="U48" i="1"/>
  <c r="U47" i="1"/>
  <c r="U45" i="1"/>
  <c r="U44" i="1"/>
  <c r="U43" i="1"/>
  <c r="U42" i="1"/>
  <c r="U41" i="1"/>
  <c r="U39" i="1"/>
  <c r="U38" i="1"/>
  <c r="U37" i="1"/>
  <c r="U34" i="1"/>
  <c r="U33" i="1"/>
  <c r="U31" i="1"/>
  <c r="U27" i="1"/>
  <c r="U21" i="1"/>
  <c r="U19" i="1"/>
  <c r="U17" i="1"/>
  <c r="U15" i="1"/>
  <c r="U14" i="1"/>
  <c r="U13" i="1"/>
  <c r="U11" i="1"/>
  <c r="U10" i="1"/>
  <c r="Q212" i="1"/>
  <c r="Q211" i="1"/>
  <c r="Q207" i="1"/>
  <c r="Q203" i="1"/>
  <c r="Q201" i="1"/>
  <c r="Q200" i="1"/>
  <c r="Q198" i="1"/>
  <c r="Q195" i="1"/>
  <c r="Q193" i="1"/>
  <c r="Q192" i="1"/>
  <c r="Q190" i="1"/>
  <c r="Q189" i="1"/>
  <c r="Q187" i="1"/>
  <c r="Q186" i="1"/>
  <c r="Q184" i="1"/>
  <c r="Q182" i="1"/>
  <c r="Q181" i="1"/>
  <c r="Q180" i="1"/>
  <c r="Q178" i="1"/>
  <c r="Q173" i="1"/>
  <c r="Q171" i="1"/>
  <c r="Q170" i="1"/>
  <c r="Q168" i="1"/>
  <c r="Q166" i="1"/>
  <c r="Q164" i="1"/>
  <c r="Q161" i="1"/>
  <c r="Q159" i="1"/>
  <c r="Q158" i="1"/>
  <c r="Q157" i="1"/>
  <c r="Q156" i="1"/>
  <c r="Q154" i="1"/>
  <c r="Q153" i="1"/>
  <c r="Q152" i="1"/>
  <c r="Q151" i="1"/>
  <c r="Q148" i="1"/>
  <c r="Q147" i="1"/>
  <c r="Q145" i="1"/>
  <c r="Q143" i="1"/>
  <c r="Q142" i="1"/>
  <c r="Q141" i="1"/>
  <c r="Q140" i="1"/>
  <c r="Q138" i="1"/>
  <c r="Q136" i="1"/>
  <c r="Q134" i="1"/>
  <c r="Q132" i="1"/>
  <c r="Q131" i="1"/>
  <c r="Q128" i="1"/>
  <c r="Q127" i="1"/>
  <c r="Q126" i="1"/>
  <c r="Q125" i="1"/>
  <c r="Q124" i="1"/>
  <c r="Q123" i="1"/>
  <c r="Q122" i="1"/>
  <c r="Q120" i="1"/>
  <c r="Q119" i="1"/>
  <c r="Q118" i="1"/>
  <c r="Q116" i="1"/>
  <c r="Q115" i="1"/>
  <c r="Q114" i="1"/>
  <c r="Q113" i="1"/>
  <c r="Q111" i="1"/>
  <c r="Q110" i="1"/>
  <c r="Q108" i="1"/>
  <c r="Q107" i="1"/>
  <c r="Q105" i="1"/>
  <c r="Q104" i="1"/>
  <c r="Q103" i="1"/>
  <c r="Q102" i="1"/>
  <c r="Q100" i="1"/>
  <c r="Q99" i="1"/>
  <c r="Q98" i="1"/>
  <c r="Q97" i="1"/>
  <c r="Q95" i="1"/>
  <c r="Q94" i="1"/>
  <c r="Q93" i="1"/>
  <c r="Q91" i="1"/>
  <c r="Q90" i="1"/>
  <c r="Q89" i="1"/>
  <c r="Q88" i="1"/>
  <c r="Q85" i="1"/>
  <c r="Q83" i="1"/>
  <c r="Q81" i="1"/>
  <c r="Q80" i="1"/>
  <c r="Q78" i="1"/>
  <c r="Q77" i="1"/>
  <c r="Q76" i="1"/>
  <c r="Q74" i="1"/>
  <c r="Q73" i="1"/>
  <c r="Q71" i="1"/>
  <c r="Q70" i="1"/>
  <c r="Q69" i="1"/>
  <c r="Q68" i="1"/>
  <c r="Q67" i="1"/>
  <c r="Q64" i="1"/>
  <c r="Q63" i="1"/>
  <c r="Q61" i="1"/>
  <c r="Q60" i="1"/>
  <c r="Q58" i="1"/>
  <c r="Q55" i="1"/>
  <c r="Q53" i="1"/>
  <c r="Q52" i="1"/>
  <c r="Q49" i="1"/>
  <c r="Q48" i="1"/>
  <c r="Q47" i="1"/>
  <c r="Q45" i="1"/>
  <c r="Q44" i="1"/>
  <c r="Q43" i="1"/>
  <c r="Q42" i="1"/>
  <c r="Q41" i="1"/>
  <c r="Q39" i="1"/>
  <c r="Q38" i="1"/>
  <c r="Q37" i="1"/>
  <c r="Q34" i="1"/>
  <c r="Q33" i="1"/>
  <c r="Q31" i="1"/>
  <c r="Q21" i="1"/>
  <c r="K212" i="1"/>
  <c r="K211" i="1"/>
  <c r="K207" i="1"/>
  <c r="K203" i="1"/>
  <c r="K201" i="1"/>
  <c r="K200" i="1"/>
  <c r="K198" i="1"/>
  <c r="K195" i="1"/>
  <c r="K193" i="1"/>
  <c r="K192" i="1"/>
  <c r="K190" i="1"/>
  <c r="K189" i="1"/>
  <c r="K187" i="1"/>
  <c r="K186" i="1"/>
  <c r="K184" i="1"/>
  <c r="K182" i="1"/>
  <c r="K181" i="1"/>
  <c r="K180" i="1"/>
  <c r="K178" i="1"/>
  <c r="K173" i="1"/>
  <c r="K171" i="1"/>
  <c r="K170" i="1"/>
  <c r="K168" i="1"/>
  <c r="K166" i="1"/>
  <c r="K164" i="1"/>
  <c r="K161" i="1"/>
  <c r="K159" i="1"/>
  <c r="K158" i="1"/>
  <c r="K157" i="1"/>
  <c r="K156" i="1"/>
  <c r="K154" i="1"/>
  <c r="K153" i="1"/>
  <c r="K152" i="1"/>
  <c r="K151" i="1"/>
  <c r="K148" i="1"/>
  <c r="K147" i="1"/>
  <c r="K145" i="1"/>
  <c r="K143" i="1"/>
  <c r="K142" i="1"/>
  <c r="K141" i="1"/>
  <c r="K140" i="1"/>
  <c r="K138" i="1"/>
  <c r="K136" i="1"/>
  <c r="K134" i="1"/>
  <c r="K132" i="1"/>
  <c r="K131" i="1"/>
  <c r="K128" i="1"/>
  <c r="K127" i="1"/>
  <c r="K126" i="1"/>
  <c r="K125" i="1"/>
  <c r="K124" i="1"/>
  <c r="K123" i="1"/>
  <c r="K122" i="1"/>
  <c r="K120" i="1"/>
  <c r="K119" i="1"/>
  <c r="K118" i="1"/>
  <c r="K116" i="1"/>
  <c r="K115" i="1"/>
  <c r="K114" i="1"/>
  <c r="K113" i="1"/>
  <c r="K111" i="1"/>
  <c r="K110" i="1"/>
  <c r="K108" i="1"/>
  <c r="K107" i="1"/>
  <c r="K105" i="1"/>
  <c r="K104" i="1"/>
  <c r="K103" i="1"/>
  <c r="K102" i="1"/>
  <c r="K100" i="1"/>
  <c r="K99" i="1"/>
  <c r="K98" i="1"/>
  <c r="K97" i="1"/>
  <c r="K95" i="1"/>
  <c r="K94" i="1"/>
  <c r="K93" i="1"/>
  <c r="K91" i="1"/>
  <c r="K90" i="1"/>
  <c r="K89" i="1"/>
  <c r="K88" i="1"/>
  <c r="K85" i="1"/>
  <c r="K83" i="1"/>
  <c r="K81" i="1"/>
  <c r="K80" i="1"/>
  <c r="K78" i="1"/>
  <c r="K77" i="1"/>
  <c r="K76" i="1"/>
  <c r="K74" i="1"/>
  <c r="K73" i="1"/>
  <c r="K71" i="1"/>
  <c r="K70" i="1"/>
  <c r="K69" i="1"/>
  <c r="K68" i="1"/>
  <c r="K67" i="1"/>
  <c r="K64" i="1"/>
  <c r="K63" i="1"/>
  <c r="K61" i="1"/>
  <c r="K60" i="1"/>
  <c r="K58" i="1"/>
  <c r="K55" i="1"/>
  <c r="K53" i="1"/>
  <c r="K52" i="1"/>
  <c r="K49" i="1"/>
  <c r="K48" i="1"/>
  <c r="K47" i="1"/>
  <c r="K45" i="1"/>
  <c r="K44" i="1"/>
  <c r="K43" i="1"/>
  <c r="K42" i="1"/>
  <c r="K41" i="1"/>
  <c r="K39" i="1"/>
  <c r="K38" i="1"/>
  <c r="K37" i="1"/>
  <c r="K34" i="1"/>
  <c r="K33" i="1"/>
  <c r="K31" i="1"/>
  <c r="J33" i="10" l="1"/>
  <c r="K33" i="10"/>
  <c r="AY46" i="1"/>
  <c r="G68" i="1"/>
  <c r="G69" i="1"/>
  <c r="G70" i="1"/>
  <c r="G71" i="1"/>
  <c r="G73" i="1"/>
  <c r="G74" i="1"/>
  <c r="G76" i="1"/>
  <c r="G77" i="1"/>
  <c r="G78" i="1"/>
  <c r="G80" i="1"/>
  <c r="G81" i="1"/>
  <c r="G83" i="1"/>
  <c r="G85" i="1"/>
  <c r="G88" i="1"/>
  <c r="G89" i="1"/>
  <c r="G90" i="1"/>
  <c r="G91" i="1"/>
  <c r="G93" i="1"/>
  <c r="G94" i="1"/>
  <c r="G95" i="1"/>
  <c r="G97" i="1"/>
  <c r="G98" i="1"/>
  <c r="G99" i="1"/>
  <c r="G100" i="1"/>
  <c r="G102" i="1"/>
  <c r="G103" i="1"/>
  <c r="G104" i="1"/>
  <c r="G105" i="1"/>
  <c r="G107" i="1"/>
  <c r="G108" i="1"/>
  <c r="G110" i="1"/>
  <c r="G111" i="1"/>
  <c r="G112" i="1"/>
  <c r="G113" i="1"/>
  <c r="G114" i="1"/>
  <c r="G115" i="1"/>
  <c r="G116" i="1"/>
  <c r="G118" i="1"/>
  <c r="G119" i="1"/>
  <c r="G120" i="1"/>
  <c r="G122" i="1"/>
  <c r="G123" i="1"/>
  <c r="G124" i="1"/>
  <c r="G125" i="1"/>
  <c r="G126" i="1"/>
  <c r="G127" i="1"/>
  <c r="G128" i="1"/>
  <c r="G131" i="1"/>
  <c r="G132" i="1"/>
  <c r="G134" i="1"/>
  <c r="G136" i="1"/>
  <c r="G138" i="1"/>
  <c r="G140" i="1"/>
  <c r="G141" i="1"/>
  <c r="G142" i="1"/>
  <c r="G143" i="1"/>
  <c r="G145" i="1"/>
  <c r="G147" i="1"/>
  <c r="G148" i="1"/>
  <c r="G151" i="1"/>
  <c r="G153" i="1"/>
  <c r="G154" i="1"/>
  <c r="G156" i="1"/>
  <c r="G157" i="1"/>
  <c r="G158" i="1"/>
  <c r="G159" i="1"/>
  <c r="G161" i="1"/>
  <c r="G164" i="1"/>
  <c r="G166" i="1"/>
  <c r="G168" i="1"/>
  <c r="G170" i="1"/>
  <c r="G171" i="1"/>
  <c r="G173" i="1"/>
  <c r="G178" i="1"/>
  <c r="G180" i="1"/>
  <c r="G181" i="1"/>
  <c r="G182" i="1"/>
  <c r="G184" i="1"/>
  <c r="G186" i="1"/>
  <c r="G187" i="1"/>
  <c r="G189" i="1"/>
  <c r="G190" i="1"/>
  <c r="G192" i="1"/>
  <c r="G193" i="1"/>
  <c r="G195" i="1"/>
  <c r="G200" i="1"/>
  <c r="G201" i="1"/>
  <c r="G203" i="1"/>
  <c r="G207" i="1"/>
  <c r="G211" i="1"/>
  <c r="G212" i="1"/>
  <c r="F212" i="1"/>
  <c r="F10" i="1"/>
  <c r="F14" i="1"/>
  <c r="F15" i="1"/>
  <c r="F31" i="1"/>
  <c r="F33" i="1"/>
  <c r="F34" i="1"/>
  <c r="F104" i="1"/>
  <c r="F124" i="1"/>
  <c r="F131" i="1"/>
  <c r="F132" i="1"/>
  <c r="F143" i="1"/>
  <c r="F170" i="1"/>
  <c r="F182" i="1"/>
  <c r="F187" i="1"/>
  <c r="F189" i="1"/>
  <c r="F190" i="1"/>
  <c r="F192" i="1"/>
  <c r="F193" i="1"/>
  <c r="F200" i="1"/>
  <c r="F201" i="1"/>
  <c r="F207" i="1"/>
  <c r="BC217" i="1" l="1"/>
  <c r="AP44" i="1" l="1"/>
  <c r="J198" i="1" l="1"/>
  <c r="J199" i="1" s="1"/>
  <c r="AH178" i="1"/>
  <c r="AH179" i="1" s="1"/>
  <c r="AP157" i="1"/>
  <c r="AP136" i="1"/>
  <c r="AP134" i="1"/>
  <c r="AD97" i="1"/>
  <c r="AD101" i="1" s="1"/>
  <c r="AP85" i="1"/>
  <c r="AP83" i="1"/>
  <c r="AP73" i="1"/>
  <c r="AP64" i="1"/>
  <c r="AP65" i="1" s="1"/>
  <c r="BC58" i="6"/>
  <c r="BC59" i="6" s="1"/>
  <c r="AZ58" i="1"/>
  <c r="AV59" i="6"/>
  <c r="AZ47" i="1"/>
  <c r="AH41" i="1"/>
  <c r="AZ37" i="1"/>
  <c r="AT21" i="1"/>
  <c r="J11" i="1"/>
  <c r="AY23" i="1"/>
  <c r="AZ23" i="1"/>
  <c r="BC47" i="6"/>
  <c r="BC55" i="6"/>
  <c r="AW57" i="6"/>
  <c r="AX57" i="6"/>
  <c r="AV57" i="6"/>
  <c r="AW50" i="6"/>
  <c r="BA50" i="1" s="1"/>
  <c r="AV50" i="6"/>
  <c r="AV40" i="6"/>
  <c r="AW40" i="6"/>
  <c r="BA40" i="1" s="1"/>
  <c r="AA204" i="6"/>
  <c r="X204" i="1" s="1"/>
  <c r="X82" i="6"/>
  <c r="X121" i="6"/>
  <c r="X183" i="6"/>
  <c r="X155" i="6"/>
  <c r="AA152" i="6"/>
  <c r="AM149" i="6"/>
  <c r="AA149" i="6"/>
  <c r="X149" i="6"/>
  <c r="X144" i="6"/>
  <c r="AA129" i="6"/>
  <c r="AA117" i="6"/>
  <c r="X117" i="6"/>
  <c r="X109" i="6"/>
  <c r="X106" i="6"/>
  <c r="AA101" i="6"/>
  <c r="X101" i="6"/>
  <c r="X96" i="6"/>
  <c r="X86" i="6"/>
  <c r="X79" i="6"/>
  <c r="Z65" i="6"/>
  <c r="AA65" i="6"/>
  <c r="AB65" i="6"/>
  <c r="AC65" i="6"/>
  <c r="AD65" i="6"/>
  <c r="AE65" i="6"/>
  <c r="AF65" i="6"/>
  <c r="AG65" i="6"/>
  <c r="AI65" i="6"/>
  <c r="AJ65" i="6"/>
  <c r="AL65" i="6"/>
  <c r="X65" i="6"/>
  <c r="X62" i="6"/>
  <c r="Z57" i="6"/>
  <c r="AA57" i="6"/>
  <c r="AB57" i="6"/>
  <c r="AC57" i="6"/>
  <c r="AD57" i="6"/>
  <c r="AE57" i="6"/>
  <c r="AF57" i="6"/>
  <c r="AG57" i="6"/>
  <c r="AI57" i="6"/>
  <c r="AJ57" i="6"/>
  <c r="AL57" i="6"/>
  <c r="AJ25" i="6"/>
  <c r="AI25" i="6"/>
  <c r="AA25" i="6"/>
  <c r="X25" i="6"/>
  <c r="W25" i="6"/>
  <c r="Q179" i="6"/>
  <c r="Q175" i="6"/>
  <c r="N169" i="6"/>
  <c r="Q167" i="6"/>
  <c r="Q165" i="6"/>
  <c r="N129" i="6"/>
  <c r="Q129" i="6"/>
  <c r="Q117" i="6"/>
  <c r="N117" i="6"/>
  <c r="Q109" i="6"/>
  <c r="Q101" i="6"/>
  <c r="N101" i="6"/>
  <c r="Q92" i="6"/>
  <c r="Q82" i="6"/>
  <c r="Q72" i="6"/>
  <c r="T65" i="6"/>
  <c r="Q62" i="6"/>
  <c r="Q50" i="6"/>
  <c r="N50" i="6"/>
  <c r="Q46" i="6"/>
  <c r="Q40" i="6"/>
  <c r="N40" i="6"/>
  <c r="S15" i="6"/>
  <c r="U15" i="6"/>
  <c r="T15" i="6"/>
  <c r="Q15" i="6"/>
  <c r="N15" i="6"/>
  <c r="K179" i="6"/>
  <c r="H204" i="6"/>
  <c r="K169" i="6"/>
  <c r="K167" i="6"/>
  <c r="E160" i="6"/>
  <c r="H149" i="6"/>
  <c r="E146" i="6"/>
  <c r="E144" i="6"/>
  <c r="H129" i="6"/>
  <c r="K129" i="6"/>
  <c r="K117" i="6"/>
  <c r="H117" i="6"/>
  <c r="E117" i="6"/>
  <c r="K109" i="6"/>
  <c r="K101" i="6"/>
  <c r="H101" i="6"/>
  <c r="H50" i="6"/>
  <c r="K50" i="6"/>
  <c r="E50" i="6"/>
  <c r="K46" i="6"/>
  <c r="E46" i="6"/>
  <c r="K40" i="6"/>
  <c r="H40" i="6"/>
  <c r="E40" i="6"/>
  <c r="K11" i="6"/>
  <c r="H11" i="6"/>
  <c r="E11" i="6"/>
  <c r="BC159" i="6"/>
  <c r="BC198" i="6"/>
  <c r="BC199" i="6" s="1"/>
  <c r="BC166" i="6"/>
  <c r="BC108" i="6"/>
  <c r="BC38" i="6"/>
  <c r="BC39" i="6"/>
  <c r="AP149" i="6"/>
  <c r="AP144" i="6"/>
  <c r="AP135" i="6"/>
  <c r="AP129" i="6"/>
  <c r="AP117" i="6"/>
  <c r="AP112" i="6"/>
  <c r="AP96" i="6"/>
  <c r="AP92" i="6"/>
  <c r="AP86" i="6"/>
  <c r="AP84" i="6"/>
  <c r="AP75" i="6"/>
  <c r="AP72" i="6"/>
  <c r="AP57" i="6"/>
  <c r="AP40" i="6"/>
  <c r="AO65" i="6"/>
  <c r="AP65" i="6"/>
  <c r="AX25" i="6"/>
  <c r="BC22" i="6"/>
  <c r="X27" i="6"/>
  <c r="BC148" i="6"/>
  <c r="BC40" i="6" l="1"/>
  <c r="AC31" i="1"/>
  <c r="BC31" i="1" s="1"/>
  <c r="E51" i="6"/>
  <c r="K51" i="6"/>
  <c r="AC33" i="1" l="1"/>
  <c r="AE33" i="1" s="1"/>
  <c r="AC32" i="1"/>
  <c r="AE31" i="1"/>
  <c r="BC32" i="1" l="1"/>
  <c r="D32" i="1" s="1"/>
  <c r="AE32" i="1"/>
  <c r="BC33" i="1"/>
  <c r="G32" i="1" l="1"/>
  <c r="G40" i="10"/>
  <c r="G31" i="1"/>
  <c r="D33" i="1"/>
  <c r="G33" i="1" l="1"/>
  <c r="H21" i="9"/>
  <c r="H40" i="10"/>
  <c r="K40" i="10" s="1"/>
  <c r="G38" i="10"/>
  <c r="H38" i="10" s="1"/>
  <c r="K38" i="10" s="1"/>
  <c r="O163" i="1"/>
  <c r="S163" i="1"/>
  <c r="AY50" i="1"/>
  <c r="AY40" i="1"/>
  <c r="T151" i="1"/>
  <c r="T152" i="1" s="1"/>
  <c r="S152" i="1"/>
  <c r="AG179" i="1"/>
  <c r="AI179" i="1" s="1"/>
  <c r="AD179" i="1"/>
  <c r="AC179" i="1"/>
  <c r="AE179" i="1" s="1"/>
  <c r="T178" i="1"/>
  <c r="S179" i="1"/>
  <c r="U179" i="1" s="1"/>
  <c r="P178" i="1"/>
  <c r="P179" i="1" s="1"/>
  <c r="J178" i="1"/>
  <c r="O179" i="1"/>
  <c r="Q179" i="1" s="1"/>
  <c r="K179" i="1"/>
  <c r="BB179" i="6"/>
  <c r="M205" i="6"/>
  <c r="BB25" i="6"/>
  <c r="BB10" i="6"/>
  <c r="D172" i="6"/>
  <c r="N165" i="6"/>
  <c r="G165" i="6"/>
  <c r="E165" i="6"/>
  <c r="D165" i="6"/>
  <c r="AB162" i="6"/>
  <c r="W162" i="6"/>
  <c r="X162" i="6"/>
  <c r="U162" i="6"/>
  <c r="Q162" i="6"/>
  <c r="K162" i="6"/>
  <c r="D162" i="6"/>
  <c r="S160" i="6"/>
  <c r="K160" i="6"/>
  <c r="D160" i="6"/>
  <c r="Z155" i="6"/>
  <c r="W155" i="6"/>
  <c r="N155" i="6"/>
  <c r="M155" i="6"/>
  <c r="D155" i="6"/>
  <c r="AW152" i="6"/>
  <c r="AX152" i="6"/>
  <c r="AV152" i="6"/>
  <c r="AU152" i="6"/>
  <c r="AS152" i="6"/>
  <c r="AR152" i="6"/>
  <c r="AP152" i="6"/>
  <c r="AO152" i="6"/>
  <c r="AM152" i="6"/>
  <c r="AL152" i="6"/>
  <c r="AJ152" i="6"/>
  <c r="AI152" i="6"/>
  <c r="AG152" i="6"/>
  <c r="AF152" i="6"/>
  <c r="AE152" i="6"/>
  <c r="AD152" i="6"/>
  <c r="AC152" i="6"/>
  <c r="AB152" i="6"/>
  <c r="X152" i="6"/>
  <c r="W152" i="6"/>
  <c r="P152" i="6"/>
  <c r="Q152" i="6"/>
  <c r="S152" i="6"/>
  <c r="T152" i="6"/>
  <c r="U152" i="6"/>
  <c r="N152" i="6"/>
  <c r="M152" i="6"/>
  <c r="G152" i="6"/>
  <c r="H152" i="6"/>
  <c r="J152" i="6"/>
  <c r="K152" i="6"/>
  <c r="E152" i="6"/>
  <c r="D152" i="6"/>
  <c r="BC178" i="6"/>
  <c r="BC179" i="6" s="1"/>
  <c r="H23" i="9" l="1"/>
  <c r="I21" i="9"/>
  <c r="L21" i="9" s="1"/>
  <c r="BB152" i="6"/>
  <c r="BC152" i="1"/>
  <c r="D152" i="1" s="1"/>
  <c r="U152" i="1"/>
  <c r="BC179" i="1"/>
  <c r="D179" i="1" s="1"/>
  <c r="G115" i="10" s="1"/>
  <c r="H115" i="10" s="1"/>
  <c r="AY39" i="1"/>
  <c r="AY38" i="1"/>
  <c r="AY37" i="1"/>
  <c r="AY34" i="1"/>
  <c r="AY27" i="1"/>
  <c r="AY24" i="1"/>
  <c r="AY21" i="1"/>
  <c r="AY19" i="1"/>
  <c r="AY17" i="1"/>
  <c r="AY15" i="1"/>
  <c r="AY14" i="1"/>
  <c r="AY13" i="1"/>
  <c r="AY10" i="1"/>
  <c r="AY11" i="1"/>
  <c r="AY9" i="1"/>
  <c r="AZ204" i="1"/>
  <c r="AZ202" i="1"/>
  <c r="AZ199" i="1"/>
  <c r="AZ196" i="1"/>
  <c r="AZ194" i="1"/>
  <c r="AZ191" i="1"/>
  <c r="AZ188" i="1"/>
  <c r="AZ185" i="1"/>
  <c r="AZ183" i="1"/>
  <c r="AZ175" i="1"/>
  <c r="AZ172" i="1"/>
  <c r="AZ169" i="1"/>
  <c r="AZ167" i="1"/>
  <c r="AZ165" i="1"/>
  <c r="AZ160" i="1"/>
  <c r="AZ162" i="1" s="1"/>
  <c r="AZ155" i="1"/>
  <c r="AZ149" i="1"/>
  <c r="AZ146" i="1"/>
  <c r="AZ144" i="1"/>
  <c r="AZ139" i="1"/>
  <c r="AZ137" i="1"/>
  <c r="AZ135" i="1"/>
  <c r="AZ133" i="1"/>
  <c r="AZ129" i="1"/>
  <c r="AZ121" i="1"/>
  <c r="AZ117" i="1"/>
  <c r="AZ112" i="1"/>
  <c r="AZ109" i="1"/>
  <c r="AZ106" i="1"/>
  <c r="AZ101" i="1"/>
  <c r="AZ96" i="1"/>
  <c r="AZ92" i="1"/>
  <c r="AZ86" i="1"/>
  <c r="AZ84" i="1"/>
  <c r="AZ82" i="1"/>
  <c r="AZ79" i="1"/>
  <c r="AZ75" i="1"/>
  <c r="AZ72" i="1"/>
  <c r="AZ65" i="1"/>
  <c r="AZ62" i="1"/>
  <c r="AZ59" i="1"/>
  <c r="AZ57" i="1"/>
  <c r="AZ50" i="1"/>
  <c r="AZ46" i="1"/>
  <c r="AZ40" i="1"/>
  <c r="AZ28" i="1"/>
  <c r="AZ26" i="1"/>
  <c r="AZ22" i="1"/>
  <c r="AZ20" i="1"/>
  <c r="AZ18" i="1"/>
  <c r="AZ16" i="1"/>
  <c r="AZ12" i="1"/>
  <c r="BB26" i="6"/>
  <c r="BB27" i="6" s="1"/>
  <c r="BB20" i="6"/>
  <c r="BB18" i="6"/>
  <c r="BB14" i="6"/>
  <c r="BB13" i="6"/>
  <c r="BB12" i="6"/>
  <c r="BB9" i="6"/>
  <c r="AU204" i="6"/>
  <c r="AU202" i="6"/>
  <c r="AU196" i="6"/>
  <c r="AU194" i="6"/>
  <c r="AU191" i="6"/>
  <c r="AU188" i="6"/>
  <c r="AU185" i="6"/>
  <c r="AU183" i="6"/>
  <c r="AU175" i="6"/>
  <c r="AU172" i="6"/>
  <c r="AU169" i="6"/>
  <c r="AU167" i="6"/>
  <c r="AU165" i="6"/>
  <c r="AU163" i="6"/>
  <c r="AU160" i="6"/>
  <c r="AU155" i="6"/>
  <c r="AU149" i="6"/>
  <c r="AU146" i="6"/>
  <c r="AU144" i="6"/>
  <c r="AU139" i="6"/>
  <c r="AU137" i="6"/>
  <c r="AU135" i="6"/>
  <c r="AU129" i="6"/>
  <c r="AU121" i="6"/>
  <c r="AU117" i="6"/>
  <c r="AU112" i="6"/>
  <c r="AU109" i="6"/>
  <c r="AU106" i="6"/>
  <c r="AU101" i="6"/>
  <c r="AU96" i="6"/>
  <c r="AU92" i="6"/>
  <c r="AU86" i="6"/>
  <c r="AU84" i="6"/>
  <c r="AU82" i="6"/>
  <c r="AU79" i="6"/>
  <c r="AU75" i="6"/>
  <c r="AU72" i="6"/>
  <c r="AU65" i="6"/>
  <c r="AU62" i="6"/>
  <c r="AU59" i="6"/>
  <c r="AU57" i="6"/>
  <c r="AU27" i="6"/>
  <c r="AU25" i="6"/>
  <c r="AU21" i="6"/>
  <c r="AU19" i="6"/>
  <c r="AU17" i="6"/>
  <c r="AU15" i="6"/>
  <c r="AU11" i="6"/>
  <c r="I23" i="9" l="1"/>
  <c r="L23" i="9" s="1"/>
  <c r="AU130" i="6"/>
  <c r="AU176" i="6" s="1"/>
  <c r="AU162" i="6"/>
  <c r="BB11" i="6"/>
  <c r="AZ197" i="1"/>
  <c r="AZ205" i="1" s="1"/>
  <c r="AZ163" i="1"/>
  <c r="AZ87" i="1"/>
  <c r="AZ66" i="1"/>
  <c r="AZ150" i="1"/>
  <c r="AZ130" i="1"/>
  <c r="AZ29" i="1"/>
  <c r="AU205" i="6"/>
  <c r="AZ51" i="1"/>
  <c r="AU28" i="6"/>
  <c r="AU35" i="6" s="1"/>
  <c r="AU208" i="6" s="1"/>
  <c r="AU51" i="6"/>
  <c r="AY204" i="1"/>
  <c r="AY202" i="1"/>
  <c r="AY199" i="1"/>
  <c r="AY196" i="1"/>
  <c r="AY194" i="1"/>
  <c r="AY191" i="1"/>
  <c r="AY188" i="1"/>
  <c r="AY185" i="1"/>
  <c r="AY183" i="1"/>
  <c r="AY175" i="1"/>
  <c r="AY172" i="1"/>
  <c r="AY169" i="1"/>
  <c r="AY167" i="1"/>
  <c r="AY165" i="1"/>
  <c r="AY160" i="1"/>
  <c r="AY162" i="1" s="1"/>
  <c r="AY155" i="1"/>
  <c r="AY149" i="1"/>
  <c r="AY146" i="1"/>
  <c r="AY144" i="1"/>
  <c r="AY139" i="1"/>
  <c r="AY137" i="1"/>
  <c r="AY135" i="1"/>
  <c r="AY133" i="1"/>
  <c r="AY129" i="1"/>
  <c r="AY121" i="1"/>
  <c r="AY117" i="1"/>
  <c r="AY112" i="1"/>
  <c r="AY109" i="1"/>
  <c r="AY106" i="1"/>
  <c r="AY101" i="1"/>
  <c r="AY96" i="1"/>
  <c r="AY92" i="1"/>
  <c r="AY86" i="1"/>
  <c r="AY84" i="1"/>
  <c r="AY82" i="1"/>
  <c r="AY79" i="1"/>
  <c r="AY75" i="1"/>
  <c r="AY72" i="1"/>
  <c r="AY65" i="1"/>
  <c r="AY62" i="1"/>
  <c r="AY59" i="1"/>
  <c r="AY57" i="1"/>
  <c r="AY28" i="1"/>
  <c r="AY26" i="1"/>
  <c r="AY22" i="1"/>
  <c r="AY20" i="1"/>
  <c r="AY18" i="1"/>
  <c r="AY16" i="1"/>
  <c r="AY12" i="1"/>
  <c r="AX204" i="6"/>
  <c r="AX205" i="6" s="1"/>
  <c r="AW204" i="6"/>
  <c r="AV204" i="6"/>
  <c r="AW202" i="6"/>
  <c r="AV202" i="6"/>
  <c r="AW199" i="6"/>
  <c r="AX196" i="6"/>
  <c r="AW196" i="6"/>
  <c r="AV196" i="6"/>
  <c r="AX194" i="6"/>
  <c r="AW194" i="6"/>
  <c r="AV194" i="6"/>
  <c r="AX191" i="6"/>
  <c r="AW191" i="6"/>
  <c r="AV191" i="6"/>
  <c r="AX188" i="6"/>
  <c r="AW188" i="6"/>
  <c r="AV188" i="6"/>
  <c r="AX185" i="6"/>
  <c r="AW185" i="6"/>
  <c r="AV185" i="6"/>
  <c r="AX183" i="6"/>
  <c r="AW183" i="6"/>
  <c r="AV183" i="6"/>
  <c r="AW175" i="6"/>
  <c r="AV175" i="6"/>
  <c r="AW172" i="6"/>
  <c r="AV172" i="6"/>
  <c r="AW169" i="6"/>
  <c r="AV169" i="6"/>
  <c r="AW167" i="6"/>
  <c r="AV167" i="6"/>
  <c r="AW165" i="6"/>
  <c r="AV165" i="6"/>
  <c r="AX163" i="6"/>
  <c r="AX162" i="6" s="1"/>
  <c r="AV163" i="6"/>
  <c r="AV162" i="6" s="1"/>
  <c r="AW162" i="6"/>
  <c r="AX160" i="6"/>
  <c r="AW160" i="6"/>
  <c r="AV160" i="6"/>
  <c r="AX155" i="6"/>
  <c r="AW155" i="6"/>
  <c r="AV155" i="6"/>
  <c r="AV149" i="6"/>
  <c r="AW149" i="6"/>
  <c r="AX146" i="6"/>
  <c r="AW146" i="6"/>
  <c r="AV146" i="6"/>
  <c r="AX144" i="6"/>
  <c r="AW144" i="6"/>
  <c r="AV144" i="6"/>
  <c r="AX139" i="6"/>
  <c r="AW139" i="6"/>
  <c r="AV139" i="6"/>
  <c r="AX137" i="6"/>
  <c r="AW137" i="6"/>
  <c r="AV137" i="6"/>
  <c r="AX135" i="6"/>
  <c r="AW135" i="6"/>
  <c r="AV135" i="6"/>
  <c r="AX133" i="6"/>
  <c r="AW133" i="6"/>
  <c r="AX129" i="6"/>
  <c r="AV129" i="6"/>
  <c r="AW129" i="6"/>
  <c r="AX121" i="6"/>
  <c r="AW121" i="6"/>
  <c r="AV121" i="6"/>
  <c r="AX117" i="6"/>
  <c r="AW117" i="6"/>
  <c r="AV117" i="6"/>
  <c r="AX112" i="6"/>
  <c r="AW112" i="6"/>
  <c r="AV112" i="6"/>
  <c r="AX109" i="6"/>
  <c r="AW109" i="6"/>
  <c r="AV109" i="6"/>
  <c r="AX106" i="6"/>
  <c r="AW106" i="6"/>
  <c r="AV106" i="6"/>
  <c r="AX101" i="6"/>
  <c r="AW101" i="6"/>
  <c r="AV101" i="6"/>
  <c r="AX96" i="6"/>
  <c r="AW96" i="6"/>
  <c r="AV96" i="6"/>
  <c r="AX92" i="6"/>
  <c r="AW92" i="6"/>
  <c r="AV92" i="6"/>
  <c r="AW86" i="6"/>
  <c r="AV86" i="6"/>
  <c r="AW84" i="6"/>
  <c r="AV84" i="6"/>
  <c r="AX82" i="6"/>
  <c r="AW82" i="6"/>
  <c r="AV82" i="6"/>
  <c r="AX79" i="6"/>
  <c r="AW79" i="6"/>
  <c r="AV79" i="6"/>
  <c r="AX75" i="6"/>
  <c r="AW75" i="6"/>
  <c r="AV75" i="6"/>
  <c r="AX72" i="6"/>
  <c r="AW72" i="6"/>
  <c r="AV72" i="6"/>
  <c r="AW65" i="6"/>
  <c r="AV65" i="6"/>
  <c r="AX62" i="6"/>
  <c r="AW62" i="6"/>
  <c r="AV62" i="6"/>
  <c r="AX59" i="6"/>
  <c r="AW59" i="6"/>
  <c r="AX50" i="6"/>
  <c r="AX46" i="6"/>
  <c r="AW46" i="6"/>
  <c r="BA46" i="1" s="1"/>
  <c r="AV46" i="6"/>
  <c r="AV51" i="6" s="1"/>
  <c r="AX40" i="6"/>
  <c r="AW27" i="6"/>
  <c r="AV27" i="6"/>
  <c r="AW25" i="6"/>
  <c r="AV25" i="6"/>
  <c r="AX21" i="6"/>
  <c r="AX28" i="6" s="1"/>
  <c r="AW21" i="6"/>
  <c r="AV21" i="6"/>
  <c r="AW19" i="6"/>
  <c r="AV19" i="6"/>
  <c r="AW17" i="6"/>
  <c r="AV17" i="6"/>
  <c r="AW15" i="6"/>
  <c r="AV15" i="6"/>
  <c r="AW11" i="6"/>
  <c r="AV11" i="6"/>
  <c r="BA51" i="1" l="1"/>
  <c r="BA176" i="1"/>
  <c r="AW130" i="6"/>
  <c r="AV66" i="6"/>
  <c r="AV130" i="6"/>
  <c r="AW66" i="6"/>
  <c r="AY87" i="1"/>
  <c r="AZ35" i="1"/>
  <c r="AZ208" i="1" s="1"/>
  <c r="AZ176" i="1"/>
  <c r="AZ206" i="1" s="1"/>
  <c r="AZ209" i="1" s="1"/>
  <c r="AY163" i="1"/>
  <c r="AX35" i="6"/>
  <c r="AX208" i="6" s="1"/>
  <c r="AY197" i="1"/>
  <c r="AY205" i="1" s="1"/>
  <c r="AY150" i="1"/>
  <c r="AY130" i="1"/>
  <c r="AU206" i="6"/>
  <c r="AU209" i="6" s="1"/>
  <c r="AU210" i="6" s="1"/>
  <c r="AU213" i="6" s="1"/>
  <c r="AY29" i="1"/>
  <c r="AX66" i="6"/>
  <c r="AV205" i="6"/>
  <c r="AX130" i="6"/>
  <c r="AX87" i="6"/>
  <c r="AW197" i="6"/>
  <c r="AW205" i="6" s="1"/>
  <c r="AW163" i="6"/>
  <c r="AX161" i="6"/>
  <c r="AY51" i="1"/>
  <c r="AW87" i="6"/>
  <c r="AW28" i="6"/>
  <c r="AW35" i="6" s="1"/>
  <c r="AW208" i="6" s="1"/>
  <c r="AV28" i="6"/>
  <c r="AV35" i="6" s="1"/>
  <c r="AV208" i="6" s="1"/>
  <c r="AW150" i="6"/>
  <c r="AW51" i="6"/>
  <c r="AX51" i="6"/>
  <c r="AH166" i="1"/>
  <c r="AL13" i="1"/>
  <c r="BA206" i="1" l="1"/>
  <c r="BA209" i="1" s="1"/>
  <c r="BA210" i="1" s="1"/>
  <c r="BA213" i="1" s="1"/>
  <c r="AY35" i="1"/>
  <c r="AY208" i="1" s="1"/>
  <c r="AV176" i="6"/>
  <c r="AV206" i="6" s="1"/>
  <c r="AV209" i="6" s="1"/>
  <c r="AW176" i="6"/>
  <c r="AW206" i="6" s="1"/>
  <c r="AW209" i="6" s="1"/>
  <c r="AW210" i="6" s="1"/>
  <c r="AW213" i="6" s="1"/>
  <c r="AX176" i="6"/>
  <c r="AX206" i="6" s="1"/>
  <c r="AX209" i="6" s="1"/>
  <c r="AX210" i="6" s="1"/>
  <c r="AY176" i="1"/>
  <c r="AY206" i="1" s="1"/>
  <c r="AY209" i="1" s="1"/>
  <c r="AZ210" i="1"/>
  <c r="AZ213" i="1" s="1"/>
  <c r="P203" i="1"/>
  <c r="P127" i="1"/>
  <c r="BD127" i="1" s="1"/>
  <c r="E127" i="1" s="1"/>
  <c r="F127" i="1" s="1"/>
  <c r="BC127" i="6"/>
  <c r="AY210" i="1" l="1"/>
  <c r="AY213" i="1" s="1"/>
  <c r="AV210" i="6"/>
  <c r="AV213" i="6" s="1"/>
  <c r="AP148" i="1"/>
  <c r="AP149" i="1" s="1"/>
  <c r="BC147" i="6"/>
  <c r="BC149" i="6" s="1"/>
  <c r="BC145" i="6"/>
  <c r="BC146" i="6" s="1"/>
  <c r="AH60" i="1"/>
  <c r="AH62" i="1" s="1"/>
  <c r="X59" i="6"/>
  <c r="X66" i="6" s="1"/>
  <c r="AH45" i="1"/>
  <c r="J145" i="1"/>
  <c r="P147" i="1"/>
  <c r="AP153" i="1"/>
  <c r="AP151" i="1"/>
  <c r="P151" i="1"/>
  <c r="P152" i="1" s="1"/>
  <c r="J151" i="1"/>
  <c r="J156" i="1"/>
  <c r="J157" i="1"/>
  <c r="J159" i="1"/>
  <c r="BD147" i="1" l="1"/>
  <c r="BD151" i="1"/>
  <c r="BD152" i="1" s="1"/>
  <c r="BC60" i="6"/>
  <c r="J158" i="1" l="1"/>
  <c r="BC151" i="6"/>
  <c r="BC152" i="6" s="1"/>
  <c r="AL148" i="1"/>
  <c r="AH53" i="1"/>
  <c r="AH122" i="1" l="1"/>
  <c r="AH52" i="1"/>
  <c r="AH57" i="1" s="1"/>
  <c r="AH81" i="1" l="1"/>
  <c r="AH67" i="1"/>
  <c r="AH72" i="1" s="1"/>
  <c r="T24" i="1" l="1"/>
  <c r="T26" i="1" s="1"/>
  <c r="BD201" i="1"/>
  <c r="E201" i="1" s="1"/>
  <c r="BD200" i="1"/>
  <c r="E200" i="1" s="1"/>
  <c r="AL64" i="1"/>
  <c r="AL65" i="1" s="1"/>
  <c r="AH173" i="1"/>
  <c r="AH175" i="1" s="1"/>
  <c r="AH168" i="1"/>
  <c r="J141" i="1"/>
  <c r="J142" i="1"/>
  <c r="J143" i="1"/>
  <c r="J140" i="1"/>
  <c r="J114" i="1"/>
  <c r="J115" i="1"/>
  <c r="J116" i="1"/>
  <c r="J113" i="1"/>
  <c r="AP160" i="1"/>
  <c r="AP161" i="1"/>
  <c r="AP162" i="1" s="1"/>
  <c r="AP138" i="1"/>
  <c r="AP139" i="1" s="1"/>
  <c r="AP198" i="1"/>
  <c r="AP199" i="1" s="1"/>
  <c r="AP122" i="1"/>
  <c r="AP129" i="1" s="1"/>
  <c r="AP90" i="1"/>
  <c r="AP92" i="1" s="1"/>
  <c r="P198" i="1"/>
  <c r="P195" i="1"/>
  <c r="BD195" i="1" s="1"/>
  <c r="E195" i="1" s="1"/>
  <c r="F195" i="1" s="1"/>
  <c r="P193" i="1"/>
  <c r="BD193" i="1" s="1"/>
  <c r="E193" i="1" s="1"/>
  <c r="P192" i="1"/>
  <c r="BD192" i="1" s="1"/>
  <c r="E192" i="1" s="1"/>
  <c r="P190" i="1"/>
  <c r="BD190" i="1" s="1"/>
  <c r="E190" i="1" s="1"/>
  <c r="P189" i="1"/>
  <c r="BD189" i="1" s="1"/>
  <c r="E189" i="1" s="1"/>
  <c r="P187" i="1"/>
  <c r="BD187" i="1" s="1"/>
  <c r="E187" i="1" s="1"/>
  <c r="P186" i="1"/>
  <c r="BD186" i="1" s="1"/>
  <c r="E186" i="1" s="1"/>
  <c r="F186" i="1" s="1"/>
  <c r="P184" i="1"/>
  <c r="BD184" i="1" s="1"/>
  <c r="E184" i="1" s="1"/>
  <c r="F184" i="1" s="1"/>
  <c r="P181" i="1"/>
  <c r="P182" i="1"/>
  <c r="BD182" i="1" s="1"/>
  <c r="E182" i="1" s="1"/>
  <c r="P180" i="1"/>
  <c r="P173" i="1"/>
  <c r="P171" i="1"/>
  <c r="BD171" i="1" s="1"/>
  <c r="E171" i="1" s="1"/>
  <c r="F171" i="1" s="1"/>
  <c r="P170" i="1"/>
  <c r="BD170" i="1" s="1"/>
  <c r="E170" i="1" s="1"/>
  <c r="P168" i="1"/>
  <c r="P166" i="1"/>
  <c r="BD166" i="1" s="1"/>
  <c r="P164" i="1"/>
  <c r="BD164" i="1" s="1"/>
  <c r="E164" i="1" s="1"/>
  <c r="P161" i="1"/>
  <c r="P162" i="1" s="1"/>
  <c r="P157" i="1"/>
  <c r="BD157" i="1" s="1"/>
  <c r="E157" i="1" s="1"/>
  <c r="F157" i="1" s="1"/>
  <c r="P158" i="1"/>
  <c r="BD158" i="1" s="1"/>
  <c r="E158" i="1" s="1"/>
  <c r="F158" i="1" s="1"/>
  <c r="P159" i="1"/>
  <c r="BD159" i="1" s="1"/>
  <c r="E159" i="1" s="1"/>
  <c r="F159" i="1" s="1"/>
  <c r="P156" i="1"/>
  <c r="P154" i="1"/>
  <c r="P153" i="1"/>
  <c r="P148" i="1"/>
  <c r="E147" i="1"/>
  <c r="F147" i="1" s="1"/>
  <c r="P145" i="1"/>
  <c r="BD145" i="1" s="1"/>
  <c r="E145" i="1" s="1"/>
  <c r="F145" i="1" s="1"/>
  <c r="P141" i="1"/>
  <c r="P142" i="1"/>
  <c r="P143" i="1"/>
  <c r="P140" i="1"/>
  <c r="P138" i="1"/>
  <c r="P136" i="1"/>
  <c r="P134" i="1"/>
  <c r="BD134" i="1" s="1"/>
  <c r="E134" i="1" s="1"/>
  <c r="F134" i="1" s="1"/>
  <c r="P132" i="1"/>
  <c r="BD132" i="1" s="1"/>
  <c r="E132" i="1" s="1"/>
  <c r="P131" i="1"/>
  <c r="BD131" i="1" s="1"/>
  <c r="E131" i="1" s="1"/>
  <c r="P123" i="1"/>
  <c r="BD123" i="1" s="1"/>
  <c r="E123" i="1" s="1"/>
  <c r="F123" i="1" s="1"/>
  <c r="P124" i="1"/>
  <c r="BD124" i="1" s="1"/>
  <c r="E124" i="1" s="1"/>
  <c r="P125" i="1"/>
  <c r="BD125" i="1" s="1"/>
  <c r="E125" i="1" s="1"/>
  <c r="F125" i="1" s="1"/>
  <c r="P126" i="1"/>
  <c r="BD126" i="1" s="1"/>
  <c r="E126" i="1" s="1"/>
  <c r="F126" i="1" s="1"/>
  <c r="P128" i="1"/>
  <c r="BD128" i="1" s="1"/>
  <c r="P122" i="1"/>
  <c r="P119" i="1"/>
  <c r="BD119" i="1" s="1"/>
  <c r="E119" i="1" s="1"/>
  <c r="F119" i="1" s="1"/>
  <c r="P120" i="1"/>
  <c r="BD120" i="1" s="1"/>
  <c r="E120" i="1" s="1"/>
  <c r="F120" i="1" s="1"/>
  <c r="P118" i="1"/>
  <c r="P114" i="1"/>
  <c r="P115" i="1"/>
  <c r="P116" i="1"/>
  <c r="P113" i="1"/>
  <c r="P110" i="1"/>
  <c r="P108" i="1"/>
  <c r="BD108" i="1" s="1"/>
  <c r="E108" i="1" s="1"/>
  <c r="F108" i="1" s="1"/>
  <c r="P107" i="1"/>
  <c r="BD107" i="1" s="1"/>
  <c r="E107" i="1" s="1"/>
  <c r="F107" i="1" s="1"/>
  <c r="P103" i="1"/>
  <c r="BD103" i="1" s="1"/>
  <c r="E103" i="1" s="1"/>
  <c r="F103" i="1" s="1"/>
  <c r="P104" i="1"/>
  <c r="BD104" i="1" s="1"/>
  <c r="E104" i="1" s="1"/>
  <c r="P105" i="1"/>
  <c r="BD105" i="1" s="1"/>
  <c r="E105" i="1" s="1"/>
  <c r="F105" i="1" s="1"/>
  <c r="P102" i="1"/>
  <c r="BD102" i="1" s="1"/>
  <c r="P98" i="1"/>
  <c r="P99" i="1"/>
  <c r="P100" i="1"/>
  <c r="P97" i="1"/>
  <c r="P94" i="1"/>
  <c r="BD94" i="1" s="1"/>
  <c r="P95" i="1"/>
  <c r="BD95" i="1" s="1"/>
  <c r="E95" i="1" s="1"/>
  <c r="F95" i="1" s="1"/>
  <c r="P93" i="1"/>
  <c r="BD93" i="1" s="1"/>
  <c r="E93" i="1" s="1"/>
  <c r="F93" i="1" s="1"/>
  <c r="P89" i="1"/>
  <c r="BD89" i="1" s="1"/>
  <c r="E89" i="1" s="1"/>
  <c r="F89" i="1" s="1"/>
  <c r="P91" i="1"/>
  <c r="BD91" i="1" s="1"/>
  <c r="E91" i="1" s="1"/>
  <c r="F91" i="1" s="1"/>
  <c r="P88" i="1"/>
  <c r="P85" i="1"/>
  <c r="P86" i="1" s="1"/>
  <c r="P83" i="1"/>
  <c r="BD83" i="1" s="1"/>
  <c r="E83" i="1" s="1"/>
  <c r="F83" i="1" s="1"/>
  <c r="P81" i="1"/>
  <c r="BD81" i="1" s="1"/>
  <c r="E81" i="1" s="1"/>
  <c r="F81" i="1" s="1"/>
  <c r="P80" i="1"/>
  <c r="P77" i="1"/>
  <c r="BD77" i="1" s="1"/>
  <c r="E77" i="1" s="1"/>
  <c r="F77" i="1" s="1"/>
  <c r="P78" i="1"/>
  <c r="BD78" i="1" s="1"/>
  <c r="E78" i="1" s="1"/>
  <c r="F78" i="1" s="1"/>
  <c r="P76" i="1"/>
  <c r="P74" i="1"/>
  <c r="BD74" i="1" s="1"/>
  <c r="E74" i="1" s="1"/>
  <c r="F74" i="1" s="1"/>
  <c r="P73" i="1"/>
  <c r="BD73" i="1" s="1"/>
  <c r="E73" i="1" s="1"/>
  <c r="F73" i="1" s="1"/>
  <c r="P68" i="1"/>
  <c r="BD68" i="1" s="1"/>
  <c r="E68" i="1" s="1"/>
  <c r="F68" i="1" s="1"/>
  <c r="P69" i="1"/>
  <c r="BD69" i="1" s="1"/>
  <c r="E69" i="1" s="1"/>
  <c r="F69" i="1" s="1"/>
  <c r="P70" i="1"/>
  <c r="BD70" i="1" s="1"/>
  <c r="E70" i="1" s="1"/>
  <c r="F70" i="1" s="1"/>
  <c r="P67" i="1"/>
  <c r="P64" i="1"/>
  <c r="P63" i="1"/>
  <c r="BD63" i="1" s="1"/>
  <c r="E63" i="1" s="1"/>
  <c r="P61" i="1"/>
  <c r="BD61" i="1" s="1"/>
  <c r="E61" i="1" s="1"/>
  <c r="P60" i="1"/>
  <c r="BD60" i="1" s="1"/>
  <c r="E60" i="1" s="1"/>
  <c r="AP53" i="1"/>
  <c r="AP55" i="1"/>
  <c r="AP52" i="1"/>
  <c r="P53" i="1"/>
  <c r="P52" i="1"/>
  <c r="AH48" i="1"/>
  <c r="AH49" i="1"/>
  <c r="AD48" i="1"/>
  <c r="AD49" i="1"/>
  <c r="T48" i="1"/>
  <c r="T49" i="1"/>
  <c r="J48" i="1"/>
  <c r="J49" i="1"/>
  <c r="J42" i="1"/>
  <c r="BD42" i="1" s="1"/>
  <c r="E42" i="1" s="1"/>
  <c r="F42" i="1" s="1"/>
  <c r="J43" i="1"/>
  <c r="BD43" i="1" s="1"/>
  <c r="E43" i="1" s="1"/>
  <c r="J44" i="1"/>
  <c r="J45" i="1"/>
  <c r="BD45" i="1" s="1"/>
  <c r="E45" i="1" s="1"/>
  <c r="F45" i="1" s="1"/>
  <c r="J41" i="1"/>
  <c r="AH38" i="1"/>
  <c r="AH39" i="1"/>
  <c r="AD38" i="1"/>
  <c r="AD39" i="1"/>
  <c r="P38" i="1"/>
  <c r="P39" i="1"/>
  <c r="P37" i="1"/>
  <c r="J38" i="1"/>
  <c r="J39" i="1"/>
  <c r="AP38" i="1"/>
  <c r="AP39" i="1"/>
  <c r="AP37" i="1"/>
  <c r="AL37" i="1"/>
  <c r="T38" i="1"/>
  <c r="T39" i="1"/>
  <c r="BD21" i="1"/>
  <c r="E21" i="1" s="1"/>
  <c r="AP27" i="1"/>
  <c r="BD27" i="1" s="1"/>
  <c r="P24" i="1"/>
  <c r="P23" i="1"/>
  <c r="BD23" i="1" s="1"/>
  <c r="AP19" i="1"/>
  <c r="BD19" i="1" s="1"/>
  <c r="E19" i="1" s="1"/>
  <c r="AP17" i="1"/>
  <c r="BD17" i="1" s="1"/>
  <c r="E17" i="1" s="1"/>
  <c r="I22" i="10" s="1"/>
  <c r="AP14" i="1"/>
  <c r="AP15" i="1"/>
  <c r="AP13" i="1"/>
  <c r="AH14" i="1"/>
  <c r="AH15" i="1"/>
  <c r="AD14" i="1"/>
  <c r="AD15" i="1"/>
  <c r="T14" i="1"/>
  <c r="T15" i="1"/>
  <c r="T13" i="1"/>
  <c r="P14" i="1"/>
  <c r="P15" i="1"/>
  <c r="P13" i="1"/>
  <c r="J14" i="1"/>
  <c r="J15" i="1"/>
  <c r="J13" i="1"/>
  <c r="AT10" i="1"/>
  <c r="AT11" i="1"/>
  <c r="AT9" i="1"/>
  <c r="AP10" i="1"/>
  <c r="AP11" i="1"/>
  <c r="AP9" i="1"/>
  <c r="AL10" i="1"/>
  <c r="AL11" i="1"/>
  <c r="AL9" i="1"/>
  <c r="AH10" i="1"/>
  <c r="AH11" i="1"/>
  <c r="AD10" i="1"/>
  <c r="AD11" i="1"/>
  <c r="AD9" i="1"/>
  <c r="T10" i="1"/>
  <c r="T11" i="1"/>
  <c r="P10" i="1"/>
  <c r="P11" i="1"/>
  <c r="P9" i="1"/>
  <c r="AD13" i="1"/>
  <c r="AH13" i="1"/>
  <c r="AH9" i="1"/>
  <c r="T9" i="1"/>
  <c r="AO204" i="6"/>
  <c r="AP199" i="6"/>
  <c r="BC173" i="6"/>
  <c r="BC175" i="6" s="1"/>
  <c r="Q169" i="6"/>
  <c r="BC154" i="6"/>
  <c r="BC157" i="6"/>
  <c r="BC156" i="6"/>
  <c r="AP162" i="6"/>
  <c r="AP160" i="6"/>
  <c r="Z162" i="6"/>
  <c r="AA162" i="6"/>
  <c r="AC162" i="6"/>
  <c r="AD162" i="6"/>
  <c r="AE162" i="6"/>
  <c r="AF162" i="6"/>
  <c r="AG162" i="6"/>
  <c r="AI162" i="6"/>
  <c r="AJ162" i="6"/>
  <c r="AL162" i="6"/>
  <c r="AM162" i="6"/>
  <c r="X160" i="6"/>
  <c r="X163" i="6" s="1"/>
  <c r="H162" i="6"/>
  <c r="G162" i="6"/>
  <c r="E162" i="6"/>
  <c r="J162" i="6"/>
  <c r="N162" i="6"/>
  <c r="P162" i="6"/>
  <c r="S162" i="6"/>
  <c r="T162" i="6"/>
  <c r="M162" i="6"/>
  <c r="T149" i="6"/>
  <c r="X139" i="6"/>
  <c r="X84" i="6"/>
  <c r="BC63" i="6"/>
  <c r="BC64" i="6"/>
  <c r="P51" i="6"/>
  <c r="J51" i="6"/>
  <c r="D51" i="6"/>
  <c r="U46" i="6"/>
  <c r="T46" i="6"/>
  <c r="N46" i="6"/>
  <c r="H46" i="6"/>
  <c r="H51" i="6" s="1"/>
  <c r="S46" i="6"/>
  <c r="X46" i="6"/>
  <c r="AA46" i="6"/>
  <c r="AC46" i="6"/>
  <c r="AE46" i="6"/>
  <c r="AG46" i="6"/>
  <c r="AJ46" i="6"/>
  <c r="AM46" i="6"/>
  <c r="AP46" i="6"/>
  <c r="AS46" i="6"/>
  <c r="BC41" i="6"/>
  <c r="AS40" i="6"/>
  <c r="AM40" i="6"/>
  <c r="AJ40" i="6"/>
  <c r="AG40" i="6"/>
  <c r="AE40" i="6"/>
  <c r="AC40" i="6"/>
  <c r="X40" i="6"/>
  <c r="T40" i="6"/>
  <c r="T203" i="1"/>
  <c r="F19" i="1" l="1"/>
  <c r="I26" i="10"/>
  <c r="I21" i="10"/>
  <c r="J22" i="10"/>
  <c r="F21" i="1"/>
  <c r="I28" i="10"/>
  <c r="F164" i="1"/>
  <c r="I98" i="10"/>
  <c r="BC65" i="6"/>
  <c r="BD67" i="1"/>
  <c r="E67" i="1" s="1"/>
  <c r="F67" i="1" s="1"/>
  <c r="BD88" i="1"/>
  <c r="E88" i="1" s="1"/>
  <c r="F88" i="1" s="1"/>
  <c r="P129" i="1"/>
  <c r="P160" i="1"/>
  <c r="E27" i="1"/>
  <c r="BD41" i="1"/>
  <c r="E41" i="1" s="1"/>
  <c r="F41" i="1" s="1"/>
  <c r="J46" i="1"/>
  <c r="BD76" i="1"/>
  <c r="E76" i="1" s="1"/>
  <c r="F76" i="1" s="1"/>
  <c r="P79" i="1"/>
  <c r="BD118" i="1"/>
  <c r="E118" i="1" s="1"/>
  <c r="F118" i="1" s="1"/>
  <c r="P121" i="1"/>
  <c r="BD148" i="1"/>
  <c r="BD149" i="1" s="1"/>
  <c r="P149" i="1"/>
  <c r="J117" i="1"/>
  <c r="J144" i="1"/>
  <c r="F17" i="1"/>
  <c r="E18" i="1"/>
  <c r="BD80" i="1"/>
  <c r="E80" i="1" s="1"/>
  <c r="F80" i="1" s="1"/>
  <c r="P82" i="1"/>
  <c r="BD52" i="1"/>
  <c r="P57" i="1"/>
  <c r="BD153" i="1"/>
  <c r="E153" i="1" s="1"/>
  <c r="F153" i="1" s="1"/>
  <c r="P155" i="1"/>
  <c r="E94" i="1"/>
  <c r="F94" i="1" s="1"/>
  <c r="F63" i="1"/>
  <c r="E62" i="1"/>
  <c r="F60" i="1"/>
  <c r="BD97" i="1"/>
  <c r="E97" i="1" s="1"/>
  <c r="F97" i="1" s="1"/>
  <c r="AP57" i="1"/>
  <c r="E166" i="1"/>
  <c r="BD167" i="1"/>
  <c r="BD44" i="1"/>
  <c r="E44" i="1" s="1"/>
  <c r="F44" i="1" s="1"/>
  <c r="E23" i="1"/>
  <c r="I31" i="10" s="1"/>
  <c r="BD180" i="1"/>
  <c r="E180" i="1" s="1"/>
  <c r="F180" i="1" s="1"/>
  <c r="P183" i="1"/>
  <c r="BD99" i="1"/>
  <c r="E99" i="1" s="1"/>
  <c r="F99" i="1" s="1"/>
  <c r="BD64" i="1"/>
  <c r="BD203" i="1"/>
  <c r="BD204" i="1" s="1"/>
  <c r="BC203" i="6"/>
  <c r="BC204" i="6" s="1"/>
  <c r="BC168" i="6"/>
  <c r="BC169" i="6" s="1"/>
  <c r="BD49" i="1"/>
  <c r="E49" i="1" s="1"/>
  <c r="F49" i="1" s="1"/>
  <c r="BD116" i="1"/>
  <c r="E116" i="1" s="1"/>
  <c r="F116" i="1" s="1"/>
  <c r="BD55" i="1"/>
  <c r="E55" i="1" s="1"/>
  <c r="BD198" i="1"/>
  <c r="E198" i="1" s="1"/>
  <c r="F198" i="1" s="1"/>
  <c r="AD168" i="1"/>
  <c r="BD168" i="1" s="1"/>
  <c r="E168" i="1" s="1"/>
  <c r="P12" i="1"/>
  <c r="BD10" i="1"/>
  <c r="E10" i="1" s="1"/>
  <c r="BD140" i="1"/>
  <c r="E140" i="1" s="1"/>
  <c r="F140" i="1" s="1"/>
  <c r="BD173" i="1"/>
  <c r="BD48" i="1"/>
  <c r="E48" i="1" s="1"/>
  <c r="F48" i="1" s="1"/>
  <c r="BD98" i="1"/>
  <c r="E98" i="1" s="1"/>
  <c r="F98" i="1" s="1"/>
  <c r="BD15" i="1"/>
  <c r="E15" i="1" s="1"/>
  <c r="I19" i="10" s="1"/>
  <c r="BD114" i="1"/>
  <c r="E114" i="1" s="1"/>
  <c r="F114" i="1" s="1"/>
  <c r="BD138" i="1"/>
  <c r="E138" i="1" s="1"/>
  <c r="F138" i="1" s="1"/>
  <c r="BD142" i="1"/>
  <c r="E142" i="1" s="1"/>
  <c r="F142" i="1" s="1"/>
  <c r="BD141" i="1"/>
  <c r="E141" i="1" s="1"/>
  <c r="F141" i="1" s="1"/>
  <c r="BD53" i="1"/>
  <c r="E53" i="1" s="1"/>
  <c r="F53" i="1" s="1"/>
  <c r="BD14" i="1"/>
  <c r="E14" i="1" s="1"/>
  <c r="I18" i="10" s="1"/>
  <c r="BD100" i="1"/>
  <c r="E100" i="1" s="1"/>
  <c r="F100" i="1" s="1"/>
  <c r="P117" i="1"/>
  <c r="BD143" i="1"/>
  <c r="E143" i="1" s="1"/>
  <c r="BD39" i="1"/>
  <c r="E39" i="1" s="1"/>
  <c r="BD38" i="1"/>
  <c r="E38" i="1" s="1"/>
  <c r="F38" i="1" s="1"/>
  <c r="E128" i="1"/>
  <c r="F128" i="1" s="1"/>
  <c r="BD13" i="1"/>
  <c r="BD156" i="1"/>
  <c r="E156" i="1" s="1"/>
  <c r="F156" i="1" s="1"/>
  <c r="BD11" i="1"/>
  <c r="E11" i="1" s="1"/>
  <c r="BD115" i="1"/>
  <c r="E115" i="1" s="1"/>
  <c r="F115" i="1" s="1"/>
  <c r="BD110" i="1"/>
  <c r="E110" i="1" s="1"/>
  <c r="F110" i="1" s="1"/>
  <c r="T12" i="1"/>
  <c r="BD106" i="1"/>
  <c r="E102" i="1"/>
  <c r="F102" i="1" s="1"/>
  <c r="AP112" i="1"/>
  <c r="BD122" i="1"/>
  <c r="E122" i="1" s="1"/>
  <c r="F122" i="1" s="1"/>
  <c r="BD85" i="1"/>
  <c r="E85" i="1" s="1"/>
  <c r="F85" i="1" s="1"/>
  <c r="BD154" i="1"/>
  <c r="E154" i="1" s="1"/>
  <c r="F154" i="1" s="1"/>
  <c r="BD181" i="1"/>
  <c r="E181" i="1" s="1"/>
  <c r="F181" i="1" s="1"/>
  <c r="BD113" i="1"/>
  <c r="E113" i="1" s="1"/>
  <c r="F113" i="1" s="1"/>
  <c r="BD24" i="1"/>
  <c r="E24" i="1" s="1"/>
  <c r="BC164" i="6"/>
  <c r="BC165" i="6" s="1"/>
  <c r="AS163" i="6"/>
  <c r="AS162" i="6" s="1"/>
  <c r="AR163" i="6"/>
  <c r="AK162" i="1"/>
  <c r="AM162" i="1" s="1"/>
  <c r="Z112" i="6"/>
  <c r="AA112" i="6"/>
  <c r="AB112" i="6"/>
  <c r="AC112" i="6"/>
  <c r="AD112" i="6"/>
  <c r="AE112" i="6"/>
  <c r="AF112" i="6"/>
  <c r="AG112" i="6"/>
  <c r="AI112" i="6"/>
  <c r="AJ112" i="6"/>
  <c r="AL112" i="6"/>
  <c r="AM112" i="6"/>
  <c r="Q59" i="6"/>
  <c r="F11" i="1" l="1"/>
  <c r="I15" i="10"/>
  <c r="J19" i="10"/>
  <c r="J31" i="10"/>
  <c r="I30" i="10"/>
  <c r="I97" i="10"/>
  <c r="J98" i="10"/>
  <c r="K98" i="10"/>
  <c r="F39" i="1"/>
  <c r="I52" i="10"/>
  <c r="F166" i="1"/>
  <c r="I101" i="10"/>
  <c r="F168" i="1"/>
  <c r="I103" i="10"/>
  <c r="I27" i="10"/>
  <c r="J28" i="10"/>
  <c r="F24" i="1"/>
  <c r="I32" i="10"/>
  <c r="J18" i="10"/>
  <c r="F62" i="1"/>
  <c r="I61" i="10"/>
  <c r="F27" i="1"/>
  <c r="I36" i="10"/>
  <c r="I20" i="10"/>
  <c r="J21" i="10"/>
  <c r="I25" i="10"/>
  <c r="J26" i="10"/>
  <c r="E121" i="1"/>
  <c r="I78" i="10" s="1"/>
  <c r="E148" i="1"/>
  <c r="F148" i="1" s="1"/>
  <c r="P163" i="1"/>
  <c r="F23" i="1"/>
  <c r="E26" i="1"/>
  <c r="E52" i="1"/>
  <c r="E57" i="1" s="1"/>
  <c r="I59" i="10" s="1"/>
  <c r="BD57" i="1"/>
  <c r="E46" i="1"/>
  <c r="BD65" i="1"/>
  <c r="E64" i="1"/>
  <c r="E173" i="1"/>
  <c r="I110" i="10" s="1"/>
  <c r="BD175" i="1"/>
  <c r="E13" i="1"/>
  <c r="BD16" i="1"/>
  <c r="BD26" i="1"/>
  <c r="E155" i="1"/>
  <c r="I93" i="10" s="1"/>
  <c r="E160" i="1"/>
  <c r="I94" i="10" s="1"/>
  <c r="E183" i="1"/>
  <c r="I120" i="10" s="1"/>
  <c r="E117" i="1"/>
  <c r="I77" i="10" s="1"/>
  <c r="Q163" i="1"/>
  <c r="J47" i="1"/>
  <c r="J50" i="1" s="1"/>
  <c r="T47" i="1"/>
  <c r="T50" i="1" s="1"/>
  <c r="AA50" i="6"/>
  <c r="AH47" i="1"/>
  <c r="AH50" i="1" s="1"/>
  <c r="AD47" i="1"/>
  <c r="BC71" i="6"/>
  <c r="P71" i="1"/>
  <c r="P58" i="1"/>
  <c r="X92" i="6"/>
  <c r="X130" i="6" s="1"/>
  <c r="P90" i="1"/>
  <c r="K59" i="6"/>
  <c r="AH58" i="1"/>
  <c r="AH59" i="1" s="1"/>
  <c r="BC111" i="6"/>
  <c r="P111" i="1"/>
  <c r="P112" i="1" s="1"/>
  <c r="Q137" i="6"/>
  <c r="E203" i="1"/>
  <c r="F203" i="1" s="1"/>
  <c r="BD160" i="1"/>
  <c r="AO162" i="1"/>
  <c r="AQ162" i="1" s="1"/>
  <c r="AO163" i="1"/>
  <c r="AS163" i="1"/>
  <c r="AU163" i="1" s="1"/>
  <c r="AC162" i="1"/>
  <c r="AE162" i="1" s="1"/>
  <c r="AG162" i="1"/>
  <c r="AI162" i="1" s="1"/>
  <c r="AR162" i="6"/>
  <c r="K101" i="10" l="1"/>
  <c r="J101" i="10"/>
  <c r="I100" i="10"/>
  <c r="J25" i="10"/>
  <c r="I24" i="10"/>
  <c r="J110" i="10"/>
  <c r="K110" i="10"/>
  <c r="I109" i="10"/>
  <c r="I96" i="10"/>
  <c r="J97" i="10"/>
  <c r="K97" i="10"/>
  <c r="J59" i="10"/>
  <c r="K59" i="10"/>
  <c r="I29" i="10"/>
  <c r="J30" i="10"/>
  <c r="I102" i="10"/>
  <c r="J103" i="10"/>
  <c r="K103" i="10"/>
  <c r="J61" i="10"/>
  <c r="K61" i="10"/>
  <c r="F13" i="1"/>
  <c r="I17" i="10"/>
  <c r="K52" i="10"/>
  <c r="J52" i="10"/>
  <c r="J32" i="10"/>
  <c r="F46" i="1"/>
  <c r="I54" i="10"/>
  <c r="K77" i="10"/>
  <c r="J77" i="10"/>
  <c r="J20" i="10"/>
  <c r="J120" i="10"/>
  <c r="K120" i="10"/>
  <c r="J94" i="10"/>
  <c r="K94" i="10"/>
  <c r="J78" i="10"/>
  <c r="K78" i="10"/>
  <c r="J15" i="10"/>
  <c r="I35" i="10"/>
  <c r="J36" i="10"/>
  <c r="J93" i="10"/>
  <c r="K93" i="10"/>
  <c r="J27" i="10"/>
  <c r="BD90" i="1"/>
  <c r="E90" i="1" s="1"/>
  <c r="F90" i="1" s="1"/>
  <c r="P92" i="1"/>
  <c r="BD71" i="1"/>
  <c r="E71" i="1" s="1"/>
  <c r="F71" i="1" s="1"/>
  <c r="P72" i="1"/>
  <c r="F52" i="1"/>
  <c r="F64" i="1"/>
  <c r="E65" i="1"/>
  <c r="F57" i="1"/>
  <c r="E175" i="1"/>
  <c r="F173" i="1"/>
  <c r="E204" i="1"/>
  <c r="I131" i="10" s="1"/>
  <c r="BD136" i="1"/>
  <c r="E136" i="1" s="1"/>
  <c r="F136" i="1" s="1"/>
  <c r="BD47" i="1"/>
  <c r="E47" i="1" s="1"/>
  <c r="BD58" i="1"/>
  <c r="E58" i="1" s="1"/>
  <c r="Q51" i="6"/>
  <c r="N51" i="6"/>
  <c r="J37" i="1"/>
  <c r="J40" i="1" s="1"/>
  <c r="J51" i="1" s="1"/>
  <c r="T37" i="1"/>
  <c r="AH37" i="1"/>
  <c r="AH40" i="1" s="1"/>
  <c r="AD37" i="1"/>
  <c r="BD111" i="1"/>
  <c r="AS162" i="1"/>
  <c r="AU162" i="1" s="1"/>
  <c r="BC201" i="6"/>
  <c r="BC200" i="6"/>
  <c r="BC195" i="6"/>
  <c r="BC196" i="6" s="1"/>
  <c r="BC193" i="6"/>
  <c r="BC192" i="6"/>
  <c r="BC190" i="6"/>
  <c r="BC189" i="6"/>
  <c r="BC187" i="6"/>
  <c r="BC186" i="6"/>
  <c r="BC184" i="6"/>
  <c r="BC185" i="6" s="1"/>
  <c r="BC182" i="6"/>
  <c r="BC181" i="6"/>
  <c r="BC180" i="6"/>
  <c r="BC177" i="6"/>
  <c r="BC171" i="6"/>
  <c r="BC170" i="6"/>
  <c r="BC167" i="6"/>
  <c r="BC158" i="6"/>
  <c r="BC160" i="6" s="1"/>
  <c r="BC153" i="6"/>
  <c r="BC155" i="6" s="1"/>
  <c r="BC143" i="6"/>
  <c r="BC142" i="6"/>
  <c r="BC140" i="6"/>
  <c r="BC132" i="6"/>
  <c r="BC131" i="6"/>
  <c r="BC128" i="6"/>
  <c r="BC126" i="6"/>
  <c r="BC125" i="6"/>
  <c r="BC124" i="6"/>
  <c r="BC123" i="6"/>
  <c r="BC120" i="6"/>
  <c r="BC119" i="6"/>
  <c r="BC118" i="6"/>
  <c r="BC116" i="6"/>
  <c r="BC115" i="6"/>
  <c r="BC114" i="6"/>
  <c r="BC113" i="6"/>
  <c r="BC110" i="6"/>
  <c r="BC112" i="6" s="1"/>
  <c r="BC107" i="6"/>
  <c r="BC109" i="6" s="1"/>
  <c r="BC105" i="6"/>
  <c r="BC104" i="6"/>
  <c r="BC103" i="6"/>
  <c r="BC102" i="6"/>
  <c r="BC100" i="6"/>
  <c r="BC99" i="6"/>
  <c r="BC98" i="6"/>
  <c r="BC97" i="6"/>
  <c r="BC95" i="6"/>
  <c r="BC93" i="6"/>
  <c r="BC91" i="6"/>
  <c r="BC90" i="6"/>
  <c r="BC89" i="6"/>
  <c r="BC88" i="6"/>
  <c r="BC85" i="6"/>
  <c r="BC86" i="6" s="1"/>
  <c r="BC83" i="6"/>
  <c r="BC84" i="6" s="1"/>
  <c r="BC81" i="6"/>
  <c r="BC80" i="6"/>
  <c r="BC77" i="6"/>
  <c r="BC76" i="6"/>
  <c r="BC74" i="6"/>
  <c r="BC73" i="6"/>
  <c r="BC70" i="6"/>
  <c r="BC69" i="6"/>
  <c r="BC68" i="6"/>
  <c r="BC67" i="6"/>
  <c r="BC61" i="6"/>
  <c r="BC62" i="6" s="1"/>
  <c r="BC54" i="6"/>
  <c r="BC53" i="6"/>
  <c r="BC49" i="6"/>
  <c r="BC48" i="6"/>
  <c r="BC45" i="6"/>
  <c r="BC44" i="6"/>
  <c r="BC43" i="6"/>
  <c r="BC42" i="6"/>
  <c r="BC27" i="6"/>
  <c r="BC25" i="6"/>
  <c r="BC20" i="6"/>
  <c r="BC21" i="6" s="1"/>
  <c r="BC18" i="6"/>
  <c r="BC19" i="6" s="1"/>
  <c r="BC16" i="6"/>
  <c r="BC17" i="6" s="1"/>
  <c r="BC14" i="6"/>
  <c r="BC13" i="6"/>
  <c r="BC12" i="6"/>
  <c r="BC9" i="6"/>
  <c r="BC10" i="6"/>
  <c r="BC8" i="6"/>
  <c r="D202" i="1"/>
  <c r="G202" i="1" s="1"/>
  <c r="BB17" i="6"/>
  <c r="BB21" i="6"/>
  <c r="BB19" i="6"/>
  <c r="Y34" i="1"/>
  <c r="AA34" i="1" s="1"/>
  <c r="Y27" i="1"/>
  <c r="AA27" i="1" s="1"/>
  <c r="Y24" i="1"/>
  <c r="AA24" i="1" s="1"/>
  <c r="Y23" i="1"/>
  <c r="AA23" i="1" s="1"/>
  <c r="Y21" i="1"/>
  <c r="AA21" i="1" s="1"/>
  <c r="Y19" i="1"/>
  <c r="AA19" i="1" s="1"/>
  <c r="Y17" i="1"/>
  <c r="AA17" i="1" s="1"/>
  <c r="Y15" i="1"/>
  <c r="AA15" i="1" s="1"/>
  <c r="Y14" i="1"/>
  <c r="AA14" i="1" s="1"/>
  <c r="Y13" i="1"/>
  <c r="AA13" i="1" s="1"/>
  <c r="Y10" i="1"/>
  <c r="AA10" i="1" s="1"/>
  <c r="Y11" i="1"/>
  <c r="AA11" i="1" s="1"/>
  <c r="Y9" i="1"/>
  <c r="AA9" i="1" s="1"/>
  <c r="AS202" i="1"/>
  <c r="AU202" i="1" s="1"/>
  <c r="AS199" i="1"/>
  <c r="AS197" i="1"/>
  <c r="AS175" i="1"/>
  <c r="AU175" i="1" s="1"/>
  <c r="AS172" i="1"/>
  <c r="AU172" i="1" s="1"/>
  <c r="AS169" i="1"/>
  <c r="AU169" i="1" s="1"/>
  <c r="AS167" i="1"/>
  <c r="AU167" i="1" s="1"/>
  <c r="AS165" i="1"/>
  <c r="AU165" i="1" s="1"/>
  <c r="AS150" i="1"/>
  <c r="AS149" i="1"/>
  <c r="AU149" i="1" s="1"/>
  <c r="AS86" i="1"/>
  <c r="AU86" i="1" s="1"/>
  <c r="AS84" i="1"/>
  <c r="AU84" i="1" s="1"/>
  <c r="AS65" i="1"/>
  <c r="AU65" i="1" s="1"/>
  <c r="AS34" i="1"/>
  <c r="AS27" i="1"/>
  <c r="AS24" i="1"/>
  <c r="AU24" i="1" s="1"/>
  <c r="AS23" i="1"/>
  <c r="AS21" i="1"/>
  <c r="AS19" i="1"/>
  <c r="AS17" i="1"/>
  <c r="AS15" i="1"/>
  <c r="AU15" i="1" s="1"/>
  <c r="AS14" i="1"/>
  <c r="AU14" i="1" s="1"/>
  <c r="AS13" i="1"/>
  <c r="AU13" i="1" s="1"/>
  <c r="AS10" i="1"/>
  <c r="AU10" i="1" s="1"/>
  <c r="AS11" i="1"/>
  <c r="AU11" i="1" s="1"/>
  <c r="AS9" i="1"/>
  <c r="AU9" i="1" s="1"/>
  <c r="AO199" i="1"/>
  <c r="AQ199" i="1" s="1"/>
  <c r="AO197" i="1"/>
  <c r="AO150" i="1"/>
  <c r="AO133" i="1"/>
  <c r="AO130" i="1"/>
  <c r="AO87" i="1"/>
  <c r="AO66" i="1"/>
  <c r="AO50" i="1"/>
  <c r="AO40" i="1"/>
  <c r="AO27" i="1"/>
  <c r="AQ27" i="1" s="1"/>
  <c r="AO24" i="1"/>
  <c r="AQ24" i="1" s="1"/>
  <c r="AO23" i="1"/>
  <c r="AQ23" i="1" s="1"/>
  <c r="AO21" i="1"/>
  <c r="AQ21" i="1" s="1"/>
  <c r="AO19" i="1"/>
  <c r="AQ19" i="1" s="1"/>
  <c r="AO17" i="1"/>
  <c r="AQ17" i="1" s="1"/>
  <c r="AO15" i="1"/>
  <c r="AQ15" i="1" s="1"/>
  <c r="AO14" i="1"/>
  <c r="AQ14" i="1" s="1"/>
  <c r="AO13" i="1"/>
  <c r="AQ13" i="1" s="1"/>
  <c r="AO10" i="1"/>
  <c r="AQ10" i="1" s="1"/>
  <c r="AO11" i="1"/>
  <c r="AQ11" i="1" s="1"/>
  <c r="AO9" i="1"/>
  <c r="AQ9" i="1" s="1"/>
  <c r="BD202" i="1"/>
  <c r="BD199" i="1"/>
  <c r="BD196" i="1"/>
  <c r="BD194" i="1"/>
  <c r="BD191" i="1"/>
  <c r="BD188" i="1"/>
  <c r="BD185" i="1"/>
  <c r="BD183" i="1"/>
  <c r="BD172" i="1"/>
  <c r="BD169" i="1"/>
  <c r="BD165" i="1"/>
  <c r="BD155" i="1"/>
  <c r="BD146" i="1"/>
  <c r="BD144" i="1"/>
  <c r="BD139" i="1"/>
  <c r="BD135" i="1"/>
  <c r="BD133" i="1"/>
  <c r="BD129" i="1"/>
  <c r="BD121" i="1"/>
  <c r="BD117" i="1"/>
  <c r="BD109" i="1"/>
  <c r="BD101" i="1"/>
  <c r="BD96" i="1"/>
  <c r="BD92" i="1"/>
  <c r="BD86" i="1"/>
  <c r="BD84" i="1"/>
  <c r="BD82" i="1"/>
  <c r="BD79" i="1"/>
  <c r="BD75" i="1"/>
  <c r="BD62" i="1"/>
  <c r="BD46" i="1"/>
  <c r="BD28" i="1"/>
  <c r="BD22" i="1"/>
  <c r="BD20" i="1"/>
  <c r="BD18" i="1"/>
  <c r="AW204" i="1"/>
  <c r="AV204" i="1"/>
  <c r="AW202" i="1"/>
  <c r="AV202" i="1"/>
  <c r="AW199" i="1"/>
  <c r="AV199" i="1"/>
  <c r="AW196" i="1"/>
  <c r="AV196" i="1"/>
  <c r="AW194" i="1"/>
  <c r="AV194" i="1"/>
  <c r="AW191" i="1"/>
  <c r="AV191" i="1"/>
  <c r="AW188" i="1"/>
  <c r="AV188" i="1"/>
  <c r="AW185" i="1"/>
  <c r="AV185" i="1"/>
  <c r="AW183" i="1"/>
  <c r="AV183" i="1"/>
  <c r="AW175" i="1"/>
  <c r="AV175" i="1"/>
  <c r="AW172" i="1"/>
  <c r="AV172" i="1"/>
  <c r="AW169" i="1"/>
  <c r="AV169" i="1"/>
  <c r="AW167" i="1"/>
  <c r="AV167" i="1"/>
  <c r="AW165" i="1"/>
  <c r="AV165" i="1"/>
  <c r="AW160" i="1"/>
  <c r="AW162" i="1" s="1"/>
  <c r="AV160" i="1"/>
  <c r="AW155" i="1"/>
  <c r="AV155" i="1"/>
  <c r="AW149" i="1"/>
  <c r="AV149" i="1"/>
  <c r="AW146" i="1"/>
  <c r="AV146" i="1"/>
  <c r="AW144" i="1"/>
  <c r="AV144" i="1"/>
  <c r="AW139" i="1"/>
  <c r="AV139" i="1"/>
  <c r="AW137" i="1"/>
  <c r="AV137" i="1"/>
  <c r="AW135" i="1"/>
  <c r="AV135" i="1"/>
  <c r="AW133" i="1"/>
  <c r="AV133" i="1"/>
  <c r="AW129" i="1"/>
  <c r="AV129" i="1"/>
  <c r="AW121" i="1"/>
  <c r="AV121" i="1"/>
  <c r="AW117" i="1"/>
  <c r="AV117" i="1"/>
  <c r="AW112" i="1"/>
  <c r="AV112" i="1"/>
  <c r="AW109" i="1"/>
  <c r="AV109" i="1"/>
  <c r="AW106" i="1"/>
  <c r="AV106" i="1"/>
  <c r="AW101" i="1"/>
  <c r="AV101" i="1"/>
  <c r="AW96" i="1"/>
  <c r="AV96" i="1"/>
  <c r="AW92" i="1"/>
  <c r="AV92" i="1"/>
  <c r="AW86" i="1"/>
  <c r="AV86" i="1"/>
  <c r="AW84" i="1"/>
  <c r="AV84" i="1"/>
  <c r="AW82" i="1"/>
  <c r="AV82" i="1"/>
  <c r="AW79" i="1"/>
  <c r="AV79" i="1"/>
  <c r="AW75" i="1"/>
  <c r="AV75" i="1"/>
  <c r="AW72" i="1"/>
  <c r="AV72" i="1"/>
  <c r="AW65" i="1"/>
  <c r="AV65" i="1"/>
  <c r="AW62" i="1"/>
  <c r="AV62" i="1"/>
  <c r="AW59" i="1"/>
  <c r="AV59" i="1"/>
  <c r="AW57" i="1"/>
  <c r="AV57" i="1"/>
  <c r="AW50" i="1"/>
  <c r="AV50" i="1"/>
  <c r="AW46" i="1"/>
  <c r="AV46" i="1"/>
  <c r="AW40" i="1"/>
  <c r="AV40" i="1"/>
  <c r="AW28" i="1"/>
  <c r="AV28" i="1"/>
  <c r="AW26" i="1"/>
  <c r="AV26" i="1"/>
  <c r="AW22" i="1"/>
  <c r="AV22" i="1"/>
  <c r="AW20" i="1"/>
  <c r="AV20" i="1"/>
  <c r="AW18" i="1"/>
  <c r="AV18" i="1"/>
  <c r="AW16" i="1"/>
  <c r="AV16" i="1"/>
  <c r="AW12" i="1"/>
  <c r="AV12" i="1"/>
  <c r="AT204" i="1"/>
  <c r="AT202" i="1"/>
  <c r="AT199" i="1"/>
  <c r="AT196" i="1"/>
  <c r="AT194" i="1"/>
  <c r="AT191" i="1"/>
  <c r="AT188" i="1"/>
  <c r="AT185" i="1"/>
  <c r="AT183" i="1"/>
  <c r="AT175" i="1"/>
  <c r="AT172" i="1"/>
  <c r="AT169" i="1"/>
  <c r="AT167" i="1"/>
  <c r="AT165" i="1"/>
  <c r="AT160" i="1"/>
  <c r="AT155" i="1"/>
  <c r="AT149" i="1"/>
  <c r="AT146" i="1"/>
  <c r="AT144" i="1"/>
  <c r="AT139" i="1"/>
  <c r="AT137" i="1"/>
  <c r="AT135" i="1"/>
  <c r="AT133" i="1"/>
  <c r="AT129" i="1"/>
  <c r="AT121" i="1"/>
  <c r="AT117" i="1"/>
  <c r="AT112" i="1"/>
  <c r="AT109" i="1"/>
  <c r="AT106" i="1"/>
  <c r="AT101" i="1"/>
  <c r="AT96" i="1"/>
  <c r="AT92" i="1"/>
  <c r="AT86" i="1"/>
  <c r="AT84" i="1"/>
  <c r="AT82" i="1"/>
  <c r="AT79" i="1"/>
  <c r="AT75" i="1"/>
  <c r="AT72" i="1"/>
  <c r="AT65" i="1"/>
  <c r="AT62" i="1"/>
  <c r="AT59" i="1"/>
  <c r="AT57" i="1"/>
  <c r="AT50" i="1"/>
  <c r="AT46" i="1"/>
  <c r="AT40" i="1"/>
  <c r="AT28" i="1"/>
  <c r="AT26" i="1"/>
  <c r="AT22" i="1"/>
  <c r="AT20" i="1"/>
  <c r="AT18" i="1"/>
  <c r="AT16" i="1"/>
  <c r="AT12" i="1"/>
  <c r="I34" i="10" l="1"/>
  <c r="J35" i="10"/>
  <c r="J29" i="10"/>
  <c r="F65" i="1"/>
  <c r="I62" i="10"/>
  <c r="J96" i="10"/>
  <c r="J17" i="10"/>
  <c r="I16" i="10"/>
  <c r="I108" i="10"/>
  <c r="J109" i="10"/>
  <c r="K109" i="10"/>
  <c r="I53" i="10"/>
  <c r="J54" i="10"/>
  <c r="K54" i="10"/>
  <c r="J24" i="10"/>
  <c r="J131" i="10"/>
  <c r="K131" i="10"/>
  <c r="I130" i="10"/>
  <c r="J102" i="10"/>
  <c r="K102" i="10"/>
  <c r="I99" i="10"/>
  <c r="K100" i="10"/>
  <c r="J100" i="10"/>
  <c r="BC72" i="6"/>
  <c r="BC92" i="6"/>
  <c r="BC96" i="6"/>
  <c r="BC121" i="6"/>
  <c r="BC79" i="6"/>
  <c r="BC57" i="6"/>
  <c r="BC66" i="6" s="1"/>
  <c r="BC191" i="6"/>
  <c r="BD72" i="1"/>
  <c r="BC101" i="6"/>
  <c r="BC46" i="6"/>
  <c r="BC50" i="6"/>
  <c r="BC183" i="6"/>
  <c r="F175" i="1"/>
  <c r="BC82" i="6"/>
  <c r="BC144" i="6"/>
  <c r="BC150" i="6" s="1"/>
  <c r="BC117" i="6"/>
  <c r="BC106" i="6"/>
  <c r="BC75" i="6"/>
  <c r="F58" i="1"/>
  <c r="E59" i="1"/>
  <c r="I60" i="10" s="1"/>
  <c r="F47" i="1"/>
  <c r="E50" i="1"/>
  <c r="AU199" i="1"/>
  <c r="BD137" i="1"/>
  <c r="BD150" i="1" s="1"/>
  <c r="AU23" i="1"/>
  <c r="AU34" i="1"/>
  <c r="BC34" i="1"/>
  <c r="D34" i="1" s="1"/>
  <c r="G42" i="10" s="1"/>
  <c r="AS18" i="1"/>
  <c r="AU18" i="1" s="1"/>
  <c r="AU17" i="1"/>
  <c r="AS22" i="1"/>
  <c r="AU22" i="1" s="1"/>
  <c r="AU21" i="1"/>
  <c r="AS20" i="1"/>
  <c r="AU20" i="1" s="1"/>
  <c r="AU19" i="1"/>
  <c r="AS28" i="1"/>
  <c r="AU28" i="1" s="1"/>
  <c r="AU27" i="1"/>
  <c r="AA51" i="6"/>
  <c r="BD197" i="1"/>
  <c r="AV162" i="1"/>
  <c r="BD37" i="1"/>
  <c r="E37" i="1" s="1"/>
  <c r="I51" i="10" s="1"/>
  <c r="BC188" i="6"/>
  <c r="BD50" i="1"/>
  <c r="BC172" i="6"/>
  <c r="BD59" i="1"/>
  <c r="BD66" i="1" s="1"/>
  <c r="E111" i="1"/>
  <c r="F111" i="1" s="1"/>
  <c r="BD112" i="1"/>
  <c r="BD130" i="1" s="1"/>
  <c r="BC194" i="6"/>
  <c r="BC202" i="6"/>
  <c r="BB15" i="6"/>
  <c r="BB35" i="6" s="1"/>
  <c r="BC11" i="6"/>
  <c r="BC15" i="6"/>
  <c r="BC35" i="6" s="1"/>
  <c r="BE35" i="6" s="1"/>
  <c r="AS16" i="1"/>
  <c r="AU16" i="1" s="1"/>
  <c r="AS26" i="1"/>
  <c r="AU26" i="1" s="1"/>
  <c r="AS12" i="1"/>
  <c r="AU12" i="1" s="1"/>
  <c r="BD87" i="1"/>
  <c r="AV66" i="1"/>
  <c r="AV163" i="1"/>
  <c r="AT66" i="1"/>
  <c r="AW66" i="1"/>
  <c r="AT51" i="1"/>
  <c r="AT163" i="1"/>
  <c r="AW29" i="1"/>
  <c r="AW35" i="1" s="1"/>
  <c r="AW208" i="1" s="1"/>
  <c r="AW197" i="1"/>
  <c r="AW205" i="1" s="1"/>
  <c r="AW130" i="1"/>
  <c r="AW163" i="1"/>
  <c r="AV87" i="1"/>
  <c r="AV150" i="1"/>
  <c r="AW87" i="1"/>
  <c r="AW150" i="1"/>
  <c r="AV130" i="1"/>
  <c r="AT197" i="1"/>
  <c r="AT205" i="1" s="1"/>
  <c r="AV29" i="1"/>
  <c r="AV35" i="1" s="1"/>
  <c r="AV208" i="1" s="1"/>
  <c r="AV51" i="1"/>
  <c r="AV197" i="1"/>
  <c r="AV205" i="1" s="1"/>
  <c r="AW51" i="1"/>
  <c r="AT130" i="1"/>
  <c r="AT87" i="1"/>
  <c r="AT150" i="1"/>
  <c r="AU150" i="1" s="1"/>
  <c r="AT29" i="1"/>
  <c r="AK150" i="1"/>
  <c r="AK66" i="1"/>
  <c r="AK27" i="1"/>
  <c r="AK24" i="1"/>
  <c r="AM24" i="1" s="1"/>
  <c r="AK23" i="1"/>
  <c r="AM23" i="1" s="1"/>
  <c r="AK21" i="1"/>
  <c r="AM21" i="1" s="1"/>
  <c r="AK19" i="1"/>
  <c r="AK17" i="1"/>
  <c r="AM17" i="1" s="1"/>
  <c r="AK15" i="1"/>
  <c r="AM15" i="1" s="1"/>
  <c r="AK14" i="1"/>
  <c r="AM14" i="1" s="1"/>
  <c r="AK13" i="1"/>
  <c r="AM13" i="1" s="1"/>
  <c r="AK10" i="1"/>
  <c r="AM10" i="1" s="1"/>
  <c r="AK11" i="1"/>
  <c r="AM11" i="1" s="1"/>
  <c r="AK9" i="1"/>
  <c r="AM9" i="1" s="1"/>
  <c r="AG197" i="1"/>
  <c r="AG175" i="1"/>
  <c r="AG167" i="1"/>
  <c r="AG165" i="1"/>
  <c r="AG150" i="1"/>
  <c r="AG130" i="1"/>
  <c r="AG87" i="1"/>
  <c r="AG66" i="1"/>
  <c r="AG50" i="1"/>
  <c r="AG46" i="1"/>
  <c r="AG40" i="1"/>
  <c r="AG27" i="1"/>
  <c r="AG24" i="1"/>
  <c r="AI24" i="1" s="1"/>
  <c r="AG23" i="1"/>
  <c r="AI23" i="1" s="1"/>
  <c r="AG21" i="1"/>
  <c r="AG19" i="1"/>
  <c r="AG17" i="1"/>
  <c r="AG15" i="1"/>
  <c r="AI15" i="1" s="1"/>
  <c r="AG14" i="1"/>
  <c r="AI14" i="1" s="1"/>
  <c r="AG13" i="1"/>
  <c r="AI13" i="1" s="1"/>
  <c r="AG10" i="1"/>
  <c r="AI10" i="1" s="1"/>
  <c r="AG11" i="1"/>
  <c r="AI11" i="1" s="1"/>
  <c r="AG9" i="1"/>
  <c r="AI9" i="1" s="1"/>
  <c r="AC9" i="1"/>
  <c r="AE9" i="1" s="1"/>
  <c r="AC11" i="1"/>
  <c r="AE11" i="1" s="1"/>
  <c r="AC10" i="1"/>
  <c r="AE10" i="1" s="1"/>
  <c r="AC15" i="1"/>
  <c r="AE15" i="1" s="1"/>
  <c r="AC14" i="1"/>
  <c r="AE14" i="1" s="1"/>
  <c r="AC204" i="1"/>
  <c r="AC197" i="1"/>
  <c r="AC150" i="1"/>
  <c r="AC130" i="1"/>
  <c r="AC50" i="1"/>
  <c r="AC40" i="1"/>
  <c r="AC23" i="1"/>
  <c r="AE23" i="1" s="1"/>
  <c r="AC13" i="1"/>
  <c r="AE13" i="1" s="1"/>
  <c r="V87" i="1"/>
  <c r="V23" i="1"/>
  <c r="V26" i="1" s="1"/>
  <c r="S204" i="1"/>
  <c r="S197" i="1"/>
  <c r="S150" i="1"/>
  <c r="S130" i="1"/>
  <c r="S50" i="1"/>
  <c r="S40" i="1"/>
  <c r="S24" i="1"/>
  <c r="U24" i="1" s="1"/>
  <c r="S23" i="1"/>
  <c r="O204" i="1"/>
  <c r="O197" i="1"/>
  <c r="O150" i="1"/>
  <c r="O133" i="1"/>
  <c r="O130" i="1"/>
  <c r="O87" i="1"/>
  <c r="O66" i="1"/>
  <c r="O24" i="1"/>
  <c r="Q24" i="1" s="1"/>
  <c r="O23" i="1"/>
  <c r="O27" i="1"/>
  <c r="O14" i="1"/>
  <c r="Q14" i="1" s="1"/>
  <c r="O10" i="1"/>
  <c r="Q10" i="1" s="1"/>
  <c r="O11" i="1"/>
  <c r="Q11" i="1" s="1"/>
  <c r="K199" i="1"/>
  <c r="K24" i="1"/>
  <c r="K23" i="1"/>
  <c r="K15" i="1"/>
  <c r="K14" i="1"/>
  <c r="K13" i="1"/>
  <c r="AP204" i="1"/>
  <c r="AL204" i="1"/>
  <c r="AK204" i="1"/>
  <c r="AM204" i="1" s="1"/>
  <c r="AH204" i="1"/>
  <c r="AD204" i="1"/>
  <c r="Z204" i="1"/>
  <c r="W204" i="1"/>
  <c r="V204" i="1"/>
  <c r="T204" i="1"/>
  <c r="P204" i="1"/>
  <c r="M204" i="1"/>
  <c r="L204" i="1"/>
  <c r="J204" i="1"/>
  <c r="K204" i="1"/>
  <c r="AP202" i="1"/>
  <c r="AL202" i="1"/>
  <c r="AK202" i="1"/>
  <c r="AM202" i="1" s="1"/>
  <c r="AH202" i="1"/>
  <c r="AD202" i="1"/>
  <c r="Z202" i="1"/>
  <c r="W202" i="1"/>
  <c r="V202" i="1"/>
  <c r="T202" i="1"/>
  <c r="S202" i="1"/>
  <c r="U202" i="1" s="1"/>
  <c r="P202" i="1"/>
  <c r="O202" i="1"/>
  <c r="Q202" i="1" s="1"/>
  <c r="M202" i="1"/>
  <c r="L202" i="1"/>
  <c r="J202" i="1"/>
  <c r="K202" i="1"/>
  <c r="AL199" i="1"/>
  <c r="AK199" i="1"/>
  <c r="AM199" i="1" s="1"/>
  <c r="AH199" i="1"/>
  <c r="AD199" i="1"/>
  <c r="Z199" i="1"/>
  <c r="W199" i="1"/>
  <c r="V199" i="1"/>
  <c r="T199" i="1"/>
  <c r="S199" i="1"/>
  <c r="U199" i="1" s="1"/>
  <c r="P199" i="1"/>
  <c r="Q199" i="1" s="1"/>
  <c r="M199" i="1"/>
  <c r="L199" i="1"/>
  <c r="AP196" i="1"/>
  <c r="AL196" i="1"/>
  <c r="AK196" i="1"/>
  <c r="AM196" i="1" s="1"/>
  <c r="AH196" i="1"/>
  <c r="AD196" i="1"/>
  <c r="Z196" i="1"/>
  <c r="W196" i="1"/>
  <c r="V196" i="1"/>
  <c r="T196" i="1"/>
  <c r="S196" i="1"/>
  <c r="U196" i="1" s="1"/>
  <c r="P196" i="1"/>
  <c r="O196" i="1"/>
  <c r="Q196" i="1" s="1"/>
  <c r="M196" i="1"/>
  <c r="L196" i="1"/>
  <c r="J196" i="1"/>
  <c r="K196" i="1"/>
  <c r="AP194" i="1"/>
  <c r="AL194" i="1"/>
  <c r="AK194" i="1"/>
  <c r="AM194" i="1" s="1"/>
  <c r="AH194" i="1"/>
  <c r="AD194" i="1"/>
  <c r="Z194" i="1"/>
  <c r="W194" i="1"/>
  <c r="V194" i="1"/>
  <c r="T194" i="1"/>
  <c r="S194" i="1"/>
  <c r="U194" i="1" s="1"/>
  <c r="P194" i="1"/>
  <c r="O194" i="1"/>
  <c r="Q194" i="1" s="1"/>
  <c r="M194" i="1"/>
  <c r="L194" i="1"/>
  <c r="J194" i="1"/>
  <c r="K194" i="1"/>
  <c r="AP191" i="1"/>
  <c r="AL191" i="1"/>
  <c r="AK191" i="1"/>
  <c r="AM191" i="1" s="1"/>
  <c r="AH191" i="1"/>
  <c r="Z191" i="1"/>
  <c r="W191" i="1"/>
  <c r="V191" i="1"/>
  <c r="T191" i="1"/>
  <c r="S191" i="1"/>
  <c r="U191" i="1" s="1"/>
  <c r="P191" i="1"/>
  <c r="O191" i="1"/>
  <c r="Q191" i="1" s="1"/>
  <c r="M191" i="1"/>
  <c r="L191" i="1"/>
  <c r="J191" i="1"/>
  <c r="K191" i="1"/>
  <c r="AP188" i="1"/>
  <c r="AL188" i="1"/>
  <c r="AK188" i="1"/>
  <c r="AM188" i="1" s="1"/>
  <c r="AH188" i="1"/>
  <c r="AD188" i="1"/>
  <c r="Z188" i="1"/>
  <c r="W188" i="1"/>
  <c r="V188" i="1"/>
  <c r="T188" i="1"/>
  <c r="S188" i="1"/>
  <c r="U188" i="1" s="1"/>
  <c r="P188" i="1"/>
  <c r="O188" i="1"/>
  <c r="Q188" i="1" s="1"/>
  <c r="M188" i="1"/>
  <c r="L188" i="1"/>
  <c r="J188" i="1"/>
  <c r="K188" i="1"/>
  <c r="AP185" i="1"/>
  <c r="AL185" i="1"/>
  <c r="AK185" i="1"/>
  <c r="AM185" i="1" s="1"/>
  <c r="AH185" i="1"/>
  <c r="AD185" i="1"/>
  <c r="Z185" i="1"/>
  <c r="W185" i="1"/>
  <c r="V185" i="1"/>
  <c r="T185" i="1"/>
  <c r="S185" i="1"/>
  <c r="U185" i="1" s="1"/>
  <c r="P185" i="1"/>
  <c r="O185" i="1"/>
  <c r="Q185" i="1" s="1"/>
  <c r="M185" i="1"/>
  <c r="L185" i="1"/>
  <c r="J185" i="1"/>
  <c r="K185" i="1"/>
  <c r="AP183" i="1"/>
  <c r="AL183" i="1"/>
  <c r="AK183" i="1"/>
  <c r="AM183" i="1" s="1"/>
  <c r="AH183" i="1"/>
  <c r="Z183" i="1"/>
  <c r="W183" i="1"/>
  <c r="V183" i="1"/>
  <c r="T183" i="1"/>
  <c r="S183" i="1"/>
  <c r="U183" i="1" s="1"/>
  <c r="O183" i="1"/>
  <c r="Q183" i="1" s="1"/>
  <c r="M183" i="1"/>
  <c r="L183" i="1"/>
  <c r="K183" i="1"/>
  <c r="AP175" i="1"/>
  <c r="AL175" i="1"/>
  <c r="AD175" i="1"/>
  <c r="Z175" i="1"/>
  <c r="W175" i="1"/>
  <c r="V175" i="1"/>
  <c r="T175" i="1"/>
  <c r="S175" i="1"/>
  <c r="U175" i="1" s="1"/>
  <c r="P175" i="1"/>
  <c r="O175" i="1"/>
  <c r="Q175" i="1" s="1"/>
  <c r="M175" i="1"/>
  <c r="L175" i="1"/>
  <c r="K175" i="1"/>
  <c r="AP172" i="1"/>
  <c r="AL172" i="1"/>
  <c r="AH172" i="1"/>
  <c r="AD172" i="1"/>
  <c r="Z172" i="1"/>
  <c r="W172" i="1"/>
  <c r="V172" i="1"/>
  <c r="T172" i="1"/>
  <c r="S172" i="1"/>
  <c r="U172" i="1" s="1"/>
  <c r="P172" i="1"/>
  <c r="O172" i="1"/>
  <c r="Q172" i="1" s="1"/>
  <c r="M172" i="1"/>
  <c r="L172" i="1"/>
  <c r="J172" i="1"/>
  <c r="K172" i="1"/>
  <c r="AP169" i="1"/>
  <c r="AL169" i="1"/>
  <c r="AH169" i="1"/>
  <c r="AD169" i="1"/>
  <c r="Z169" i="1"/>
  <c r="W169" i="1"/>
  <c r="V169" i="1"/>
  <c r="T169" i="1"/>
  <c r="S169" i="1"/>
  <c r="U169" i="1" s="1"/>
  <c r="P169" i="1"/>
  <c r="O169" i="1"/>
  <c r="Q169" i="1" s="1"/>
  <c r="M169" i="1"/>
  <c r="L169" i="1"/>
  <c r="J169" i="1"/>
  <c r="K169" i="1"/>
  <c r="AP167" i="1"/>
  <c r="AL167" i="1"/>
  <c r="AH167" i="1"/>
  <c r="AD167" i="1"/>
  <c r="Z167" i="1"/>
  <c r="W167" i="1"/>
  <c r="V167" i="1"/>
  <c r="T167" i="1"/>
  <c r="S167" i="1"/>
  <c r="U167" i="1" s="1"/>
  <c r="P167" i="1"/>
  <c r="O167" i="1"/>
  <c r="Q167" i="1" s="1"/>
  <c r="M167" i="1"/>
  <c r="L167" i="1"/>
  <c r="J167" i="1"/>
  <c r="K167" i="1"/>
  <c r="AP165" i="1"/>
  <c r="AL165" i="1"/>
  <c r="AH165" i="1"/>
  <c r="AD165" i="1"/>
  <c r="Z165" i="1"/>
  <c r="W165" i="1"/>
  <c r="V165" i="1"/>
  <c r="T165" i="1"/>
  <c r="S165" i="1"/>
  <c r="U165" i="1" s="1"/>
  <c r="P165" i="1"/>
  <c r="O165" i="1"/>
  <c r="Q165" i="1" s="1"/>
  <c r="M165" i="1"/>
  <c r="L165" i="1"/>
  <c r="J165" i="1"/>
  <c r="K165" i="1"/>
  <c r="AL160" i="1"/>
  <c r="AL162" i="1" s="1"/>
  <c r="AH160" i="1"/>
  <c r="AH162" i="1" s="1"/>
  <c r="AD160" i="1"/>
  <c r="AD162" i="1" s="1"/>
  <c r="Z160" i="1"/>
  <c r="Z162" i="1" s="1"/>
  <c r="W160" i="1"/>
  <c r="V160" i="1"/>
  <c r="V162" i="1" s="1"/>
  <c r="T160" i="1"/>
  <c r="S160" i="1"/>
  <c r="O160" i="1"/>
  <c r="M160" i="1"/>
  <c r="L160" i="1"/>
  <c r="J160" i="1"/>
  <c r="AP155" i="1"/>
  <c r="AP163" i="1" s="1"/>
  <c r="AQ163" i="1" s="1"/>
  <c r="AL155" i="1"/>
  <c r="AH155" i="1"/>
  <c r="AD155" i="1"/>
  <c r="Z155" i="1"/>
  <c r="W155" i="1"/>
  <c r="V155" i="1"/>
  <c r="T155" i="1"/>
  <c r="S155" i="1"/>
  <c r="U155" i="1" s="1"/>
  <c r="O155" i="1"/>
  <c r="Q155" i="1" s="1"/>
  <c r="M155" i="1"/>
  <c r="L155" i="1"/>
  <c r="J155" i="1"/>
  <c r="K155" i="1"/>
  <c r="AL149" i="1"/>
  <c r="AH149" i="1"/>
  <c r="AD149" i="1"/>
  <c r="Z149" i="1"/>
  <c r="W149" i="1"/>
  <c r="V149" i="1"/>
  <c r="T149" i="1"/>
  <c r="S149" i="1"/>
  <c r="U149" i="1" s="1"/>
  <c r="O149" i="1"/>
  <c r="Q149" i="1" s="1"/>
  <c r="M149" i="1"/>
  <c r="L149" i="1"/>
  <c r="J149" i="1"/>
  <c r="K149" i="1"/>
  <c r="AP146" i="1"/>
  <c r="AL146" i="1"/>
  <c r="AH146" i="1"/>
  <c r="AD146" i="1"/>
  <c r="Z146" i="1"/>
  <c r="W146" i="1"/>
  <c r="V146" i="1"/>
  <c r="T146" i="1"/>
  <c r="S146" i="1"/>
  <c r="U146" i="1" s="1"/>
  <c r="P146" i="1"/>
  <c r="O146" i="1"/>
  <c r="Q146" i="1" s="1"/>
  <c r="M146" i="1"/>
  <c r="L146" i="1"/>
  <c r="J146" i="1"/>
  <c r="K146" i="1"/>
  <c r="AP144" i="1"/>
  <c r="AL144" i="1"/>
  <c r="AH144" i="1"/>
  <c r="AD144" i="1"/>
  <c r="Z144" i="1"/>
  <c r="W144" i="1"/>
  <c r="V144" i="1"/>
  <c r="S144" i="1"/>
  <c r="U144" i="1" s="1"/>
  <c r="P144" i="1"/>
  <c r="O144" i="1"/>
  <c r="Q144" i="1" s="1"/>
  <c r="M144" i="1"/>
  <c r="L144" i="1"/>
  <c r="K144" i="1"/>
  <c r="AL139" i="1"/>
  <c r="AH139" i="1"/>
  <c r="AD139" i="1"/>
  <c r="Z139" i="1"/>
  <c r="W139" i="1"/>
  <c r="V139" i="1"/>
  <c r="T139" i="1"/>
  <c r="S139" i="1"/>
  <c r="U139" i="1" s="1"/>
  <c r="P139" i="1"/>
  <c r="O139" i="1"/>
  <c r="Q139" i="1" s="1"/>
  <c r="M139" i="1"/>
  <c r="L139" i="1"/>
  <c r="J139" i="1"/>
  <c r="K139" i="1"/>
  <c r="AP137" i="1"/>
  <c r="AL137" i="1"/>
  <c r="AH137" i="1"/>
  <c r="AD137" i="1"/>
  <c r="W137" i="1"/>
  <c r="V137" i="1"/>
  <c r="S137" i="1"/>
  <c r="U137" i="1" s="1"/>
  <c r="P137" i="1"/>
  <c r="O137" i="1"/>
  <c r="Q137" i="1" s="1"/>
  <c r="M137" i="1"/>
  <c r="L137" i="1"/>
  <c r="J137" i="1"/>
  <c r="K137" i="1"/>
  <c r="AP135" i="1"/>
  <c r="AL135" i="1"/>
  <c r="AH135" i="1"/>
  <c r="AD135" i="1"/>
  <c r="Z135" i="1"/>
  <c r="W135" i="1"/>
  <c r="V135" i="1"/>
  <c r="T135" i="1"/>
  <c r="S135" i="1"/>
  <c r="U135" i="1" s="1"/>
  <c r="P135" i="1"/>
  <c r="O135" i="1"/>
  <c r="Q135" i="1" s="1"/>
  <c r="M135" i="1"/>
  <c r="L135" i="1"/>
  <c r="J135" i="1"/>
  <c r="K135" i="1"/>
  <c r="AP133" i="1"/>
  <c r="AQ133" i="1" s="1"/>
  <c r="AL133" i="1"/>
  <c r="AH133" i="1"/>
  <c r="AD133" i="1"/>
  <c r="Z133" i="1"/>
  <c r="W133" i="1"/>
  <c r="V133" i="1"/>
  <c r="T133" i="1"/>
  <c r="S133" i="1"/>
  <c r="U133" i="1" s="1"/>
  <c r="P133" i="1"/>
  <c r="M133" i="1"/>
  <c r="L133" i="1"/>
  <c r="J133" i="1"/>
  <c r="AL129" i="1"/>
  <c r="AH129" i="1"/>
  <c r="Z129" i="1"/>
  <c r="W129" i="1"/>
  <c r="V129" i="1"/>
  <c r="S129" i="1"/>
  <c r="U129" i="1" s="1"/>
  <c r="O129" i="1"/>
  <c r="Q129" i="1" s="1"/>
  <c r="M129" i="1"/>
  <c r="L129" i="1"/>
  <c r="K129" i="1"/>
  <c r="AP121" i="1"/>
  <c r="AL121" i="1"/>
  <c r="AH121" i="1"/>
  <c r="AD121" i="1"/>
  <c r="Z121" i="1"/>
  <c r="W121" i="1"/>
  <c r="V121" i="1"/>
  <c r="T121" i="1"/>
  <c r="S121" i="1"/>
  <c r="U121" i="1" s="1"/>
  <c r="O121" i="1"/>
  <c r="Q121" i="1" s="1"/>
  <c r="M121" i="1"/>
  <c r="L121" i="1"/>
  <c r="J121" i="1"/>
  <c r="K121" i="1"/>
  <c r="AP117" i="1"/>
  <c r="AL117" i="1"/>
  <c r="AH117" i="1"/>
  <c r="AD117" i="1"/>
  <c r="Z117" i="1"/>
  <c r="W117" i="1"/>
  <c r="V117" i="1"/>
  <c r="T117" i="1"/>
  <c r="S117" i="1"/>
  <c r="U117" i="1" s="1"/>
  <c r="O117" i="1"/>
  <c r="Q117" i="1" s="1"/>
  <c r="M117" i="1"/>
  <c r="L117" i="1"/>
  <c r="K117" i="1"/>
  <c r="AL112" i="1"/>
  <c r="AH112" i="1"/>
  <c r="AD112" i="1"/>
  <c r="Z112" i="1"/>
  <c r="W112" i="1"/>
  <c r="V112" i="1"/>
  <c r="T112" i="1"/>
  <c r="S112" i="1"/>
  <c r="U112" i="1" s="1"/>
  <c r="O112" i="1"/>
  <c r="Q112" i="1" s="1"/>
  <c r="M112" i="1"/>
  <c r="L112" i="1"/>
  <c r="J112" i="1"/>
  <c r="K112" i="1"/>
  <c r="AP109" i="1"/>
  <c r="AL109" i="1"/>
  <c r="AH109" i="1"/>
  <c r="AD109" i="1"/>
  <c r="Z109" i="1"/>
  <c r="W109" i="1"/>
  <c r="V109" i="1"/>
  <c r="T109" i="1"/>
  <c r="S109" i="1"/>
  <c r="U109" i="1" s="1"/>
  <c r="P109" i="1"/>
  <c r="O109" i="1"/>
  <c r="Q109" i="1" s="1"/>
  <c r="M109" i="1"/>
  <c r="L109" i="1"/>
  <c r="J109" i="1"/>
  <c r="K109" i="1"/>
  <c r="AP106" i="1"/>
  <c r="AL106" i="1"/>
  <c r="AD106" i="1"/>
  <c r="Z106" i="1"/>
  <c r="W106" i="1"/>
  <c r="V106" i="1"/>
  <c r="T106" i="1"/>
  <c r="S106" i="1"/>
  <c r="U106" i="1" s="1"/>
  <c r="P106" i="1"/>
  <c r="O106" i="1"/>
  <c r="Q106" i="1" s="1"/>
  <c r="M106" i="1"/>
  <c r="L106" i="1"/>
  <c r="J106" i="1"/>
  <c r="K106" i="1"/>
  <c r="AP101" i="1"/>
  <c r="AL101" i="1"/>
  <c r="Z101" i="1"/>
  <c r="W101" i="1"/>
  <c r="V101" i="1"/>
  <c r="S101" i="1"/>
  <c r="U101" i="1" s="1"/>
  <c r="P101" i="1"/>
  <c r="O101" i="1"/>
  <c r="Q101" i="1" s="1"/>
  <c r="M101" i="1"/>
  <c r="L101" i="1"/>
  <c r="J101" i="1"/>
  <c r="K101" i="1"/>
  <c r="AP96" i="1"/>
  <c r="AL96" i="1"/>
  <c r="AH96" i="1"/>
  <c r="AD96" i="1"/>
  <c r="Z96" i="1"/>
  <c r="W96" i="1"/>
  <c r="V96" i="1"/>
  <c r="S96" i="1"/>
  <c r="U96" i="1" s="1"/>
  <c r="P96" i="1"/>
  <c r="O96" i="1"/>
  <c r="Q96" i="1" s="1"/>
  <c r="M96" i="1"/>
  <c r="L96" i="1"/>
  <c r="J96" i="1"/>
  <c r="K96" i="1"/>
  <c r="AL92" i="1"/>
  <c r="AD92" i="1"/>
  <c r="Z92" i="1"/>
  <c r="W92" i="1"/>
  <c r="V92" i="1"/>
  <c r="T92" i="1"/>
  <c r="S92" i="1"/>
  <c r="U92" i="1" s="1"/>
  <c r="O92" i="1"/>
  <c r="Q92" i="1" s="1"/>
  <c r="M92" i="1"/>
  <c r="L92" i="1"/>
  <c r="J92" i="1"/>
  <c r="K92" i="1"/>
  <c r="AP86" i="1"/>
  <c r="AL86" i="1"/>
  <c r="AH86" i="1"/>
  <c r="AD86" i="1"/>
  <c r="Z86" i="1"/>
  <c r="W86" i="1"/>
  <c r="V86" i="1"/>
  <c r="T86" i="1"/>
  <c r="S86" i="1"/>
  <c r="U86" i="1" s="1"/>
  <c r="O86" i="1"/>
  <c r="Q86" i="1" s="1"/>
  <c r="M86" i="1"/>
  <c r="L86" i="1"/>
  <c r="J86" i="1"/>
  <c r="K86" i="1"/>
  <c r="AP84" i="1"/>
  <c r="AL84" i="1"/>
  <c r="AH84" i="1"/>
  <c r="AD84" i="1"/>
  <c r="Z84" i="1"/>
  <c r="W84" i="1"/>
  <c r="V84" i="1"/>
  <c r="T84" i="1"/>
  <c r="S84" i="1"/>
  <c r="U84" i="1" s="1"/>
  <c r="P84" i="1"/>
  <c r="O84" i="1"/>
  <c r="Q84" i="1" s="1"/>
  <c r="M84" i="1"/>
  <c r="L84" i="1"/>
  <c r="J84" i="1"/>
  <c r="K84" i="1"/>
  <c r="AP82" i="1"/>
  <c r="AL82" i="1"/>
  <c r="AH82" i="1"/>
  <c r="AD82" i="1"/>
  <c r="Z82" i="1"/>
  <c r="W82" i="1"/>
  <c r="V82" i="1"/>
  <c r="T82" i="1"/>
  <c r="S82" i="1"/>
  <c r="U82" i="1" s="1"/>
  <c r="O82" i="1"/>
  <c r="Q82" i="1" s="1"/>
  <c r="M82" i="1"/>
  <c r="L82" i="1"/>
  <c r="J82" i="1"/>
  <c r="K82" i="1"/>
  <c r="AP79" i="1"/>
  <c r="AL79" i="1"/>
  <c r="AD79" i="1"/>
  <c r="Z79" i="1"/>
  <c r="W79" i="1"/>
  <c r="V79" i="1"/>
  <c r="T79" i="1"/>
  <c r="S79" i="1"/>
  <c r="U79" i="1" s="1"/>
  <c r="O79" i="1"/>
  <c r="Q79" i="1" s="1"/>
  <c r="M79" i="1"/>
  <c r="L79" i="1"/>
  <c r="J79" i="1"/>
  <c r="K79" i="1"/>
  <c r="AP75" i="1"/>
  <c r="AL75" i="1"/>
  <c r="AH75" i="1"/>
  <c r="AD75" i="1"/>
  <c r="W75" i="1"/>
  <c r="V75" i="1"/>
  <c r="T75" i="1"/>
  <c r="S75" i="1"/>
  <c r="U75" i="1" s="1"/>
  <c r="P75" i="1"/>
  <c r="O75" i="1"/>
  <c r="Q75" i="1" s="1"/>
  <c r="M75" i="1"/>
  <c r="L75" i="1"/>
  <c r="J75" i="1"/>
  <c r="K75" i="1"/>
  <c r="AP72" i="1"/>
  <c r="AL72" i="1"/>
  <c r="AD72" i="1"/>
  <c r="Z72" i="1"/>
  <c r="W72" i="1"/>
  <c r="V72" i="1"/>
  <c r="T72" i="1"/>
  <c r="S72" i="1"/>
  <c r="U72" i="1" s="1"/>
  <c r="O72" i="1"/>
  <c r="Q72" i="1" s="1"/>
  <c r="M72" i="1"/>
  <c r="L72" i="1"/>
  <c r="K72" i="1"/>
  <c r="AH65" i="1"/>
  <c r="AD65" i="1"/>
  <c r="Z65" i="1"/>
  <c r="W65" i="1"/>
  <c r="V65" i="1"/>
  <c r="T65" i="1"/>
  <c r="S65" i="1"/>
  <c r="U65" i="1" s="1"/>
  <c r="P65" i="1"/>
  <c r="O65" i="1"/>
  <c r="Q65" i="1" s="1"/>
  <c r="M65" i="1"/>
  <c r="L65" i="1"/>
  <c r="J65" i="1"/>
  <c r="K65" i="1"/>
  <c r="AP62" i="1"/>
  <c r="AL62" i="1"/>
  <c r="AD62" i="1"/>
  <c r="Z62" i="1"/>
  <c r="W62" i="1"/>
  <c r="V62" i="1"/>
  <c r="T62" i="1"/>
  <c r="S62" i="1"/>
  <c r="U62" i="1" s="1"/>
  <c r="P62" i="1"/>
  <c r="O62" i="1"/>
  <c r="Q62" i="1" s="1"/>
  <c r="M62" i="1"/>
  <c r="L62" i="1"/>
  <c r="J62" i="1"/>
  <c r="K62" i="1"/>
  <c r="AP59" i="1"/>
  <c r="AL59" i="1"/>
  <c r="AD59" i="1"/>
  <c r="Z59" i="1"/>
  <c r="Z66" i="1" s="1"/>
  <c r="W59" i="1"/>
  <c r="V59" i="1"/>
  <c r="T59" i="1"/>
  <c r="S59" i="1"/>
  <c r="U59" i="1" s="1"/>
  <c r="P59" i="1"/>
  <c r="O59" i="1"/>
  <c r="Q59" i="1" s="1"/>
  <c r="M59" i="1"/>
  <c r="L59" i="1"/>
  <c r="J59" i="1"/>
  <c r="K59" i="1"/>
  <c r="AD57" i="1"/>
  <c r="W57" i="1"/>
  <c r="V57" i="1"/>
  <c r="T57" i="1"/>
  <c r="S57" i="1"/>
  <c r="U57" i="1" s="1"/>
  <c r="O57" i="1"/>
  <c r="Q57" i="1" s="1"/>
  <c r="M57" i="1"/>
  <c r="L57" i="1"/>
  <c r="K57" i="1"/>
  <c r="AP50" i="1"/>
  <c r="AQ50" i="1" s="1"/>
  <c r="AL50" i="1"/>
  <c r="AD50" i="1"/>
  <c r="Z50" i="1"/>
  <c r="W50" i="1"/>
  <c r="V50" i="1"/>
  <c r="P50" i="1"/>
  <c r="O50" i="1"/>
  <c r="Q50" i="1" s="1"/>
  <c r="M50" i="1"/>
  <c r="L50" i="1"/>
  <c r="AP46" i="1"/>
  <c r="AL46" i="1"/>
  <c r="AH46" i="1"/>
  <c r="AD46" i="1"/>
  <c r="Z46" i="1"/>
  <c r="W46" i="1"/>
  <c r="V46" i="1"/>
  <c r="T46" i="1"/>
  <c r="S46" i="1"/>
  <c r="U46" i="1" s="1"/>
  <c r="P46" i="1"/>
  <c r="O46" i="1"/>
  <c r="Q46" i="1" s="1"/>
  <c r="M46" i="1"/>
  <c r="L46" i="1"/>
  <c r="AP40" i="1"/>
  <c r="AQ40" i="1" s="1"/>
  <c r="AL40" i="1"/>
  <c r="AD40" i="1"/>
  <c r="Z40" i="1"/>
  <c r="W40" i="1"/>
  <c r="V40" i="1"/>
  <c r="T40" i="1"/>
  <c r="P40" i="1"/>
  <c r="O40" i="1"/>
  <c r="Q40" i="1" s="1"/>
  <c r="M40" i="1"/>
  <c r="L40" i="1"/>
  <c r="AP28" i="1"/>
  <c r="AO28" i="1"/>
  <c r="AL28" i="1"/>
  <c r="AH28" i="1"/>
  <c r="AD28" i="1"/>
  <c r="Z28" i="1"/>
  <c r="Y28" i="1"/>
  <c r="AA28" i="1" s="1"/>
  <c r="W28" i="1"/>
  <c r="V28" i="1"/>
  <c r="T28" i="1"/>
  <c r="S28" i="1"/>
  <c r="U28" i="1" s="1"/>
  <c r="P28" i="1"/>
  <c r="M28" i="1"/>
  <c r="L28" i="1"/>
  <c r="J28" i="1"/>
  <c r="AP26" i="1"/>
  <c r="AO26" i="1"/>
  <c r="AQ26" i="1" s="1"/>
  <c r="AL26" i="1"/>
  <c r="AH26" i="1"/>
  <c r="AD26" i="1"/>
  <c r="Z26" i="1"/>
  <c r="Y26" i="1"/>
  <c r="W26" i="1"/>
  <c r="P26" i="1"/>
  <c r="M26" i="1"/>
  <c r="L26" i="1"/>
  <c r="J26" i="1"/>
  <c r="AP22" i="1"/>
  <c r="AO22" i="1"/>
  <c r="AQ22" i="1" s="1"/>
  <c r="AL22" i="1"/>
  <c r="AH22" i="1"/>
  <c r="AD22" i="1"/>
  <c r="Z22" i="1"/>
  <c r="Y22" i="1"/>
  <c r="AA22" i="1" s="1"/>
  <c r="W22" i="1"/>
  <c r="V22" i="1"/>
  <c r="T22" i="1"/>
  <c r="S22" i="1"/>
  <c r="U22" i="1" s="1"/>
  <c r="P22" i="1"/>
  <c r="O22" i="1"/>
  <c r="Q22" i="1" s="1"/>
  <c r="M22" i="1"/>
  <c r="L22" i="1"/>
  <c r="J22" i="1"/>
  <c r="AP20" i="1"/>
  <c r="AO20" i="1"/>
  <c r="AL20" i="1"/>
  <c r="AH20" i="1"/>
  <c r="AD20" i="1"/>
  <c r="Z20" i="1"/>
  <c r="Y20" i="1"/>
  <c r="AA20" i="1" s="1"/>
  <c r="W20" i="1"/>
  <c r="V20" i="1"/>
  <c r="T20" i="1"/>
  <c r="S20" i="1"/>
  <c r="U20" i="1" s="1"/>
  <c r="P20" i="1"/>
  <c r="M20" i="1"/>
  <c r="L20" i="1"/>
  <c r="J20" i="1"/>
  <c r="AP18" i="1"/>
  <c r="AO18" i="1"/>
  <c r="AL18" i="1"/>
  <c r="AH18" i="1"/>
  <c r="AD18" i="1"/>
  <c r="Z18" i="1"/>
  <c r="Y18" i="1"/>
  <c r="AA18" i="1" s="1"/>
  <c r="W18" i="1"/>
  <c r="V18" i="1"/>
  <c r="T18" i="1"/>
  <c r="S18" i="1"/>
  <c r="U18" i="1" s="1"/>
  <c r="P18" i="1"/>
  <c r="M18" i="1"/>
  <c r="L18" i="1"/>
  <c r="J18" i="1"/>
  <c r="AP16" i="1"/>
  <c r="AO16" i="1"/>
  <c r="AQ16" i="1" s="1"/>
  <c r="AL16" i="1"/>
  <c r="AH16" i="1"/>
  <c r="AD16" i="1"/>
  <c r="Z16" i="1"/>
  <c r="Y16" i="1"/>
  <c r="AA16" i="1" s="1"/>
  <c r="W16" i="1"/>
  <c r="V16" i="1"/>
  <c r="T16" i="1"/>
  <c r="S16" i="1"/>
  <c r="U16" i="1" s="1"/>
  <c r="P16" i="1"/>
  <c r="M16" i="1"/>
  <c r="L16" i="1"/>
  <c r="J16" i="1"/>
  <c r="K10" i="1"/>
  <c r="K11" i="1"/>
  <c r="AP12" i="1"/>
  <c r="AO12" i="1"/>
  <c r="AQ12" i="1" s="1"/>
  <c r="AL12" i="1"/>
  <c r="AH12" i="1"/>
  <c r="AD12" i="1"/>
  <c r="Z12" i="1"/>
  <c r="Y12" i="1"/>
  <c r="AA12" i="1" s="1"/>
  <c r="W12" i="1"/>
  <c r="V12" i="1"/>
  <c r="S12" i="1"/>
  <c r="U12" i="1" s="1"/>
  <c r="M12" i="1"/>
  <c r="L12" i="1"/>
  <c r="F204" i="1"/>
  <c r="E202" i="1"/>
  <c r="F202" i="1"/>
  <c r="E199" i="1"/>
  <c r="I127" i="10" s="1"/>
  <c r="D196" i="1"/>
  <c r="G196" i="1" s="1"/>
  <c r="E196" i="1"/>
  <c r="I125" i="10" s="1"/>
  <c r="D194" i="1"/>
  <c r="G194" i="1" s="1"/>
  <c r="E194" i="1"/>
  <c r="I124" i="10" s="1"/>
  <c r="F194" i="1"/>
  <c r="D191" i="1"/>
  <c r="G191" i="1" s="1"/>
  <c r="E191" i="1"/>
  <c r="I123" i="10" s="1"/>
  <c r="F191" i="1"/>
  <c r="D188" i="1"/>
  <c r="G188" i="1" s="1"/>
  <c r="E188" i="1"/>
  <c r="I122" i="10" s="1"/>
  <c r="D185" i="1"/>
  <c r="G185" i="1" s="1"/>
  <c r="E185" i="1"/>
  <c r="F183" i="1"/>
  <c r="D183" i="1"/>
  <c r="G183" i="1" s="1"/>
  <c r="E172" i="1"/>
  <c r="E169" i="1"/>
  <c r="E167" i="1"/>
  <c r="E165" i="1"/>
  <c r="D160" i="1"/>
  <c r="F160" i="1"/>
  <c r="D155" i="1"/>
  <c r="G155" i="1" s="1"/>
  <c r="F155" i="1"/>
  <c r="D149" i="1"/>
  <c r="G149" i="1" s="1"/>
  <c r="E149" i="1"/>
  <c r="D146" i="1"/>
  <c r="G146" i="1" s="1"/>
  <c r="E146" i="1"/>
  <c r="I87" i="10" s="1"/>
  <c r="D144" i="1"/>
  <c r="G144" i="1" s="1"/>
  <c r="E144" i="1"/>
  <c r="D139" i="1"/>
  <c r="G139" i="1" s="1"/>
  <c r="E139" i="1"/>
  <c r="I85" i="10" s="1"/>
  <c r="D137" i="1"/>
  <c r="G137" i="1" s="1"/>
  <c r="E137" i="1"/>
  <c r="I84" i="10" s="1"/>
  <c r="D135" i="1"/>
  <c r="G135" i="1" s="1"/>
  <c r="E135" i="1"/>
  <c r="E133" i="1"/>
  <c r="F133" i="1"/>
  <c r="D129" i="1"/>
  <c r="G129" i="1" s="1"/>
  <c r="E129" i="1"/>
  <c r="I79" i="10" s="1"/>
  <c r="D121" i="1"/>
  <c r="G121" i="1" s="1"/>
  <c r="D117" i="1"/>
  <c r="G117" i="1" s="1"/>
  <c r="D109" i="1"/>
  <c r="G109" i="1" s="1"/>
  <c r="E109" i="1"/>
  <c r="I75" i="10" s="1"/>
  <c r="D106" i="1"/>
  <c r="G106" i="1" s="1"/>
  <c r="E106" i="1"/>
  <c r="D101" i="1"/>
  <c r="G101" i="1" s="1"/>
  <c r="E101" i="1"/>
  <c r="D96" i="1"/>
  <c r="G96" i="1" s="1"/>
  <c r="E96" i="1"/>
  <c r="I72" i="10" s="1"/>
  <c r="D92" i="1"/>
  <c r="G92" i="1" s="1"/>
  <c r="E92" i="1"/>
  <c r="F121" i="1"/>
  <c r="F117" i="1"/>
  <c r="D86" i="1"/>
  <c r="G86" i="1" s="1"/>
  <c r="E86" i="1"/>
  <c r="I69" i="10" s="1"/>
  <c r="D82" i="1"/>
  <c r="G82" i="1" s="1"/>
  <c r="E82" i="1"/>
  <c r="I67" i="10" s="1"/>
  <c r="D79" i="1"/>
  <c r="G79" i="1" s="1"/>
  <c r="E79" i="1"/>
  <c r="I66" i="10" s="1"/>
  <c r="D75" i="1"/>
  <c r="G75" i="1" s="1"/>
  <c r="E75" i="1"/>
  <c r="I65" i="10" s="1"/>
  <c r="D72" i="1"/>
  <c r="G72" i="1" s="1"/>
  <c r="E72" i="1"/>
  <c r="I64" i="10" s="1"/>
  <c r="E28" i="1"/>
  <c r="F18" i="1"/>
  <c r="E16" i="1"/>
  <c r="E22" i="1"/>
  <c r="E20" i="1"/>
  <c r="E84" i="1"/>
  <c r="I68" i="10" s="1"/>
  <c r="D84" i="1"/>
  <c r="G84" i="1" s="1"/>
  <c r="B209" i="1"/>
  <c r="J9" i="1"/>
  <c r="J12" i="1" s="1"/>
  <c r="J67" i="10" l="1"/>
  <c r="K67" i="10"/>
  <c r="J123" i="10"/>
  <c r="K123" i="10"/>
  <c r="K69" i="10"/>
  <c r="J69" i="10"/>
  <c r="J79" i="10"/>
  <c r="K79" i="10"/>
  <c r="J150" i="1"/>
  <c r="J108" i="10"/>
  <c r="T163" i="1"/>
  <c r="J16" i="10"/>
  <c r="J53" i="10"/>
  <c r="K68" i="10"/>
  <c r="J68" i="10"/>
  <c r="J124" i="10"/>
  <c r="K124" i="10"/>
  <c r="J99" i="10"/>
  <c r="F92" i="1"/>
  <c r="I71" i="10"/>
  <c r="F135" i="1"/>
  <c r="I83" i="10"/>
  <c r="K125" i="10"/>
  <c r="J125" i="10"/>
  <c r="F149" i="1"/>
  <c r="I88" i="10"/>
  <c r="P87" i="1"/>
  <c r="Q87" i="1" s="1"/>
  <c r="K72" i="10"/>
  <c r="J72" i="10"/>
  <c r="K84" i="10"/>
  <c r="J84" i="10"/>
  <c r="J127" i="10"/>
  <c r="K127" i="10"/>
  <c r="I126" i="10"/>
  <c r="J130" i="10"/>
  <c r="I129" i="10"/>
  <c r="J62" i="10"/>
  <c r="K62" i="10"/>
  <c r="K60" i="10"/>
  <c r="J60" i="10"/>
  <c r="I58" i="10"/>
  <c r="K64" i="10"/>
  <c r="J64" i="10"/>
  <c r="I63" i="10"/>
  <c r="F101" i="1"/>
  <c r="I73" i="10"/>
  <c r="J85" i="10"/>
  <c r="K85" i="10"/>
  <c r="J65" i="10"/>
  <c r="K65" i="10"/>
  <c r="F106" i="1"/>
  <c r="I74" i="10"/>
  <c r="F144" i="1"/>
  <c r="I86" i="10"/>
  <c r="F185" i="1"/>
  <c r="I121" i="10"/>
  <c r="I50" i="10"/>
  <c r="J51" i="10"/>
  <c r="K51" i="10"/>
  <c r="F50" i="1"/>
  <c r="I56" i="10"/>
  <c r="J66" i="10"/>
  <c r="K66" i="10"/>
  <c r="J75" i="10"/>
  <c r="K75" i="10"/>
  <c r="J87" i="10"/>
  <c r="K87" i="10"/>
  <c r="J122" i="10"/>
  <c r="K122" i="10"/>
  <c r="J34" i="10"/>
  <c r="J29" i="1"/>
  <c r="J130" i="1"/>
  <c r="P150" i="1"/>
  <c r="Q150" i="1" s="1"/>
  <c r="AD197" i="1"/>
  <c r="AD205" i="1" s="1"/>
  <c r="G34" i="1"/>
  <c r="H24" i="9"/>
  <c r="Z87" i="1"/>
  <c r="P197" i="1"/>
  <c r="P205" i="1" s="1"/>
  <c r="BC51" i="6"/>
  <c r="P66" i="1"/>
  <c r="Q66" i="1" s="1"/>
  <c r="BC208" i="6"/>
  <c r="BB208" i="6"/>
  <c r="S26" i="1"/>
  <c r="F37" i="1"/>
  <c r="E40" i="1"/>
  <c r="F59" i="1"/>
  <c r="E66" i="1"/>
  <c r="F66" i="1" s="1"/>
  <c r="K9" i="1"/>
  <c r="AQ20" i="1"/>
  <c r="O176" i="1"/>
  <c r="AQ18" i="1"/>
  <c r="F26" i="1"/>
  <c r="BC197" i="6"/>
  <c r="BC205" i="6" s="1"/>
  <c r="BC87" i="6"/>
  <c r="AA26" i="1"/>
  <c r="AQ28" i="1"/>
  <c r="BC23" i="1"/>
  <c r="D23" i="1" s="1"/>
  <c r="G31" i="10" s="1"/>
  <c r="U23" i="1"/>
  <c r="Q23" i="1"/>
  <c r="F84" i="1"/>
  <c r="F75" i="1"/>
  <c r="F109" i="1"/>
  <c r="F188" i="1"/>
  <c r="F137" i="1"/>
  <c r="F139" i="1"/>
  <c r="F167" i="1"/>
  <c r="F169" i="1"/>
  <c r="F86" i="1"/>
  <c r="F146" i="1"/>
  <c r="F165" i="1"/>
  <c r="F79" i="1"/>
  <c r="F82" i="1"/>
  <c r="F20" i="1"/>
  <c r="F22" i="1"/>
  <c r="F172" i="1"/>
  <c r="F16" i="1"/>
  <c r="F129" i="1"/>
  <c r="F196" i="1"/>
  <c r="F28" i="1"/>
  <c r="AU197" i="1"/>
  <c r="F72" i="1"/>
  <c r="F96" i="1"/>
  <c r="D162" i="1"/>
  <c r="G162" i="1" s="1"/>
  <c r="G160" i="1"/>
  <c r="Q204" i="1"/>
  <c r="AK20" i="1"/>
  <c r="AM20" i="1" s="1"/>
  <c r="AM19" i="1"/>
  <c r="AK28" i="1"/>
  <c r="AM28" i="1" s="1"/>
  <c r="AM27" i="1"/>
  <c r="AE204" i="1"/>
  <c r="AG22" i="1"/>
  <c r="AI22" i="1" s="1"/>
  <c r="AI21" i="1"/>
  <c r="AG28" i="1"/>
  <c r="AI28" i="1" s="1"/>
  <c r="AI27" i="1"/>
  <c r="AI40" i="1"/>
  <c r="AI46" i="1"/>
  <c r="AI50" i="1"/>
  <c r="AI165" i="1"/>
  <c r="AI167" i="1"/>
  <c r="AI175" i="1"/>
  <c r="AG18" i="1"/>
  <c r="AI18" i="1" s="1"/>
  <c r="AI17" i="1"/>
  <c r="AG20" i="1"/>
  <c r="AI20" i="1" s="1"/>
  <c r="AI19" i="1"/>
  <c r="AE40" i="1"/>
  <c r="AE50" i="1"/>
  <c r="U50" i="1"/>
  <c r="W162" i="1"/>
  <c r="U40" i="1"/>
  <c r="S162" i="1"/>
  <c r="U162" i="1" s="1"/>
  <c r="U160" i="1"/>
  <c r="U204" i="1"/>
  <c r="M162" i="1"/>
  <c r="O162" i="1"/>
  <c r="Q162" i="1" s="1"/>
  <c r="Q160" i="1"/>
  <c r="O28" i="1"/>
  <c r="Q28" i="1" s="1"/>
  <c r="Q27" i="1"/>
  <c r="Q133" i="1"/>
  <c r="K162" i="1"/>
  <c r="K160" i="1"/>
  <c r="K18" i="1"/>
  <c r="K17" i="1"/>
  <c r="K20" i="1"/>
  <c r="K19" i="1"/>
  <c r="K22" i="1"/>
  <c r="K21" i="1"/>
  <c r="K28" i="1"/>
  <c r="K27" i="1"/>
  <c r="K40" i="1"/>
  <c r="K46" i="1"/>
  <c r="K50" i="1"/>
  <c r="F199" i="1"/>
  <c r="E112" i="1"/>
  <c r="I76" i="10" s="1"/>
  <c r="AT176" i="1"/>
  <c r="AT206" i="1" s="1"/>
  <c r="AT209" i="1" s="1"/>
  <c r="C208" i="1"/>
  <c r="AP197" i="1"/>
  <c r="AW176" i="1"/>
  <c r="AW206" i="1" s="1"/>
  <c r="AW209" i="1" s="1"/>
  <c r="AW210" i="1" s="1"/>
  <c r="AW213" i="1" s="1"/>
  <c r="AT35" i="1"/>
  <c r="AT208" i="1" s="1"/>
  <c r="BC11" i="1"/>
  <c r="D11" i="1" s="1"/>
  <c r="BC10" i="1"/>
  <c r="D10" i="1" s="1"/>
  <c r="G10" i="1" s="1"/>
  <c r="O205" i="1"/>
  <c r="S205" i="1"/>
  <c r="BC14" i="1"/>
  <c r="D14" i="1" s="1"/>
  <c r="AV176" i="1"/>
  <c r="AV206" i="1" s="1"/>
  <c r="AV209" i="1" s="1"/>
  <c r="AV210" i="1" s="1"/>
  <c r="AV213" i="1" s="1"/>
  <c r="E197" i="1"/>
  <c r="D198" i="1" s="1"/>
  <c r="G198" i="1" s="1"/>
  <c r="E151" i="1"/>
  <c r="AP130" i="1"/>
  <c r="AQ130" i="1" s="1"/>
  <c r="BD40" i="1"/>
  <c r="BD9" i="1"/>
  <c r="E9" i="1" s="1"/>
  <c r="I14" i="10" s="1"/>
  <c r="P130" i="1"/>
  <c r="Q130" i="1" s="1"/>
  <c r="J66" i="1"/>
  <c r="K66" i="1" s="1"/>
  <c r="AS29" i="1"/>
  <c r="AU29" i="1" s="1"/>
  <c r="AK18" i="1"/>
  <c r="AM18" i="1" s="1"/>
  <c r="AK22" i="1"/>
  <c r="AM22" i="1" s="1"/>
  <c r="AG26" i="1"/>
  <c r="AI26" i="1" s="1"/>
  <c r="AH66" i="1"/>
  <c r="AI66" i="1" s="1"/>
  <c r="AK197" i="1"/>
  <c r="AD163" i="1"/>
  <c r="AK26" i="1"/>
  <c r="AM26" i="1" s="1"/>
  <c r="AK12" i="1"/>
  <c r="AM12" i="1" s="1"/>
  <c r="AK16" i="1"/>
  <c r="AM16" i="1" s="1"/>
  <c r="AH197" i="1"/>
  <c r="AH205" i="1" s="1"/>
  <c r="S87" i="1"/>
  <c r="U87" i="1" s="1"/>
  <c r="M150" i="1"/>
  <c r="J163" i="1"/>
  <c r="K163" i="1" s="1"/>
  <c r="J197" i="1"/>
  <c r="J205" i="1" s="1"/>
  <c r="U163" i="1"/>
  <c r="AC16" i="1"/>
  <c r="AE16" i="1" s="1"/>
  <c r="AH29" i="1"/>
  <c r="T197" i="1"/>
  <c r="T205" i="1" s="1"/>
  <c r="W197" i="1"/>
  <c r="J87" i="1"/>
  <c r="K87" i="1" s="1"/>
  <c r="AG51" i="1"/>
  <c r="V163" i="1"/>
  <c r="W163" i="1"/>
  <c r="AL51" i="1"/>
  <c r="AP29" i="1"/>
  <c r="AP35" i="1" s="1"/>
  <c r="AP208" i="1" s="1"/>
  <c r="AO29" i="1"/>
  <c r="AL87" i="1"/>
  <c r="K150" i="1"/>
  <c r="M29" i="1"/>
  <c r="V66" i="1"/>
  <c r="L66" i="1"/>
  <c r="AL66" i="1"/>
  <c r="AM66" i="1" s="1"/>
  <c r="W130" i="1"/>
  <c r="Z163" i="1"/>
  <c r="M66" i="1"/>
  <c r="V197" i="1"/>
  <c r="V205" i="1" s="1"/>
  <c r="T29" i="1"/>
  <c r="M87" i="1"/>
  <c r="AP150" i="1"/>
  <c r="AQ150" i="1" s="1"/>
  <c r="AP66" i="1"/>
  <c r="AQ66" i="1" s="1"/>
  <c r="Z130" i="1"/>
  <c r="T150" i="1"/>
  <c r="U150" i="1" s="1"/>
  <c r="AH163" i="1"/>
  <c r="K16" i="1"/>
  <c r="Z29" i="1"/>
  <c r="AD130" i="1"/>
  <c r="T130" i="1"/>
  <c r="U130" i="1" s="1"/>
  <c r="V150" i="1"/>
  <c r="V130" i="1"/>
  <c r="AH150" i="1"/>
  <c r="AI150" i="1" s="1"/>
  <c r="AD29" i="1"/>
  <c r="AD35" i="1" s="1"/>
  <c r="W29" i="1"/>
  <c r="AH130" i="1"/>
  <c r="AI130" i="1" s="1"/>
  <c r="W150" i="1"/>
  <c r="L150" i="1"/>
  <c r="AL150" i="1"/>
  <c r="AM150" i="1" s="1"/>
  <c r="Z197" i="1"/>
  <c r="Z205" i="1" s="1"/>
  <c r="M197" i="1"/>
  <c r="AL197" i="1"/>
  <c r="AL205" i="1" s="1"/>
  <c r="L197" i="1"/>
  <c r="L205" i="1" s="1"/>
  <c r="P29" i="1"/>
  <c r="Y29" i="1"/>
  <c r="W51" i="1"/>
  <c r="T66" i="1"/>
  <c r="W87" i="1"/>
  <c r="Z150" i="1"/>
  <c r="W66" i="1"/>
  <c r="AL163" i="1"/>
  <c r="AD87" i="1"/>
  <c r="K130" i="1"/>
  <c r="M130" i="1"/>
  <c r="M163" i="1"/>
  <c r="L130" i="1"/>
  <c r="AD150" i="1"/>
  <c r="AE150" i="1" s="1"/>
  <c r="L163" i="1"/>
  <c r="S66" i="1"/>
  <c r="U66" i="1" s="1"/>
  <c r="AH87" i="1"/>
  <c r="AI87" i="1" s="1"/>
  <c r="AL130" i="1"/>
  <c r="AP87" i="1"/>
  <c r="AQ87" i="1" s="1"/>
  <c r="L29" i="1"/>
  <c r="L35" i="1" s="1"/>
  <c r="L208" i="1" s="1"/>
  <c r="AL29" i="1"/>
  <c r="AD66" i="1"/>
  <c r="T87" i="1"/>
  <c r="L87" i="1"/>
  <c r="T51" i="1"/>
  <c r="V51" i="1"/>
  <c r="K26" i="1"/>
  <c r="P51" i="1"/>
  <c r="Z51" i="1"/>
  <c r="AD51" i="1"/>
  <c r="AH51" i="1"/>
  <c r="S51" i="1"/>
  <c r="L51" i="1"/>
  <c r="M51" i="1"/>
  <c r="AP51" i="1"/>
  <c r="V29" i="1"/>
  <c r="O51" i="1"/>
  <c r="Q51" i="1" s="1"/>
  <c r="AC12" i="1"/>
  <c r="AE12" i="1" s="1"/>
  <c r="AG12" i="1"/>
  <c r="AI12" i="1" s="1"/>
  <c r="AG16" i="1"/>
  <c r="AI16" i="1" s="1"/>
  <c r="O26" i="1"/>
  <c r="Q26" i="1" s="1"/>
  <c r="E150" i="1"/>
  <c r="E87" i="1"/>
  <c r="G14" i="1" l="1"/>
  <c r="G18" i="10"/>
  <c r="H18" i="10" s="1"/>
  <c r="K18" i="10" s="1"/>
  <c r="K121" i="10"/>
  <c r="J121" i="10"/>
  <c r="I119" i="10"/>
  <c r="J58" i="10"/>
  <c r="J86" i="10"/>
  <c r="K86" i="10"/>
  <c r="J83" i="10"/>
  <c r="K83" i="10"/>
  <c r="I82" i="10"/>
  <c r="G11" i="1"/>
  <c r="G15" i="10"/>
  <c r="H15" i="10" s="1"/>
  <c r="K15" i="10" s="1"/>
  <c r="J74" i="10"/>
  <c r="K74" i="10"/>
  <c r="J129" i="10"/>
  <c r="J71" i="10"/>
  <c r="K71" i="10"/>
  <c r="I70" i="10"/>
  <c r="H31" i="10"/>
  <c r="K31" i="10" s="1"/>
  <c r="J88" i="10"/>
  <c r="K88" i="10"/>
  <c r="J126" i="10"/>
  <c r="J14" i="10"/>
  <c r="I13" i="10"/>
  <c r="K76" i="10"/>
  <c r="J76" i="10"/>
  <c r="J73" i="10"/>
  <c r="K73" i="10"/>
  <c r="J50" i="10"/>
  <c r="I24" i="9"/>
  <c r="L24" i="9" s="1"/>
  <c r="H26" i="9"/>
  <c r="I26" i="9" s="1"/>
  <c r="L26" i="9" s="1"/>
  <c r="K56" i="10"/>
  <c r="J56" i="10"/>
  <c r="I55" i="10"/>
  <c r="I57" i="10"/>
  <c r="J63" i="10"/>
  <c r="E152" i="1"/>
  <c r="F152" i="1" s="1"/>
  <c r="I91" i="10"/>
  <c r="AD176" i="1"/>
  <c r="AD206" i="1" s="1"/>
  <c r="AD209" i="1" s="1"/>
  <c r="T176" i="1"/>
  <c r="AE130" i="1"/>
  <c r="P176" i="1"/>
  <c r="P206" i="1" s="1"/>
  <c r="P209" i="1" s="1"/>
  <c r="F151" i="1"/>
  <c r="F40" i="1"/>
  <c r="E51" i="1"/>
  <c r="G23" i="1"/>
  <c r="K12" i="1"/>
  <c r="U197" i="1"/>
  <c r="AE197" i="1"/>
  <c r="F150" i="1"/>
  <c r="F87" i="1"/>
  <c r="F197" i="1"/>
  <c r="AO35" i="1"/>
  <c r="AQ29" i="1"/>
  <c r="AP205" i="1"/>
  <c r="AQ197" i="1"/>
  <c r="AK205" i="1"/>
  <c r="AM205" i="1" s="1"/>
  <c r="AM197" i="1"/>
  <c r="AI51" i="1"/>
  <c r="AI197" i="1"/>
  <c r="Q197" i="1"/>
  <c r="W35" i="1"/>
  <c r="W205" i="1"/>
  <c r="Y35" i="1"/>
  <c r="AA29" i="1"/>
  <c r="U205" i="1"/>
  <c r="S29" i="1"/>
  <c r="U29" i="1" s="1"/>
  <c r="U26" i="1"/>
  <c r="U51" i="1"/>
  <c r="M35" i="1"/>
  <c r="Q205" i="1"/>
  <c r="K197" i="1"/>
  <c r="K51" i="1"/>
  <c r="K205" i="1"/>
  <c r="L176" i="1"/>
  <c r="L206" i="1" s="1"/>
  <c r="L209" i="1" s="1"/>
  <c r="L210" i="1" s="1"/>
  <c r="L213" i="1" s="1"/>
  <c r="W176" i="1"/>
  <c r="S176" i="1"/>
  <c r="V176" i="1"/>
  <c r="V206" i="1" s="1"/>
  <c r="M176" i="1"/>
  <c r="AT210" i="1"/>
  <c r="AT213" i="1" s="1"/>
  <c r="O206" i="1"/>
  <c r="AL35" i="1"/>
  <c r="AL208" i="1" s="1"/>
  <c r="V35" i="1"/>
  <c r="V208" i="1" s="1"/>
  <c r="AD208" i="1"/>
  <c r="AH35" i="1"/>
  <c r="AH208" i="1" s="1"/>
  <c r="J35" i="1"/>
  <c r="J208" i="1" s="1"/>
  <c r="P35" i="1"/>
  <c r="P208" i="1" s="1"/>
  <c r="Z35" i="1"/>
  <c r="Z208" i="1" s="1"/>
  <c r="T35" i="1"/>
  <c r="T208" i="1" s="1"/>
  <c r="AS35" i="1"/>
  <c r="Z176" i="1"/>
  <c r="Z206" i="1" s="1"/>
  <c r="T206" i="1"/>
  <c r="AL176" i="1"/>
  <c r="AL206" i="1" s="1"/>
  <c r="J176" i="1"/>
  <c r="J206" i="1" s="1"/>
  <c r="AP176" i="1"/>
  <c r="AH176" i="1"/>
  <c r="AH206" i="1" s="1"/>
  <c r="BD51" i="1"/>
  <c r="BD12" i="1"/>
  <c r="BD29" i="1" s="1"/>
  <c r="BD35" i="1" s="1"/>
  <c r="BD208" i="1" s="1"/>
  <c r="F9" i="1"/>
  <c r="AK29" i="1"/>
  <c r="K29" i="1"/>
  <c r="AG29" i="1"/>
  <c r="AI29" i="1" s="1"/>
  <c r="I90" i="10" l="1"/>
  <c r="J91" i="10"/>
  <c r="K91" i="10"/>
  <c r="J82" i="10"/>
  <c r="J57" i="10"/>
  <c r="J13" i="10"/>
  <c r="I12" i="10"/>
  <c r="J55" i="10"/>
  <c r="J70" i="10"/>
  <c r="I118" i="10"/>
  <c r="J119" i="10"/>
  <c r="K119" i="10"/>
  <c r="I49" i="10"/>
  <c r="F51" i="1"/>
  <c r="G152" i="1"/>
  <c r="AM29" i="1"/>
  <c r="AK35" i="1"/>
  <c r="AP206" i="1"/>
  <c r="AP209" i="1" s="1"/>
  <c r="AP210" i="1" s="1"/>
  <c r="AP213" i="1" s="1"/>
  <c r="AS208" i="1"/>
  <c r="AU208" i="1" s="1"/>
  <c r="AU35" i="1"/>
  <c r="AO208" i="1"/>
  <c r="AQ208" i="1" s="1"/>
  <c r="AQ35" i="1"/>
  <c r="S35" i="1"/>
  <c r="S208" i="1" s="1"/>
  <c r="U208" i="1" s="1"/>
  <c r="W206" i="1"/>
  <c r="Y208" i="1"/>
  <c r="AA208" i="1" s="1"/>
  <c r="AA35" i="1"/>
  <c r="W208" i="1"/>
  <c r="S206" i="1"/>
  <c r="U206" i="1" s="1"/>
  <c r="U176" i="1"/>
  <c r="M208" i="1"/>
  <c r="O209" i="1"/>
  <c r="Q206" i="1"/>
  <c r="Q176" i="1"/>
  <c r="E12" i="1"/>
  <c r="E29" i="1" s="1"/>
  <c r="AG35" i="1"/>
  <c r="M178" i="1"/>
  <c r="V209" i="1"/>
  <c r="V210" i="1" s="1"/>
  <c r="V213" i="1" s="1"/>
  <c r="T209" i="1"/>
  <c r="T210" i="1" s="1"/>
  <c r="T213" i="1" s="1"/>
  <c r="AH209" i="1"/>
  <c r="AH210" i="1" s="1"/>
  <c r="J209" i="1"/>
  <c r="J210" i="1" s="1"/>
  <c r="Z209" i="1"/>
  <c r="Z210" i="1" s="1"/>
  <c r="Z213" i="1" s="1"/>
  <c r="AL209" i="1"/>
  <c r="AL210" i="1" s="1"/>
  <c r="AL213" i="1" s="1"/>
  <c r="K204" i="6"/>
  <c r="J204" i="6"/>
  <c r="K202" i="6"/>
  <c r="J202" i="6"/>
  <c r="H202" i="6"/>
  <c r="G202" i="6"/>
  <c r="K199" i="6"/>
  <c r="J199" i="6"/>
  <c r="H199" i="6"/>
  <c r="G199" i="6"/>
  <c r="K196" i="6"/>
  <c r="J196" i="6"/>
  <c r="H196" i="6"/>
  <c r="G196" i="6"/>
  <c r="K194" i="6"/>
  <c r="J194" i="6"/>
  <c r="H194" i="6"/>
  <c r="G194" i="6"/>
  <c r="K191" i="6"/>
  <c r="J191" i="6"/>
  <c r="H191" i="6"/>
  <c r="G191" i="6"/>
  <c r="K188" i="6"/>
  <c r="J188" i="6"/>
  <c r="H188" i="6"/>
  <c r="G188" i="6"/>
  <c r="K185" i="6"/>
  <c r="J185" i="6"/>
  <c r="H185" i="6"/>
  <c r="G185" i="6"/>
  <c r="K183" i="6"/>
  <c r="J183" i="6"/>
  <c r="H183" i="6"/>
  <c r="G183" i="6"/>
  <c r="H175" i="6"/>
  <c r="G175" i="6"/>
  <c r="K172" i="6"/>
  <c r="J172" i="6"/>
  <c r="H172" i="6"/>
  <c r="G172" i="6"/>
  <c r="J169" i="6"/>
  <c r="H169" i="6"/>
  <c r="G169" i="6"/>
  <c r="H167" i="6"/>
  <c r="G167" i="6"/>
  <c r="H165" i="6"/>
  <c r="J160" i="6"/>
  <c r="H160" i="6"/>
  <c r="G160" i="6"/>
  <c r="K155" i="6"/>
  <c r="K163" i="6" s="1"/>
  <c r="J155" i="6"/>
  <c r="H155" i="6"/>
  <c r="G155" i="6"/>
  <c r="K149" i="6"/>
  <c r="J149" i="6"/>
  <c r="G149" i="6"/>
  <c r="K146" i="6"/>
  <c r="J146" i="6"/>
  <c r="H146" i="6"/>
  <c r="G146" i="6"/>
  <c r="K144" i="6"/>
  <c r="J144" i="6"/>
  <c r="H144" i="6"/>
  <c r="G144" i="6"/>
  <c r="K139" i="6"/>
  <c r="J139" i="6"/>
  <c r="H139" i="6"/>
  <c r="G139" i="6"/>
  <c r="J137" i="6"/>
  <c r="H137" i="6"/>
  <c r="G137" i="6"/>
  <c r="K135" i="6"/>
  <c r="J135" i="6"/>
  <c r="H135" i="6"/>
  <c r="G135" i="6"/>
  <c r="K133" i="6"/>
  <c r="J133" i="6"/>
  <c r="H133" i="6"/>
  <c r="G133" i="6"/>
  <c r="J129" i="6"/>
  <c r="G129" i="6"/>
  <c r="K121" i="6"/>
  <c r="J121" i="6"/>
  <c r="H121" i="6"/>
  <c r="G121" i="6"/>
  <c r="J117" i="6"/>
  <c r="G117" i="6"/>
  <c r="K112" i="6"/>
  <c r="J112" i="6"/>
  <c r="H112" i="6"/>
  <c r="G112" i="6"/>
  <c r="J109" i="6"/>
  <c r="H109" i="6"/>
  <c r="G109" i="6"/>
  <c r="K106" i="6"/>
  <c r="J106" i="6"/>
  <c r="H106" i="6"/>
  <c r="G106" i="6"/>
  <c r="J101" i="6"/>
  <c r="G101" i="6"/>
  <c r="K96" i="6"/>
  <c r="J96" i="6"/>
  <c r="H96" i="6"/>
  <c r="G96" i="6"/>
  <c r="K92" i="6"/>
  <c r="J92" i="6"/>
  <c r="H92" i="6"/>
  <c r="G92" i="6"/>
  <c r="K86" i="6"/>
  <c r="J86" i="6"/>
  <c r="H86" i="6"/>
  <c r="G86" i="6"/>
  <c r="K84" i="6"/>
  <c r="J84" i="6"/>
  <c r="H84" i="6"/>
  <c r="G84" i="6"/>
  <c r="K82" i="6"/>
  <c r="J82" i="6"/>
  <c r="H82" i="6"/>
  <c r="G82" i="6"/>
  <c r="K79" i="6"/>
  <c r="J79" i="6"/>
  <c r="H79" i="6"/>
  <c r="G79" i="6"/>
  <c r="K75" i="6"/>
  <c r="J75" i="6"/>
  <c r="H75" i="6"/>
  <c r="G75" i="6"/>
  <c r="K72" i="6"/>
  <c r="J72" i="6"/>
  <c r="H72" i="6"/>
  <c r="G72" i="6"/>
  <c r="K65" i="6"/>
  <c r="J65" i="6"/>
  <c r="H65" i="6"/>
  <c r="G65" i="6"/>
  <c r="K62" i="6"/>
  <c r="K66" i="6" s="1"/>
  <c r="J62" i="6"/>
  <c r="H62" i="6"/>
  <c r="G62" i="6"/>
  <c r="J59" i="6"/>
  <c r="H59" i="6"/>
  <c r="G59" i="6"/>
  <c r="J57" i="6"/>
  <c r="H57" i="6"/>
  <c r="G57" i="6"/>
  <c r="G46" i="6"/>
  <c r="K27" i="6"/>
  <c r="J27" i="6"/>
  <c r="H27" i="6"/>
  <c r="G27" i="6"/>
  <c r="K25" i="6"/>
  <c r="J25" i="6"/>
  <c r="H25" i="6"/>
  <c r="G25" i="6"/>
  <c r="K21" i="6"/>
  <c r="J21" i="6"/>
  <c r="H21" i="6"/>
  <c r="G21" i="6"/>
  <c r="K19" i="6"/>
  <c r="J19" i="6"/>
  <c r="H19" i="6"/>
  <c r="G19" i="6"/>
  <c r="K17" i="6"/>
  <c r="J17" i="6"/>
  <c r="H17" i="6"/>
  <c r="G17" i="6"/>
  <c r="K15" i="6"/>
  <c r="H15" i="6"/>
  <c r="G15" i="6"/>
  <c r="G11" i="6"/>
  <c r="Q202" i="6"/>
  <c r="P202" i="6"/>
  <c r="Q199" i="6"/>
  <c r="P199" i="6"/>
  <c r="P205" i="6" s="1"/>
  <c r="Q196" i="6"/>
  <c r="P196" i="6"/>
  <c r="Q194" i="6"/>
  <c r="P194" i="6"/>
  <c r="Q191" i="6"/>
  <c r="P191" i="6"/>
  <c r="Q188" i="6"/>
  <c r="P188" i="6"/>
  <c r="Q185" i="6"/>
  <c r="P185" i="6"/>
  <c r="Q183" i="6"/>
  <c r="P183" i="6"/>
  <c r="N175" i="6"/>
  <c r="M175" i="6"/>
  <c r="Q172" i="6"/>
  <c r="P172" i="6"/>
  <c r="N172" i="6"/>
  <c r="M172" i="6"/>
  <c r="P169" i="6"/>
  <c r="M169" i="6"/>
  <c r="N167" i="6"/>
  <c r="M167" i="6"/>
  <c r="M165" i="6"/>
  <c r="Q160" i="6"/>
  <c r="P160" i="6"/>
  <c r="N160" i="6"/>
  <c r="M160" i="6"/>
  <c r="M163" i="6" s="1"/>
  <c r="Q155" i="6"/>
  <c r="P155" i="6"/>
  <c r="Q149" i="6"/>
  <c r="P149" i="6"/>
  <c r="N149" i="6"/>
  <c r="M149" i="6"/>
  <c r="Q146" i="6"/>
  <c r="P146" i="6"/>
  <c r="N146" i="6"/>
  <c r="M146" i="6"/>
  <c r="Q144" i="6"/>
  <c r="P144" i="6"/>
  <c r="N144" i="6"/>
  <c r="M144" i="6"/>
  <c r="Q139" i="6"/>
  <c r="P139" i="6"/>
  <c r="N139" i="6"/>
  <c r="M139" i="6"/>
  <c r="P137" i="6"/>
  <c r="N137" i="6"/>
  <c r="M137" i="6"/>
  <c r="Q135" i="6"/>
  <c r="P135" i="6"/>
  <c r="N135" i="6"/>
  <c r="M135" i="6"/>
  <c r="Q133" i="6"/>
  <c r="P133" i="6"/>
  <c r="P129" i="6"/>
  <c r="M129" i="6"/>
  <c r="Q121" i="6"/>
  <c r="P121" i="6"/>
  <c r="N121" i="6"/>
  <c r="M121" i="6"/>
  <c r="P117" i="6"/>
  <c r="M117" i="6"/>
  <c r="Q112" i="6"/>
  <c r="P112" i="6"/>
  <c r="P109" i="6"/>
  <c r="N109" i="6"/>
  <c r="M109" i="6"/>
  <c r="Q106" i="6"/>
  <c r="P106" i="6"/>
  <c r="N106" i="6"/>
  <c r="M106" i="6"/>
  <c r="P101" i="6"/>
  <c r="M101" i="6"/>
  <c r="Q96" i="6"/>
  <c r="P96" i="6"/>
  <c r="N96" i="6"/>
  <c r="M96" i="6"/>
  <c r="P92" i="6"/>
  <c r="N92" i="6"/>
  <c r="M92" i="6"/>
  <c r="Q86" i="6"/>
  <c r="P86" i="6"/>
  <c r="N86" i="6"/>
  <c r="M86" i="6"/>
  <c r="Q84" i="6"/>
  <c r="P84" i="6"/>
  <c r="N84" i="6"/>
  <c r="M84" i="6"/>
  <c r="P82" i="6"/>
  <c r="N82" i="6"/>
  <c r="M82" i="6"/>
  <c r="Q79" i="6"/>
  <c r="P79" i="6"/>
  <c r="N79" i="6"/>
  <c r="M79" i="6"/>
  <c r="Q75" i="6"/>
  <c r="P75" i="6"/>
  <c r="N75" i="6"/>
  <c r="M75" i="6"/>
  <c r="P72" i="6"/>
  <c r="N72" i="6"/>
  <c r="M72" i="6"/>
  <c r="Q65" i="6"/>
  <c r="Q66" i="6" s="1"/>
  <c r="P65" i="6"/>
  <c r="M65" i="6"/>
  <c r="P62" i="6"/>
  <c r="N62" i="6"/>
  <c r="M62" i="6"/>
  <c r="P59" i="6"/>
  <c r="N59" i="6"/>
  <c r="M59" i="6"/>
  <c r="P57" i="6"/>
  <c r="N57" i="6"/>
  <c r="M57" i="6"/>
  <c r="M46" i="6"/>
  <c r="M51" i="6" s="1"/>
  <c r="Q27" i="6"/>
  <c r="P27" i="6"/>
  <c r="Q25" i="6"/>
  <c r="P25" i="6"/>
  <c r="Q21" i="6"/>
  <c r="P21" i="6"/>
  <c r="Q19" i="6"/>
  <c r="P19" i="6"/>
  <c r="Q17" i="6"/>
  <c r="P17" i="6"/>
  <c r="P15" i="6"/>
  <c r="M15" i="6"/>
  <c r="Q11" i="6"/>
  <c r="P11" i="6"/>
  <c r="N11" i="6"/>
  <c r="N28" i="6" s="1"/>
  <c r="N35" i="6" s="1"/>
  <c r="M11" i="6"/>
  <c r="X15" i="6"/>
  <c r="Z15" i="6"/>
  <c r="AA15" i="6"/>
  <c r="AB15" i="6"/>
  <c r="AC15" i="6"/>
  <c r="AD15" i="6"/>
  <c r="AE15" i="6"/>
  <c r="AF15" i="6"/>
  <c r="AG15" i="6"/>
  <c r="AI15" i="6"/>
  <c r="AJ15" i="6"/>
  <c r="AL15" i="6"/>
  <c r="AM15" i="6"/>
  <c r="AO15" i="6"/>
  <c r="AP15" i="6"/>
  <c r="W15" i="6"/>
  <c r="E15" i="6"/>
  <c r="D15" i="6"/>
  <c r="AJ204" i="6"/>
  <c r="AI204" i="6"/>
  <c r="AJ202" i="6"/>
  <c r="AI202" i="6"/>
  <c r="AJ199" i="6"/>
  <c r="AI199" i="6"/>
  <c r="AJ196" i="6"/>
  <c r="AI196" i="6"/>
  <c r="AJ194" i="6"/>
  <c r="AI194" i="6"/>
  <c r="AJ191" i="6"/>
  <c r="AI191" i="6"/>
  <c r="AJ188" i="6"/>
  <c r="AI188" i="6"/>
  <c r="AJ185" i="6"/>
  <c r="AI185" i="6"/>
  <c r="AJ183" i="6"/>
  <c r="AI183" i="6"/>
  <c r="AJ175" i="6"/>
  <c r="AI175" i="6"/>
  <c r="AJ172" i="6"/>
  <c r="AI172" i="6"/>
  <c r="AJ169" i="6"/>
  <c r="AI169" i="6"/>
  <c r="AJ167" i="6"/>
  <c r="AI167" i="6"/>
  <c r="AJ165" i="6"/>
  <c r="AI165" i="6"/>
  <c r="AJ160" i="6"/>
  <c r="AI160" i="6"/>
  <c r="AJ155" i="6"/>
  <c r="AI155" i="6"/>
  <c r="AJ149" i="6"/>
  <c r="AI149" i="6"/>
  <c r="AJ146" i="6"/>
  <c r="AI146" i="6"/>
  <c r="AJ144" i="6"/>
  <c r="AI144" i="6"/>
  <c r="AJ139" i="6"/>
  <c r="AI139" i="6"/>
  <c r="AJ137" i="6"/>
  <c r="AI137" i="6"/>
  <c r="AJ135" i="6"/>
  <c r="AI135" i="6"/>
  <c r="AJ133" i="6"/>
  <c r="AI133" i="6"/>
  <c r="AJ129" i="6"/>
  <c r="AI129" i="6"/>
  <c r="AJ121" i="6"/>
  <c r="AI121" i="6"/>
  <c r="AJ117" i="6"/>
  <c r="AI117" i="6"/>
  <c r="AJ109" i="6"/>
  <c r="AI109" i="6"/>
  <c r="AJ106" i="6"/>
  <c r="AI106" i="6"/>
  <c r="AJ101" i="6"/>
  <c r="AI101" i="6"/>
  <c r="AJ96" i="6"/>
  <c r="AI96" i="6"/>
  <c r="AJ92" i="6"/>
  <c r="AI92" i="6"/>
  <c r="AJ86" i="6"/>
  <c r="AI86" i="6"/>
  <c r="AJ84" i="6"/>
  <c r="AI84" i="6"/>
  <c r="AJ82" i="6"/>
  <c r="AI82" i="6"/>
  <c r="AJ79" i="6"/>
  <c r="AI79" i="6"/>
  <c r="AJ75" i="6"/>
  <c r="AI75" i="6"/>
  <c r="AJ72" i="6"/>
  <c r="AI72" i="6"/>
  <c r="AJ62" i="6"/>
  <c r="AI62" i="6"/>
  <c r="AJ59" i="6"/>
  <c r="AI59" i="6"/>
  <c r="AJ50" i="6"/>
  <c r="AI50" i="6"/>
  <c r="AI46" i="6"/>
  <c r="AI40" i="6"/>
  <c r="AJ27" i="6"/>
  <c r="AI27" i="6"/>
  <c r="AJ21" i="6"/>
  <c r="AI21" i="6"/>
  <c r="AJ19" i="6"/>
  <c r="AI19" i="6"/>
  <c r="AJ17" i="6"/>
  <c r="AI17" i="6"/>
  <c r="AJ11" i="6"/>
  <c r="AI11" i="6"/>
  <c r="AC204" i="6"/>
  <c r="AB204" i="6"/>
  <c r="AC202" i="6"/>
  <c r="AB202" i="6"/>
  <c r="AC199" i="6"/>
  <c r="AB199" i="6"/>
  <c r="AC196" i="6"/>
  <c r="AB196" i="6"/>
  <c r="AC194" i="6"/>
  <c r="AB194" i="6"/>
  <c r="AC191" i="6"/>
  <c r="AB191" i="6"/>
  <c r="AC188" i="6"/>
  <c r="AB188" i="6"/>
  <c r="AC185" i="6"/>
  <c r="AB185" i="6"/>
  <c r="AC183" i="6"/>
  <c r="AB183" i="6"/>
  <c r="AC175" i="6"/>
  <c r="AB175" i="6"/>
  <c r="AC172" i="6"/>
  <c r="AC169" i="6"/>
  <c r="AB169" i="6"/>
  <c r="AC167" i="6"/>
  <c r="AB167" i="6"/>
  <c r="AC165" i="6"/>
  <c r="AB165" i="6"/>
  <c r="AC160" i="6"/>
  <c r="AB160" i="6"/>
  <c r="AC155" i="6"/>
  <c r="AB155" i="6"/>
  <c r="AC149" i="6"/>
  <c r="AB149" i="6"/>
  <c r="AC146" i="6"/>
  <c r="AB146" i="6"/>
  <c r="AC144" i="6"/>
  <c r="AB144" i="6"/>
  <c r="AC139" i="6"/>
  <c r="AB139" i="6"/>
  <c r="AC137" i="6"/>
  <c r="AB137" i="6"/>
  <c r="AC135" i="6"/>
  <c r="AB135" i="6"/>
  <c r="AC133" i="6"/>
  <c r="AB133" i="6"/>
  <c r="AB129" i="6"/>
  <c r="AC121" i="6"/>
  <c r="AB121" i="6"/>
  <c r="AC117" i="6"/>
  <c r="AB117" i="6"/>
  <c r="AC109" i="6"/>
  <c r="AB109" i="6"/>
  <c r="AC106" i="6"/>
  <c r="AB106" i="6"/>
  <c r="AC101" i="6"/>
  <c r="AB101" i="6"/>
  <c r="AC96" i="6"/>
  <c r="AB96" i="6"/>
  <c r="AC92" i="6"/>
  <c r="AB92" i="6"/>
  <c r="AC86" i="6"/>
  <c r="AB86" i="6"/>
  <c r="AC84" i="6"/>
  <c r="AB84" i="6"/>
  <c r="AC82" i="6"/>
  <c r="AB82" i="6"/>
  <c r="AC79" i="6"/>
  <c r="AB79" i="6"/>
  <c r="AC75" i="6"/>
  <c r="AB75" i="6"/>
  <c r="AC72" i="6"/>
  <c r="AB72" i="6"/>
  <c r="AC62" i="6"/>
  <c r="AB62" i="6"/>
  <c r="AC59" i="6"/>
  <c r="AB59" i="6"/>
  <c r="AC50" i="6"/>
  <c r="AB50" i="6"/>
  <c r="AB46" i="6"/>
  <c r="AB40" i="6"/>
  <c r="AC27" i="6"/>
  <c r="AB27" i="6"/>
  <c r="AC25" i="6"/>
  <c r="AB25" i="6"/>
  <c r="AC21" i="6"/>
  <c r="AB21" i="6"/>
  <c r="AC19" i="6"/>
  <c r="AB19" i="6"/>
  <c r="AC17" i="6"/>
  <c r="AB17" i="6"/>
  <c r="AC11" i="6"/>
  <c r="AB11" i="6"/>
  <c r="AS204" i="6"/>
  <c r="AS196" i="6"/>
  <c r="AS194" i="6"/>
  <c r="AS191" i="6"/>
  <c r="AS188" i="6"/>
  <c r="AS185" i="6"/>
  <c r="AS183" i="6"/>
  <c r="AS160" i="6"/>
  <c r="AS155" i="6"/>
  <c r="AS146" i="6"/>
  <c r="AS144" i="6"/>
  <c r="AS139" i="6"/>
  <c r="AS137" i="6"/>
  <c r="AS135" i="6"/>
  <c r="AS133" i="6"/>
  <c r="AS129" i="6"/>
  <c r="AS121" i="6"/>
  <c r="AS117" i="6"/>
  <c r="AS112" i="6"/>
  <c r="AS109" i="6"/>
  <c r="AS106" i="6"/>
  <c r="AS101" i="6"/>
  <c r="AS96" i="6"/>
  <c r="AS92" i="6"/>
  <c r="AS82" i="6"/>
  <c r="AS79" i="6"/>
  <c r="AS75" i="6"/>
  <c r="AS72" i="6"/>
  <c r="AS62" i="6"/>
  <c r="AS59" i="6"/>
  <c r="AS57" i="6"/>
  <c r="AS50" i="6"/>
  <c r="AS21" i="6"/>
  <c r="AS28" i="6" s="1"/>
  <c r="AS35" i="6" s="1"/>
  <c r="AS208" i="6" s="1"/>
  <c r="AR204" i="6"/>
  <c r="AR196" i="6"/>
  <c r="AR194" i="6"/>
  <c r="AR191" i="6"/>
  <c r="AR188" i="6"/>
  <c r="AR185" i="6"/>
  <c r="AR183" i="6"/>
  <c r="AR160" i="6"/>
  <c r="AR155" i="6"/>
  <c r="AR146" i="6"/>
  <c r="AR144" i="6"/>
  <c r="AR139" i="6"/>
  <c r="AR137" i="6"/>
  <c r="AR135" i="6"/>
  <c r="AR133" i="6"/>
  <c r="AR129" i="6"/>
  <c r="AR121" i="6"/>
  <c r="AR117" i="6"/>
  <c r="AR112" i="6"/>
  <c r="AR109" i="6"/>
  <c r="AR106" i="6"/>
  <c r="AR101" i="6"/>
  <c r="AR96" i="6"/>
  <c r="AR92" i="6"/>
  <c r="AR82" i="6"/>
  <c r="AR79" i="6"/>
  <c r="AR75" i="6"/>
  <c r="AR72" i="6"/>
  <c r="AR62" i="6"/>
  <c r="AR59" i="6"/>
  <c r="AR57" i="6"/>
  <c r="AR50" i="6"/>
  <c r="AR46" i="6"/>
  <c r="AR40" i="6"/>
  <c r="AR21" i="6"/>
  <c r="AR28" i="6" s="1"/>
  <c r="AP204" i="6"/>
  <c r="AO204" i="1"/>
  <c r="AQ204" i="1" s="1"/>
  <c r="AP202" i="6"/>
  <c r="AO202" i="6"/>
  <c r="AP196" i="6"/>
  <c r="AO196" i="6"/>
  <c r="AP194" i="6"/>
  <c r="AO194" i="6"/>
  <c r="AP191" i="6"/>
  <c r="AO191" i="6"/>
  <c r="AP188" i="6"/>
  <c r="AO188" i="6"/>
  <c r="AP185" i="6"/>
  <c r="AO185" i="6"/>
  <c r="AP183" i="6"/>
  <c r="AO183" i="6"/>
  <c r="AP175" i="6"/>
  <c r="AO175" i="6"/>
  <c r="AP172" i="6"/>
  <c r="AO172" i="6"/>
  <c r="AP169" i="6"/>
  <c r="AO169" i="6"/>
  <c r="AP167" i="6"/>
  <c r="AO167" i="6"/>
  <c r="AP165" i="6"/>
  <c r="AO165" i="6"/>
  <c r="AO160" i="6"/>
  <c r="AP155" i="6"/>
  <c r="AP163" i="6" s="1"/>
  <c r="AO155" i="6"/>
  <c r="AO149" i="6"/>
  <c r="AP146" i="6"/>
  <c r="AP150" i="6" s="1"/>
  <c r="AO146" i="6"/>
  <c r="AO144" i="6"/>
  <c r="AO139" i="6"/>
  <c r="AO137" i="6"/>
  <c r="AO135" i="6"/>
  <c r="AP133" i="6"/>
  <c r="AO129" i="6"/>
  <c r="AP121" i="6"/>
  <c r="AO121" i="6"/>
  <c r="AO117" i="6"/>
  <c r="AO112" i="6"/>
  <c r="AP109" i="6"/>
  <c r="AO109" i="6"/>
  <c r="AP106" i="6"/>
  <c r="AO106" i="6"/>
  <c r="AP101" i="6"/>
  <c r="AO101" i="6"/>
  <c r="AO96" i="6"/>
  <c r="AO92" i="6"/>
  <c r="AO86" i="6"/>
  <c r="AO84" i="6"/>
  <c r="AP82" i="6"/>
  <c r="AO82" i="6"/>
  <c r="AP79" i="6"/>
  <c r="AO79" i="6"/>
  <c r="AO75" i="6"/>
  <c r="AO72" i="6"/>
  <c r="AP62" i="6"/>
  <c r="AO62" i="6"/>
  <c r="AP59" i="6"/>
  <c r="AO59" i="6"/>
  <c r="AO57" i="6"/>
  <c r="AP50" i="6"/>
  <c r="AO46" i="6"/>
  <c r="AP27" i="6"/>
  <c r="AO27" i="6"/>
  <c r="AP25" i="6"/>
  <c r="AO25" i="6"/>
  <c r="AP21" i="6"/>
  <c r="AO21" i="6"/>
  <c r="AP19" i="6"/>
  <c r="AO19" i="6"/>
  <c r="AP17" i="6"/>
  <c r="AO17" i="6"/>
  <c r="AP11" i="6"/>
  <c r="AO11" i="6"/>
  <c r="AM204" i="6"/>
  <c r="AM202" i="6"/>
  <c r="AM199" i="6"/>
  <c r="AM196" i="6"/>
  <c r="AM194" i="6"/>
  <c r="AM191" i="6"/>
  <c r="AM188" i="6"/>
  <c r="AM185" i="6"/>
  <c r="AM183" i="6"/>
  <c r="AM175" i="6"/>
  <c r="AM172" i="6"/>
  <c r="AM169" i="6"/>
  <c r="AM167" i="6"/>
  <c r="AM165" i="6"/>
  <c r="AM160" i="6"/>
  <c r="AM155" i="6"/>
  <c r="AM146" i="6"/>
  <c r="AM144" i="6"/>
  <c r="AM139" i="6"/>
  <c r="AM137" i="6"/>
  <c r="AM135" i="6"/>
  <c r="AM133" i="6"/>
  <c r="AM129" i="6"/>
  <c r="AM121" i="6"/>
  <c r="AM117" i="6"/>
  <c r="AM109" i="6"/>
  <c r="AM106" i="6"/>
  <c r="AM101" i="6"/>
  <c r="AM96" i="6"/>
  <c r="AM92" i="6"/>
  <c r="AM86" i="6"/>
  <c r="AM84" i="6"/>
  <c r="AM82" i="6"/>
  <c r="AM79" i="6"/>
  <c r="AM75" i="6"/>
  <c r="AM72" i="6"/>
  <c r="AM65" i="6"/>
  <c r="AM62" i="6"/>
  <c r="AM59" i="6"/>
  <c r="AM50" i="6"/>
  <c r="AM27" i="6"/>
  <c r="AM25" i="6"/>
  <c r="AM21" i="6"/>
  <c r="AM19" i="6"/>
  <c r="AM17" i="6"/>
  <c r="AM11" i="6"/>
  <c r="AG204" i="6"/>
  <c r="AF204" i="6"/>
  <c r="AG202" i="6"/>
  <c r="AF202" i="6"/>
  <c r="AG199" i="6"/>
  <c r="AF199" i="6"/>
  <c r="AG196" i="6"/>
  <c r="AF196" i="6"/>
  <c r="AG194" i="6"/>
  <c r="AF194" i="6"/>
  <c r="AG191" i="6"/>
  <c r="AF191" i="6"/>
  <c r="AG188" i="6"/>
  <c r="AF188" i="6"/>
  <c r="AG185" i="6"/>
  <c r="AF185" i="6"/>
  <c r="AG183" i="6"/>
  <c r="AF183" i="6"/>
  <c r="AG175" i="6"/>
  <c r="AF175" i="6"/>
  <c r="AG172" i="6"/>
  <c r="AF172" i="6"/>
  <c r="AG169" i="6"/>
  <c r="AF169" i="6"/>
  <c r="AG167" i="6"/>
  <c r="AF167" i="6"/>
  <c r="AG165" i="6"/>
  <c r="AF165" i="6"/>
  <c r="AG160" i="6"/>
  <c r="AF160" i="6"/>
  <c r="AG155" i="6"/>
  <c r="AF155" i="6"/>
  <c r="AG149" i="6"/>
  <c r="AF149" i="6"/>
  <c r="AG146" i="6"/>
  <c r="AF146" i="6"/>
  <c r="AG144" i="6"/>
  <c r="AF144" i="6"/>
  <c r="AG139" i="6"/>
  <c r="AF139" i="6"/>
  <c r="AG137" i="6"/>
  <c r="AF137" i="6"/>
  <c r="AG135" i="6"/>
  <c r="AF135" i="6"/>
  <c r="AG133" i="6"/>
  <c r="AF133" i="6"/>
  <c r="AG129" i="6"/>
  <c r="AF129" i="6"/>
  <c r="AG121" i="6"/>
  <c r="AF121" i="6"/>
  <c r="AG117" i="6"/>
  <c r="AF117" i="6"/>
  <c r="AG109" i="6"/>
  <c r="AF109" i="6"/>
  <c r="AG106" i="6"/>
  <c r="AF106" i="6"/>
  <c r="AG101" i="6"/>
  <c r="AF101" i="6"/>
  <c r="AG96" i="6"/>
  <c r="AF96" i="6"/>
  <c r="AG92" i="6"/>
  <c r="AF92" i="6"/>
  <c r="AG86" i="6"/>
  <c r="AF86" i="6"/>
  <c r="AG84" i="6"/>
  <c r="AF84" i="6"/>
  <c r="AG82" i="6"/>
  <c r="AF82" i="6"/>
  <c r="AG79" i="6"/>
  <c r="AF79" i="6"/>
  <c r="AG75" i="6"/>
  <c r="AF75" i="6"/>
  <c r="AG72" i="6"/>
  <c r="AF72" i="6"/>
  <c r="AG62" i="6"/>
  <c r="AF62" i="6"/>
  <c r="AG59" i="6"/>
  <c r="AF59" i="6"/>
  <c r="AG50" i="6"/>
  <c r="AF50" i="6"/>
  <c r="AF46" i="6"/>
  <c r="AF40" i="6"/>
  <c r="AG27" i="6"/>
  <c r="AF27" i="6"/>
  <c r="AG25" i="6"/>
  <c r="AF25" i="6"/>
  <c r="AG21" i="6"/>
  <c r="AF21" i="6"/>
  <c r="AG19" i="6"/>
  <c r="AF19" i="6"/>
  <c r="AG17" i="6"/>
  <c r="AF17" i="6"/>
  <c r="AG11" i="6"/>
  <c r="AF11" i="6"/>
  <c r="AE204" i="6"/>
  <c r="AE202" i="6"/>
  <c r="AE199" i="6"/>
  <c r="AE196" i="6"/>
  <c r="AE194" i="6"/>
  <c r="AE191" i="6"/>
  <c r="AE188" i="6"/>
  <c r="AE185" i="6"/>
  <c r="AE183" i="6"/>
  <c r="AE175" i="6"/>
  <c r="AE172" i="6"/>
  <c r="AE169" i="6"/>
  <c r="AE167" i="6"/>
  <c r="AE165" i="6"/>
  <c r="AE160" i="6"/>
  <c r="AE155" i="6"/>
  <c r="AE149" i="6"/>
  <c r="AE146" i="6"/>
  <c r="AE144" i="6"/>
  <c r="AE139" i="6"/>
  <c r="AE137" i="6"/>
  <c r="AE135" i="6"/>
  <c r="AE133" i="6"/>
  <c r="AE129" i="6"/>
  <c r="AE121" i="6"/>
  <c r="AE117" i="6"/>
  <c r="AE109" i="6"/>
  <c r="AE106" i="6"/>
  <c r="AE101" i="6"/>
  <c r="AE96" i="6"/>
  <c r="AE92" i="6"/>
  <c r="AE86" i="6"/>
  <c r="AE84" i="6"/>
  <c r="AE82" i="6"/>
  <c r="AE79" i="6"/>
  <c r="AE75" i="6"/>
  <c r="AE72" i="6"/>
  <c r="AE62" i="6"/>
  <c r="AE59" i="6"/>
  <c r="AE50" i="6"/>
  <c r="AE27" i="6"/>
  <c r="AE25" i="6"/>
  <c r="AE21" i="6"/>
  <c r="AE19" i="6"/>
  <c r="AE17" i="6"/>
  <c r="AE11" i="6"/>
  <c r="AA202" i="6"/>
  <c r="AA199" i="6"/>
  <c r="AA196" i="6"/>
  <c r="AA194" i="6"/>
  <c r="X194" i="1" s="1"/>
  <c r="AA191" i="6"/>
  <c r="AA188" i="6"/>
  <c r="AA185" i="6"/>
  <c r="AA183" i="6"/>
  <c r="AA175" i="6"/>
  <c r="AA172" i="6"/>
  <c r="AA169" i="6"/>
  <c r="AA167" i="6"/>
  <c r="AA165" i="6"/>
  <c r="AA160" i="6"/>
  <c r="AA155" i="6"/>
  <c r="AA146" i="6"/>
  <c r="X146" i="1" s="1"/>
  <c r="AA144" i="6"/>
  <c r="AA139" i="6"/>
  <c r="X139" i="1" s="1"/>
  <c r="AA137" i="6"/>
  <c r="AA135" i="6"/>
  <c r="X135" i="1" s="1"/>
  <c r="AA133" i="6"/>
  <c r="X133" i="1" s="1"/>
  <c r="AA121" i="6"/>
  <c r="AA109" i="6"/>
  <c r="AA106" i="6"/>
  <c r="AA96" i="6"/>
  <c r="AA92" i="6"/>
  <c r="AA86" i="6"/>
  <c r="AA84" i="6"/>
  <c r="AA82" i="6"/>
  <c r="AA79" i="6"/>
  <c r="AA75" i="6"/>
  <c r="AA72" i="6"/>
  <c r="AA62" i="6"/>
  <c r="AA59" i="6"/>
  <c r="AA27" i="6"/>
  <c r="AA21" i="6"/>
  <c r="AA19" i="6"/>
  <c r="AA17" i="6"/>
  <c r="AA11" i="6"/>
  <c r="X204" i="6"/>
  <c r="X202" i="6"/>
  <c r="X199" i="6"/>
  <c r="X196" i="6"/>
  <c r="X194" i="6"/>
  <c r="X191" i="6"/>
  <c r="X188" i="6"/>
  <c r="X185" i="6"/>
  <c r="X175" i="6"/>
  <c r="X172" i="6"/>
  <c r="X169" i="6"/>
  <c r="X167" i="6"/>
  <c r="X165" i="6"/>
  <c r="X146" i="6"/>
  <c r="X137" i="6"/>
  <c r="X135" i="6"/>
  <c r="X133" i="6"/>
  <c r="X75" i="6"/>
  <c r="X87" i="6" s="1"/>
  <c r="X50" i="6"/>
  <c r="X21" i="6"/>
  <c r="X19" i="6"/>
  <c r="X17" i="6"/>
  <c r="X11" i="6"/>
  <c r="T204" i="6"/>
  <c r="T202" i="6"/>
  <c r="T199" i="6"/>
  <c r="T196" i="6"/>
  <c r="T194" i="6"/>
  <c r="T191" i="6"/>
  <c r="T188" i="6"/>
  <c r="T185" i="6"/>
  <c r="T183" i="6"/>
  <c r="T175" i="6"/>
  <c r="T172" i="6"/>
  <c r="T169" i="6"/>
  <c r="T167" i="6"/>
  <c r="T165" i="6"/>
  <c r="T160" i="6"/>
  <c r="T155" i="6"/>
  <c r="T146" i="6"/>
  <c r="T144" i="6"/>
  <c r="T139" i="6"/>
  <c r="T137" i="6"/>
  <c r="T135" i="6"/>
  <c r="T133" i="6"/>
  <c r="T129" i="6"/>
  <c r="T121" i="6"/>
  <c r="T117" i="6"/>
  <c r="T112" i="6"/>
  <c r="T109" i="6"/>
  <c r="T106" i="6"/>
  <c r="T101" i="6"/>
  <c r="T96" i="6"/>
  <c r="T92" i="6"/>
  <c r="T86" i="6"/>
  <c r="T84" i="6"/>
  <c r="T82" i="6"/>
  <c r="T79" i="6"/>
  <c r="T75" i="6"/>
  <c r="T72" i="6"/>
  <c r="T62" i="6"/>
  <c r="T59" i="6"/>
  <c r="T57" i="6"/>
  <c r="T50" i="6"/>
  <c r="T27" i="6"/>
  <c r="T25" i="6"/>
  <c r="T21" i="6"/>
  <c r="T19" i="6"/>
  <c r="T17" i="6"/>
  <c r="T11" i="6"/>
  <c r="E202" i="6"/>
  <c r="E199" i="6"/>
  <c r="E196" i="6"/>
  <c r="E194" i="6"/>
  <c r="E191" i="6"/>
  <c r="E188" i="6"/>
  <c r="E185" i="6"/>
  <c r="E183" i="6"/>
  <c r="E172" i="6"/>
  <c r="E169" i="6"/>
  <c r="E167" i="6"/>
  <c r="E155" i="6"/>
  <c r="E163" i="6" s="1"/>
  <c r="E149" i="6"/>
  <c r="E139" i="6"/>
  <c r="E137" i="6"/>
  <c r="E135" i="6"/>
  <c r="E133" i="6"/>
  <c r="E129" i="6"/>
  <c r="E121" i="6"/>
  <c r="E112" i="6"/>
  <c r="E109" i="6"/>
  <c r="E106" i="6"/>
  <c r="E101" i="6"/>
  <c r="E96" i="6"/>
  <c r="E92" i="6"/>
  <c r="E86" i="6"/>
  <c r="E84" i="6"/>
  <c r="E82" i="6"/>
  <c r="E79" i="6"/>
  <c r="E75" i="6"/>
  <c r="E72" i="6"/>
  <c r="E65" i="6"/>
  <c r="E62" i="6"/>
  <c r="E59" i="6"/>
  <c r="E27" i="6"/>
  <c r="E25" i="6"/>
  <c r="E21" i="6"/>
  <c r="E19" i="6"/>
  <c r="E17" i="6"/>
  <c r="J12" i="10" l="1"/>
  <c r="I11" i="10"/>
  <c r="J49" i="10"/>
  <c r="J118" i="10"/>
  <c r="J90" i="10"/>
  <c r="K90" i="10"/>
  <c r="K150" i="6"/>
  <c r="J10" i="9"/>
  <c r="E35" i="1"/>
  <c r="J213" i="1"/>
  <c r="AP66" i="6"/>
  <c r="X150" i="1"/>
  <c r="E150" i="6"/>
  <c r="N130" i="6"/>
  <c r="AP51" i="6"/>
  <c r="T66" i="6"/>
  <c r="AO101" i="1"/>
  <c r="AQ101" i="1" s="1"/>
  <c r="AO146" i="1"/>
  <c r="AQ146" i="1" s="1"/>
  <c r="AO183" i="1"/>
  <c r="AQ183" i="1" s="1"/>
  <c r="AO59" i="1"/>
  <c r="AQ59" i="1" s="1"/>
  <c r="AO106" i="1"/>
  <c r="AQ106" i="1" s="1"/>
  <c r="AO185" i="1"/>
  <c r="AQ185" i="1" s="1"/>
  <c r="AC21" i="1"/>
  <c r="AE21" i="1" s="1"/>
  <c r="AC133" i="1"/>
  <c r="AE133" i="1" s="1"/>
  <c r="AO155" i="1"/>
  <c r="AQ155" i="1" s="1"/>
  <c r="AC185" i="1"/>
  <c r="AE185" i="1" s="1"/>
  <c r="AC196" i="1"/>
  <c r="AE196" i="1" s="1"/>
  <c r="AO62" i="1"/>
  <c r="AQ62" i="1" s="1"/>
  <c r="AO109" i="1"/>
  <c r="AQ109" i="1" s="1"/>
  <c r="AO188" i="1"/>
  <c r="AQ188" i="1" s="1"/>
  <c r="AO160" i="1"/>
  <c r="AQ160" i="1" s="1"/>
  <c r="AO72" i="1"/>
  <c r="AQ72" i="1" s="1"/>
  <c r="AO112" i="1"/>
  <c r="AQ112" i="1" s="1"/>
  <c r="AO191" i="1"/>
  <c r="AQ191" i="1" s="1"/>
  <c r="AC24" i="1"/>
  <c r="AE24" i="1" s="1"/>
  <c r="AC112" i="1"/>
  <c r="AE112" i="1" s="1"/>
  <c r="AO75" i="1"/>
  <c r="AQ75" i="1" s="1"/>
  <c r="AO117" i="1"/>
  <c r="AQ117" i="1" s="1"/>
  <c r="AC188" i="1"/>
  <c r="AE188" i="1" s="1"/>
  <c r="G205" i="6"/>
  <c r="AO79" i="1"/>
  <c r="AQ79" i="1" s="1"/>
  <c r="AO121" i="1"/>
  <c r="AQ121" i="1" s="1"/>
  <c r="AO194" i="1"/>
  <c r="AQ194" i="1" s="1"/>
  <c r="J205" i="6"/>
  <c r="AO82" i="1"/>
  <c r="AQ82" i="1" s="1"/>
  <c r="AO129" i="1"/>
  <c r="AQ129" i="1" s="1"/>
  <c r="AO196" i="1"/>
  <c r="AQ196" i="1" s="1"/>
  <c r="AC17" i="1"/>
  <c r="AE17" i="1" s="1"/>
  <c r="AC27" i="1"/>
  <c r="AE27" i="1" s="1"/>
  <c r="AC191" i="1"/>
  <c r="AE191" i="1" s="1"/>
  <c r="AC202" i="1"/>
  <c r="AE202" i="1" s="1"/>
  <c r="AO135" i="1"/>
  <c r="AQ135" i="1" s="1"/>
  <c r="AO137" i="1"/>
  <c r="AQ137" i="1" s="1"/>
  <c r="AO92" i="1"/>
  <c r="AQ92" i="1" s="1"/>
  <c r="AO139" i="1"/>
  <c r="AQ139" i="1" s="1"/>
  <c r="O13" i="1"/>
  <c r="Q13" i="1" s="1"/>
  <c r="AC19" i="1"/>
  <c r="AE19" i="1" s="1"/>
  <c r="AO96" i="1"/>
  <c r="AQ96" i="1" s="1"/>
  <c r="AO144" i="1"/>
  <c r="AQ144" i="1" s="1"/>
  <c r="AC183" i="1"/>
  <c r="AE183" i="1" s="1"/>
  <c r="AC194" i="1"/>
  <c r="AE194" i="1" s="1"/>
  <c r="X150" i="6"/>
  <c r="X176" i="6" s="1"/>
  <c r="H28" i="6"/>
  <c r="H35" i="6" s="1"/>
  <c r="H208" i="6" s="1"/>
  <c r="AP87" i="6"/>
  <c r="AO205" i="6"/>
  <c r="J28" i="6"/>
  <c r="E28" i="6"/>
  <c r="Q87" i="6"/>
  <c r="H130" i="6"/>
  <c r="M28" i="6"/>
  <c r="AO176" i="6"/>
  <c r="E130" i="6"/>
  <c r="AP130" i="6"/>
  <c r="H163" i="6"/>
  <c r="S209" i="1"/>
  <c r="U209" i="1" s="1"/>
  <c r="U35" i="1"/>
  <c r="AK208" i="1"/>
  <c r="AM208" i="1" s="1"/>
  <c r="AM35" i="1"/>
  <c r="AG208" i="1"/>
  <c r="AI208" i="1" s="1"/>
  <c r="AI35" i="1"/>
  <c r="W209" i="1"/>
  <c r="Q209" i="1"/>
  <c r="K208" i="1"/>
  <c r="K35" i="1"/>
  <c r="AO57" i="1"/>
  <c r="AQ57" i="1" s="1"/>
  <c r="AG204" i="1"/>
  <c r="AI204" i="1" s="1"/>
  <c r="J163" i="6"/>
  <c r="G163" i="6"/>
  <c r="H150" i="6"/>
  <c r="AA150" i="6"/>
  <c r="Q130" i="6"/>
  <c r="K130" i="6"/>
  <c r="K87" i="6"/>
  <c r="E66" i="6"/>
  <c r="G51" i="6"/>
  <c r="P210" i="1"/>
  <c r="P213" i="1" s="1"/>
  <c r="AD210" i="1"/>
  <c r="AD213" i="1" s="1"/>
  <c r="AH213" i="1"/>
  <c r="F12" i="1"/>
  <c r="M179" i="1"/>
  <c r="BD178" i="1"/>
  <c r="AI163" i="6"/>
  <c r="T150" i="6"/>
  <c r="AP28" i="6"/>
  <c r="AR205" i="6"/>
  <c r="AC163" i="6"/>
  <c r="T163" i="6"/>
  <c r="X197" i="6"/>
  <c r="X205" i="6" s="1"/>
  <c r="AS197" i="6"/>
  <c r="AS205" i="6" s="1"/>
  <c r="AG163" i="6"/>
  <c r="AO46" i="1"/>
  <c r="AQ46" i="1" s="1"/>
  <c r="AO51" i="6"/>
  <c r="AA163" i="6"/>
  <c r="AE163" i="6"/>
  <c r="AB163" i="6"/>
  <c r="AJ163" i="6"/>
  <c r="AA197" i="6"/>
  <c r="Q150" i="6"/>
  <c r="X51" i="6"/>
  <c r="T51" i="6"/>
  <c r="H197" i="6"/>
  <c r="H205" i="6" s="1"/>
  <c r="AR51" i="6"/>
  <c r="N163" i="6"/>
  <c r="P163" i="6"/>
  <c r="Q163" i="6"/>
  <c r="E197" i="6"/>
  <c r="E205" i="6" s="1"/>
  <c r="AF163" i="6"/>
  <c r="AM163" i="6"/>
  <c r="AS51" i="6"/>
  <c r="N208" i="6"/>
  <c r="AC59" i="1"/>
  <c r="AE59" i="1" s="1"/>
  <c r="AC75" i="1"/>
  <c r="AE75" i="1" s="1"/>
  <c r="AC86" i="1"/>
  <c r="AE86" i="1" s="1"/>
  <c r="AC106" i="1"/>
  <c r="AE106" i="1" s="1"/>
  <c r="AC121" i="1"/>
  <c r="AE121" i="1" s="1"/>
  <c r="AC137" i="1"/>
  <c r="AE137" i="1" s="1"/>
  <c r="AC149" i="1"/>
  <c r="AE149" i="1" s="1"/>
  <c r="AC129" i="6"/>
  <c r="AC130" i="6" s="1"/>
  <c r="BC122" i="6"/>
  <c r="BC129" i="6" s="1"/>
  <c r="N150" i="6"/>
  <c r="AS82" i="1"/>
  <c r="AU82" i="1" s="1"/>
  <c r="AS155" i="1"/>
  <c r="AU155" i="1" s="1"/>
  <c r="AS144" i="1"/>
  <c r="AU144" i="1" s="1"/>
  <c r="AO172" i="1"/>
  <c r="AQ172" i="1" s="1"/>
  <c r="AS92" i="1"/>
  <c r="AU92" i="1" s="1"/>
  <c r="AS160" i="1"/>
  <c r="AU160" i="1" s="1"/>
  <c r="AO202" i="1"/>
  <c r="AS96" i="1"/>
  <c r="AU96" i="1" s="1"/>
  <c r="AS183" i="1"/>
  <c r="AU183" i="1" s="1"/>
  <c r="AC92" i="1"/>
  <c r="AE92" i="1" s="1"/>
  <c r="AC109" i="1"/>
  <c r="AE109" i="1" s="1"/>
  <c r="AC139" i="1"/>
  <c r="AE139" i="1" s="1"/>
  <c r="AO175" i="1"/>
  <c r="AQ175" i="1" s="1"/>
  <c r="AS101" i="1"/>
  <c r="AU101" i="1" s="1"/>
  <c r="AS185" i="1"/>
  <c r="AU185" i="1" s="1"/>
  <c r="AS75" i="1"/>
  <c r="AU75" i="1" s="1"/>
  <c r="AO84" i="1"/>
  <c r="AQ84" i="1" s="1"/>
  <c r="AS106" i="1"/>
  <c r="AU106" i="1" s="1"/>
  <c r="AS188" i="1"/>
  <c r="AU188" i="1" s="1"/>
  <c r="AO149" i="1"/>
  <c r="AQ149" i="1" s="1"/>
  <c r="AS109" i="1"/>
  <c r="AU109" i="1" s="1"/>
  <c r="AS191" i="1"/>
  <c r="AU191" i="1" s="1"/>
  <c r="AO86" i="1"/>
  <c r="AQ86" i="1" s="1"/>
  <c r="AR35" i="6"/>
  <c r="AR208" i="6" s="1"/>
  <c r="AS112" i="1"/>
  <c r="AU112" i="1" s="1"/>
  <c r="AS194" i="1"/>
  <c r="AU194" i="1" s="1"/>
  <c r="AC144" i="1"/>
  <c r="AE144" i="1" s="1"/>
  <c r="AS40" i="1"/>
  <c r="AU40" i="1" s="1"/>
  <c r="AS117" i="1"/>
  <c r="AU117" i="1" s="1"/>
  <c r="AS196" i="1"/>
  <c r="AU196" i="1" s="1"/>
  <c r="AO169" i="1"/>
  <c r="AQ169" i="1" s="1"/>
  <c r="AS46" i="1"/>
  <c r="AS121" i="1"/>
  <c r="AU121" i="1" s="1"/>
  <c r="AS204" i="1"/>
  <c r="AU204" i="1" s="1"/>
  <c r="AS50" i="1"/>
  <c r="AS129" i="1"/>
  <c r="AU129" i="1" s="1"/>
  <c r="AS146" i="1"/>
  <c r="AU146" i="1" s="1"/>
  <c r="AO65" i="1"/>
  <c r="AQ65" i="1" s="1"/>
  <c r="AS57" i="1"/>
  <c r="AU57" i="1" s="1"/>
  <c r="AS133" i="1"/>
  <c r="AU133" i="1" s="1"/>
  <c r="AO165" i="1"/>
  <c r="AQ165" i="1" s="1"/>
  <c r="AS59" i="1"/>
  <c r="AU59" i="1" s="1"/>
  <c r="AS135" i="1"/>
  <c r="AU135" i="1" s="1"/>
  <c r="AS79" i="1"/>
  <c r="AU79" i="1" s="1"/>
  <c r="AS62" i="1"/>
  <c r="AU62" i="1" s="1"/>
  <c r="AS137" i="1"/>
  <c r="AU137" i="1" s="1"/>
  <c r="AI150" i="6"/>
  <c r="AO167" i="1"/>
  <c r="AQ167" i="1" s="1"/>
  <c r="AS72" i="1"/>
  <c r="AU72" i="1" s="1"/>
  <c r="AS139" i="1"/>
  <c r="AU139" i="1" s="1"/>
  <c r="AC167" i="1"/>
  <c r="AE167" i="1" s="1"/>
  <c r="AC62" i="1"/>
  <c r="AE62" i="1" s="1"/>
  <c r="AC79" i="1"/>
  <c r="AE79" i="1" s="1"/>
  <c r="AG169" i="1"/>
  <c r="AI169" i="1" s="1"/>
  <c r="AG188" i="1"/>
  <c r="AI188" i="1" s="1"/>
  <c r="G28" i="6"/>
  <c r="AC22" i="1"/>
  <c r="AE22" i="1" s="1"/>
  <c r="AC160" i="1"/>
  <c r="AE160" i="1" s="1"/>
  <c r="AG172" i="1"/>
  <c r="AI172" i="1" s="1"/>
  <c r="AC84" i="1"/>
  <c r="AE84" i="1" s="1"/>
  <c r="AC101" i="1"/>
  <c r="AE101" i="1" s="1"/>
  <c r="K197" i="6"/>
  <c r="K205" i="6" s="1"/>
  <c r="AG183" i="1"/>
  <c r="AI183" i="1" s="1"/>
  <c r="AG194" i="1"/>
  <c r="AI194" i="1" s="1"/>
  <c r="AC199" i="1"/>
  <c r="AC205" i="1" s="1"/>
  <c r="AC46" i="1"/>
  <c r="AE46" i="1" s="1"/>
  <c r="AG62" i="1"/>
  <c r="AI62" i="1" s="1"/>
  <c r="AG79" i="1"/>
  <c r="AI79" i="1" s="1"/>
  <c r="AG92" i="1"/>
  <c r="AI92" i="1" s="1"/>
  <c r="AG109" i="1"/>
  <c r="AI109" i="1" s="1"/>
  <c r="AG129" i="1"/>
  <c r="AI129" i="1" s="1"/>
  <c r="AG139" i="1"/>
  <c r="AI139" i="1" s="1"/>
  <c r="AG155" i="1"/>
  <c r="AI155" i="1" s="1"/>
  <c r="AC172" i="1"/>
  <c r="AE172" i="1" s="1"/>
  <c r="Q197" i="6"/>
  <c r="Q205" i="6" s="1"/>
  <c r="AC82" i="1"/>
  <c r="AE82" i="1" s="1"/>
  <c r="M66" i="6"/>
  <c r="M87" i="6"/>
  <c r="AC96" i="1"/>
  <c r="AE96" i="1" s="1"/>
  <c r="N66" i="6"/>
  <c r="N87" i="6"/>
  <c r="AG65" i="1"/>
  <c r="AI65" i="1" s="1"/>
  <c r="AG82" i="1"/>
  <c r="AI82" i="1" s="1"/>
  <c r="AG96" i="1"/>
  <c r="AI96" i="1" s="1"/>
  <c r="AG112" i="1"/>
  <c r="AI112" i="1" s="1"/>
  <c r="AG133" i="1"/>
  <c r="AI133" i="1" s="1"/>
  <c r="AG144" i="1"/>
  <c r="AI144" i="1" s="1"/>
  <c r="AG160" i="1"/>
  <c r="AI160" i="1" s="1"/>
  <c r="AC175" i="1"/>
  <c r="AE175" i="1" s="1"/>
  <c r="AC65" i="1"/>
  <c r="AE65" i="1" s="1"/>
  <c r="K28" i="6"/>
  <c r="K35" i="6" s="1"/>
  <c r="K208" i="6" s="1"/>
  <c r="AG191" i="1"/>
  <c r="AI191" i="1" s="1"/>
  <c r="AG202" i="1"/>
  <c r="AI202" i="1" s="1"/>
  <c r="AG199" i="1"/>
  <c r="G66" i="6"/>
  <c r="AC57" i="1"/>
  <c r="AE57" i="1" s="1"/>
  <c r="G87" i="6"/>
  <c r="AC72" i="1"/>
  <c r="AE72" i="1" s="1"/>
  <c r="AC117" i="1"/>
  <c r="AE117" i="1" s="1"/>
  <c r="AC135" i="1"/>
  <c r="AE135" i="1" s="1"/>
  <c r="AC146" i="1"/>
  <c r="AE146" i="1" s="1"/>
  <c r="AC165" i="1"/>
  <c r="AE165" i="1" s="1"/>
  <c r="H66" i="6"/>
  <c r="H87" i="6"/>
  <c r="AG57" i="1"/>
  <c r="AI57" i="1" s="1"/>
  <c r="AG72" i="1"/>
  <c r="AI72" i="1" s="1"/>
  <c r="AG84" i="1"/>
  <c r="AI84" i="1" s="1"/>
  <c r="AG101" i="1"/>
  <c r="AI101" i="1" s="1"/>
  <c r="AG117" i="1"/>
  <c r="AI117" i="1" s="1"/>
  <c r="AG135" i="1"/>
  <c r="AI135" i="1" s="1"/>
  <c r="AG146" i="1"/>
  <c r="AI146" i="1" s="1"/>
  <c r="AG59" i="1"/>
  <c r="AI59" i="1" s="1"/>
  <c r="AG75" i="1"/>
  <c r="AI75" i="1" s="1"/>
  <c r="AG86" i="1"/>
  <c r="AI86" i="1" s="1"/>
  <c r="AG106" i="1"/>
  <c r="AI106" i="1" s="1"/>
  <c r="AG121" i="1"/>
  <c r="AI121" i="1" s="1"/>
  <c r="AG137" i="1"/>
  <c r="AI137" i="1" s="1"/>
  <c r="AG149" i="1"/>
  <c r="AI149" i="1" s="1"/>
  <c r="AC169" i="1"/>
  <c r="AE169" i="1" s="1"/>
  <c r="AG185" i="1"/>
  <c r="AI185" i="1" s="1"/>
  <c r="AG196" i="1"/>
  <c r="AI196" i="1" s="1"/>
  <c r="AC129" i="1"/>
  <c r="AE129" i="1" s="1"/>
  <c r="AC155" i="1"/>
  <c r="AE155" i="1" s="1"/>
  <c r="P28" i="6"/>
  <c r="P35" i="6" s="1"/>
  <c r="P208" i="6" s="1"/>
  <c r="Q28" i="6"/>
  <c r="Q35" i="6" s="1"/>
  <c r="Q208" i="6" s="1"/>
  <c r="AJ51" i="6"/>
  <c r="AJ66" i="6"/>
  <c r="AJ87" i="6"/>
  <c r="AJ150" i="6"/>
  <c r="AS150" i="6"/>
  <c r="AS161" i="6"/>
  <c r="AT161" i="1" s="1"/>
  <c r="AB66" i="6"/>
  <c r="AB130" i="6"/>
  <c r="AI28" i="6"/>
  <c r="AI35" i="6" s="1"/>
  <c r="AI208" i="6" s="1"/>
  <c r="AI197" i="6"/>
  <c r="AF51" i="6"/>
  <c r="AC66" i="6"/>
  <c r="AC87" i="6"/>
  <c r="AC150" i="6"/>
  <c r="AB197" i="6"/>
  <c r="AJ28" i="6"/>
  <c r="AJ35" i="6" s="1"/>
  <c r="AJ208" i="6" s="1"/>
  <c r="AJ130" i="6"/>
  <c r="AJ197" i="6"/>
  <c r="AJ205" i="6" s="1"/>
  <c r="AI51" i="6"/>
  <c r="AI66" i="6"/>
  <c r="AO28" i="6"/>
  <c r="AO35" i="6" s="1"/>
  <c r="AO208" i="6" s="1"/>
  <c r="AF150" i="6"/>
  <c r="AR161" i="6"/>
  <c r="AB28" i="6"/>
  <c r="AB35" i="6" s="1"/>
  <c r="AB208" i="6" s="1"/>
  <c r="T197" i="6"/>
  <c r="T205" i="6" s="1"/>
  <c r="AG197" i="6"/>
  <c r="AG205" i="6" s="1"/>
  <c r="AP197" i="6"/>
  <c r="AP205" i="6" s="1"/>
  <c r="AC28" i="6"/>
  <c r="AC197" i="6"/>
  <c r="AC205" i="6" s="1"/>
  <c r="E87" i="6"/>
  <c r="AB51" i="6"/>
  <c r="AC51" i="6"/>
  <c r="T87" i="6"/>
  <c r="T130" i="6"/>
  <c r="AR66" i="6"/>
  <c r="AG28" i="6"/>
  <c r="AG35" i="6" s="1"/>
  <c r="AG208" i="6" s="1"/>
  <c r="AG51" i="6"/>
  <c r="AG66" i="6"/>
  <c r="AG87" i="6"/>
  <c r="AG150" i="6"/>
  <c r="AS87" i="6"/>
  <c r="AS130" i="6"/>
  <c r="AA66" i="6"/>
  <c r="X66" i="1" s="1"/>
  <c r="AS66" i="6"/>
  <c r="AF28" i="6"/>
  <c r="AF35" i="6" s="1"/>
  <c r="AF208" i="6" s="1"/>
  <c r="AE51" i="6"/>
  <c r="AM51" i="6"/>
  <c r="AM197" i="6"/>
  <c r="AM205" i="6" s="1"/>
  <c r="AR87" i="6"/>
  <c r="AR130" i="6"/>
  <c r="AF66" i="6"/>
  <c r="AM87" i="6"/>
  <c r="AM130" i="6"/>
  <c r="AM66" i="6"/>
  <c r="AM150" i="6"/>
  <c r="AG130" i="6"/>
  <c r="AE87" i="6"/>
  <c r="AE130" i="6"/>
  <c r="AM28" i="6"/>
  <c r="AM35" i="6" s="1"/>
  <c r="AM208" i="6" s="1"/>
  <c r="AE66" i="6"/>
  <c r="AE28" i="6"/>
  <c r="AE35" i="6" s="1"/>
  <c r="AE208" i="6" s="1"/>
  <c r="AE150" i="6"/>
  <c r="AF130" i="6"/>
  <c r="AF197" i="6"/>
  <c r="AF205" i="6" s="1"/>
  <c r="AE197" i="6"/>
  <c r="AE205" i="6" s="1"/>
  <c r="AA130" i="6"/>
  <c r="AA28" i="6"/>
  <c r="AA35" i="6" s="1"/>
  <c r="AA208" i="6" s="1"/>
  <c r="AA87" i="6"/>
  <c r="X28" i="6"/>
  <c r="T28" i="6"/>
  <c r="T35" i="6" s="1"/>
  <c r="T208" i="6" s="1"/>
  <c r="Z84" i="6"/>
  <c r="AD84" i="6"/>
  <c r="AL84" i="6"/>
  <c r="Y84" i="1" s="1"/>
  <c r="AA84" i="1" s="1"/>
  <c r="Z86" i="6"/>
  <c r="AD86" i="6"/>
  <c r="AL86" i="6"/>
  <c r="Y86" i="1" s="1"/>
  <c r="AA86" i="1" s="1"/>
  <c r="W84" i="6"/>
  <c r="S84" i="6"/>
  <c r="U84" i="6"/>
  <c r="S86" i="6"/>
  <c r="U86" i="6"/>
  <c r="D84" i="6"/>
  <c r="Y65" i="1"/>
  <c r="AA65" i="1" s="1"/>
  <c r="W65" i="6"/>
  <c r="S65" i="6"/>
  <c r="U65" i="6"/>
  <c r="D65" i="6"/>
  <c r="Z59" i="6"/>
  <c r="AD59" i="6"/>
  <c r="AL59" i="6"/>
  <c r="W59" i="6"/>
  <c r="Z202" i="6"/>
  <c r="Z199" i="6"/>
  <c r="Z196" i="6"/>
  <c r="Z194" i="6"/>
  <c r="Z191" i="6"/>
  <c r="Z188" i="6"/>
  <c r="Z185" i="6"/>
  <c r="Z183" i="6"/>
  <c r="Z175" i="6"/>
  <c r="Z172" i="6"/>
  <c r="Z169" i="6"/>
  <c r="Z167" i="6"/>
  <c r="Z165" i="6"/>
  <c r="Z160" i="6"/>
  <c r="Z149" i="6"/>
  <c r="Z146" i="6"/>
  <c r="Z144" i="6"/>
  <c r="Z139" i="6"/>
  <c r="Z137" i="6"/>
  <c r="Z135" i="6"/>
  <c r="Z133" i="6"/>
  <c r="Z129" i="6"/>
  <c r="Z121" i="6"/>
  <c r="Z117" i="6"/>
  <c r="Z109" i="6"/>
  <c r="Z106" i="6"/>
  <c r="Z101" i="6"/>
  <c r="Z96" i="6"/>
  <c r="Z92" i="6"/>
  <c r="Z82" i="6"/>
  <c r="Z79" i="6"/>
  <c r="Z75" i="6"/>
  <c r="Z72" i="6"/>
  <c r="Z62" i="6"/>
  <c r="Z46" i="6"/>
  <c r="Z51" i="6" s="1"/>
  <c r="Z27" i="6"/>
  <c r="Z21" i="6"/>
  <c r="Z19" i="6"/>
  <c r="Z17" i="6"/>
  <c r="Z11" i="6"/>
  <c r="S59" i="6"/>
  <c r="U59" i="6"/>
  <c r="D59" i="6"/>
  <c r="D57" i="6"/>
  <c r="D19" i="6"/>
  <c r="D17" i="6"/>
  <c r="D11" i="6"/>
  <c r="AK46" i="1"/>
  <c r="AM46" i="1" s="1"/>
  <c r="W46" i="6"/>
  <c r="AD46" i="6"/>
  <c r="AL46" i="6"/>
  <c r="Y46" i="1" s="1"/>
  <c r="AA46" i="1" s="1"/>
  <c r="B209" i="6"/>
  <c r="B208" i="6"/>
  <c r="AL204" i="6"/>
  <c r="Y204" i="1" s="1"/>
  <c r="AA204" i="1" s="1"/>
  <c r="AD204" i="6"/>
  <c r="U204" i="6"/>
  <c r="S204" i="6"/>
  <c r="AL202" i="6"/>
  <c r="Y202" i="1" s="1"/>
  <c r="AA202" i="1" s="1"/>
  <c r="AD202" i="6"/>
  <c r="W202" i="6"/>
  <c r="U202" i="6"/>
  <c r="S202" i="6"/>
  <c r="D202" i="6"/>
  <c r="D205" i="6" s="1"/>
  <c r="AL199" i="6"/>
  <c r="AD199" i="6"/>
  <c r="U199" i="6"/>
  <c r="S199" i="6"/>
  <c r="AL196" i="6"/>
  <c r="AD196" i="6"/>
  <c r="W196" i="6"/>
  <c r="U196" i="6"/>
  <c r="S196" i="6"/>
  <c r="D196" i="6"/>
  <c r="AL194" i="6"/>
  <c r="Y194" i="1" s="1"/>
  <c r="AA194" i="1" s="1"/>
  <c r="AD194" i="6"/>
  <c r="W194" i="6"/>
  <c r="U194" i="6"/>
  <c r="S194" i="6"/>
  <c r="D194" i="6"/>
  <c r="AL191" i="6"/>
  <c r="Y191" i="1" s="1"/>
  <c r="AA191" i="1" s="1"/>
  <c r="AD191" i="6"/>
  <c r="W191" i="6"/>
  <c r="U191" i="6"/>
  <c r="S191" i="6"/>
  <c r="D191" i="6"/>
  <c r="AL188" i="6"/>
  <c r="Y188" i="1" s="1"/>
  <c r="AA188" i="1" s="1"/>
  <c r="AD188" i="6"/>
  <c r="W188" i="6"/>
  <c r="U188" i="6"/>
  <c r="S188" i="6"/>
  <c r="D188" i="6"/>
  <c r="AL185" i="6"/>
  <c r="Y185" i="1" s="1"/>
  <c r="AA185" i="1" s="1"/>
  <c r="AD185" i="6"/>
  <c r="W185" i="6"/>
  <c r="U185" i="6"/>
  <c r="S185" i="6"/>
  <c r="D185" i="6"/>
  <c r="AL183" i="6"/>
  <c r="Y183" i="1" s="1"/>
  <c r="AA183" i="1" s="1"/>
  <c r="AD183" i="6"/>
  <c r="W183" i="6"/>
  <c r="U183" i="6"/>
  <c r="S183" i="6"/>
  <c r="D183" i="6"/>
  <c r="AL175" i="6"/>
  <c r="Y175" i="1" s="1"/>
  <c r="AA175" i="1" s="1"/>
  <c r="AD175" i="6"/>
  <c r="W175" i="6"/>
  <c r="U175" i="6"/>
  <c r="S175" i="6"/>
  <c r="AL172" i="6"/>
  <c r="Y172" i="1" s="1"/>
  <c r="AA172" i="1" s="1"/>
  <c r="AD172" i="6"/>
  <c r="W172" i="6"/>
  <c r="U172" i="6"/>
  <c r="S172" i="6"/>
  <c r="AL169" i="6"/>
  <c r="Y169" i="1" s="1"/>
  <c r="AA169" i="1" s="1"/>
  <c r="AD169" i="6"/>
  <c r="W169" i="6"/>
  <c r="U169" i="6"/>
  <c r="S169" i="6"/>
  <c r="D169" i="6"/>
  <c r="AL167" i="6"/>
  <c r="Y167" i="1" s="1"/>
  <c r="AA167" i="1" s="1"/>
  <c r="AD167" i="6"/>
  <c r="W167" i="6"/>
  <c r="U167" i="6"/>
  <c r="S167" i="6"/>
  <c r="D167" i="6"/>
  <c r="AL165" i="6"/>
  <c r="Y165" i="1" s="1"/>
  <c r="AA165" i="1" s="1"/>
  <c r="AD165" i="6"/>
  <c r="W165" i="6"/>
  <c r="U165" i="6"/>
  <c r="S165" i="6"/>
  <c r="AL160" i="6"/>
  <c r="AD160" i="6"/>
  <c r="W160" i="6"/>
  <c r="U160" i="6"/>
  <c r="AL155" i="6"/>
  <c r="AD155" i="6"/>
  <c r="U155" i="6"/>
  <c r="S155" i="6"/>
  <c r="AL149" i="6"/>
  <c r="Y149" i="1" s="1"/>
  <c r="AA149" i="1" s="1"/>
  <c r="AD149" i="6"/>
  <c r="W149" i="6"/>
  <c r="U149" i="6"/>
  <c r="S149" i="6"/>
  <c r="D149" i="6"/>
  <c r="AL146" i="6"/>
  <c r="Y146" i="1" s="1"/>
  <c r="AA146" i="1" s="1"/>
  <c r="AD146" i="6"/>
  <c r="W146" i="6"/>
  <c r="U146" i="6"/>
  <c r="S146" i="6"/>
  <c r="D146" i="6"/>
  <c r="AL144" i="6"/>
  <c r="Y144" i="1" s="1"/>
  <c r="AA144" i="1" s="1"/>
  <c r="AD144" i="6"/>
  <c r="W144" i="6"/>
  <c r="U144" i="6"/>
  <c r="S144" i="6"/>
  <c r="D144" i="6"/>
  <c r="AL139" i="6"/>
  <c r="Y139" i="1" s="1"/>
  <c r="AA139" i="1" s="1"/>
  <c r="AD139" i="6"/>
  <c r="W139" i="6"/>
  <c r="U139" i="6"/>
  <c r="S139" i="6"/>
  <c r="D139" i="6"/>
  <c r="AL137" i="6"/>
  <c r="Y137" i="1" s="1"/>
  <c r="AA137" i="1" s="1"/>
  <c r="AD137" i="6"/>
  <c r="W137" i="6"/>
  <c r="U137" i="6"/>
  <c r="S137" i="6"/>
  <c r="D137" i="6"/>
  <c r="AL135" i="6"/>
  <c r="Y135" i="1" s="1"/>
  <c r="AA135" i="1" s="1"/>
  <c r="AD135" i="6"/>
  <c r="W135" i="6"/>
  <c r="U135" i="6"/>
  <c r="S135" i="6"/>
  <c r="D135" i="6"/>
  <c r="AL133" i="6"/>
  <c r="Y133" i="1" s="1"/>
  <c r="AA133" i="1" s="1"/>
  <c r="AD133" i="6"/>
  <c r="U133" i="6"/>
  <c r="S133" i="6"/>
  <c r="D133" i="6"/>
  <c r="AL129" i="6"/>
  <c r="Y129" i="1" s="1"/>
  <c r="AA129" i="1" s="1"/>
  <c r="AD129" i="6"/>
  <c r="U129" i="6"/>
  <c r="S129" i="6"/>
  <c r="D129" i="6"/>
  <c r="AL121" i="6"/>
  <c r="Y121" i="1" s="1"/>
  <c r="AA121" i="1" s="1"/>
  <c r="AD121" i="6"/>
  <c r="W121" i="6"/>
  <c r="U121" i="6"/>
  <c r="S121" i="6"/>
  <c r="D121" i="6"/>
  <c r="AL117" i="6"/>
  <c r="Y117" i="1" s="1"/>
  <c r="AA117" i="1" s="1"/>
  <c r="AD117" i="6"/>
  <c r="W117" i="6"/>
  <c r="U117" i="6"/>
  <c r="S117" i="6"/>
  <c r="D117" i="6"/>
  <c r="Y112" i="1"/>
  <c r="AA112" i="1" s="1"/>
  <c r="W112" i="6"/>
  <c r="U112" i="6"/>
  <c r="S112" i="6"/>
  <c r="D112" i="6"/>
  <c r="AL109" i="6"/>
  <c r="AD109" i="6"/>
  <c r="W109" i="6"/>
  <c r="U109" i="6"/>
  <c r="S109" i="6"/>
  <c r="D109" i="6"/>
  <c r="AL106" i="6"/>
  <c r="Y106" i="1" s="1"/>
  <c r="AA106" i="1" s="1"/>
  <c r="AD106" i="6"/>
  <c r="W106" i="6"/>
  <c r="U106" i="6"/>
  <c r="S106" i="6"/>
  <c r="D106" i="6"/>
  <c r="AL101" i="6"/>
  <c r="Y101" i="1" s="1"/>
  <c r="AA101" i="1" s="1"/>
  <c r="AD101" i="6"/>
  <c r="W101" i="6"/>
  <c r="U101" i="6"/>
  <c r="S101" i="6"/>
  <c r="D101" i="6"/>
  <c r="AL96" i="6"/>
  <c r="Y96" i="1" s="1"/>
  <c r="AA96" i="1" s="1"/>
  <c r="AD96" i="6"/>
  <c r="W96" i="6"/>
  <c r="U96" i="6"/>
  <c r="S96" i="6"/>
  <c r="D96" i="6"/>
  <c r="AL92" i="6"/>
  <c r="Y92" i="1" s="1"/>
  <c r="AA92" i="1" s="1"/>
  <c r="AD92" i="6"/>
  <c r="W92" i="6"/>
  <c r="U92" i="6"/>
  <c r="S92" i="6"/>
  <c r="D92" i="6"/>
  <c r="W86" i="6"/>
  <c r="D86" i="6"/>
  <c r="AL82" i="6"/>
  <c r="Y82" i="1" s="1"/>
  <c r="AA82" i="1" s="1"/>
  <c r="AD82" i="6"/>
  <c r="W82" i="6"/>
  <c r="U82" i="6"/>
  <c r="S82" i="6"/>
  <c r="D82" i="6"/>
  <c r="AL79" i="6"/>
  <c r="Y79" i="1" s="1"/>
  <c r="AA79" i="1" s="1"/>
  <c r="AD79" i="6"/>
  <c r="W79" i="6"/>
  <c r="U79" i="6"/>
  <c r="S79" i="6"/>
  <c r="D79" i="6"/>
  <c r="AL75" i="6"/>
  <c r="Y75" i="1" s="1"/>
  <c r="AA75" i="1" s="1"/>
  <c r="AD75" i="6"/>
  <c r="W75" i="6"/>
  <c r="U75" i="6"/>
  <c r="S75" i="6"/>
  <c r="D75" i="6"/>
  <c r="AL72" i="6"/>
  <c r="Y72" i="1" s="1"/>
  <c r="AA72" i="1" s="1"/>
  <c r="AD72" i="6"/>
  <c r="W72" i="6"/>
  <c r="U72" i="6"/>
  <c r="S72" i="6"/>
  <c r="D72" i="6"/>
  <c r="AL62" i="6"/>
  <c r="Y62" i="1" s="1"/>
  <c r="AA62" i="1" s="1"/>
  <c r="AD62" i="6"/>
  <c r="W62" i="6"/>
  <c r="U62" i="6"/>
  <c r="S62" i="6"/>
  <c r="D62" i="6"/>
  <c r="Y57" i="1"/>
  <c r="AA57" i="1" s="1"/>
  <c r="W57" i="6"/>
  <c r="S57" i="6"/>
  <c r="AL50" i="6"/>
  <c r="Y50" i="1" s="1"/>
  <c r="AA50" i="1" s="1"/>
  <c r="AD50" i="6"/>
  <c r="W50" i="6"/>
  <c r="U50" i="6"/>
  <c r="S50" i="6"/>
  <c r="AL40" i="6"/>
  <c r="AD40" i="6"/>
  <c r="W40" i="6"/>
  <c r="U40" i="6"/>
  <c r="S40" i="6"/>
  <c r="AL27" i="6"/>
  <c r="AD27" i="6"/>
  <c r="W27" i="6"/>
  <c r="U27" i="6"/>
  <c r="S27" i="6"/>
  <c r="D27" i="6"/>
  <c r="AL25" i="6"/>
  <c r="AD25" i="6"/>
  <c r="U25" i="6"/>
  <c r="S25" i="6"/>
  <c r="D25" i="6"/>
  <c r="AL21" i="6"/>
  <c r="AD21" i="6"/>
  <c r="W21" i="6"/>
  <c r="U21" i="6"/>
  <c r="S21" i="6"/>
  <c r="D21" i="6"/>
  <c r="AL19" i="6"/>
  <c r="AD19" i="6"/>
  <c r="W19" i="6"/>
  <c r="U19" i="6"/>
  <c r="S19" i="6"/>
  <c r="AL17" i="6"/>
  <c r="AD17" i="6"/>
  <c r="W17" i="6"/>
  <c r="U17" i="6"/>
  <c r="S17" i="6"/>
  <c r="AL11" i="6"/>
  <c r="AD11" i="6"/>
  <c r="W11" i="6"/>
  <c r="U11" i="6"/>
  <c r="S11" i="6"/>
  <c r="I10" i="10" l="1"/>
  <c r="J11" i="10"/>
  <c r="BD161" i="1"/>
  <c r="AT162" i="1"/>
  <c r="J12" i="9"/>
  <c r="K10" i="9"/>
  <c r="BB46" i="6"/>
  <c r="X176" i="1"/>
  <c r="BA87" i="6"/>
  <c r="BC161" i="6"/>
  <c r="BC162" i="6" s="1"/>
  <c r="BC163" i="6" s="1"/>
  <c r="BC130" i="6"/>
  <c r="BC27" i="1"/>
  <c r="AC35" i="6"/>
  <c r="AC208" i="6" s="1"/>
  <c r="AA205" i="6"/>
  <c r="X205" i="1"/>
  <c r="D176" i="6"/>
  <c r="D206" i="6" s="1"/>
  <c r="I133" i="1"/>
  <c r="I176" i="1" s="1"/>
  <c r="I206" i="1" s="1"/>
  <c r="I209" i="1" s="1"/>
  <c r="I210" i="1" s="1"/>
  <c r="I213" i="1" s="1"/>
  <c r="AC28" i="1"/>
  <c r="AE28" i="1" s="1"/>
  <c r="AP35" i="6"/>
  <c r="AP208" i="6" s="1"/>
  <c r="M35" i="6"/>
  <c r="M208" i="6" s="1"/>
  <c r="BC13" i="1"/>
  <c r="D13" i="1" s="1"/>
  <c r="BC21" i="1"/>
  <c r="D21" i="1" s="1"/>
  <c r="G28" i="10" s="1"/>
  <c r="AO206" i="6"/>
  <c r="BC24" i="1"/>
  <c r="BC26" i="1" s="1"/>
  <c r="AC26" i="1"/>
  <c r="AE26" i="1" s="1"/>
  <c r="E35" i="6"/>
  <c r="E208" i="6" s="1"/>
  <c r="AE176" i="6"/>
  <c r="AC20" i="1"/>
  <c r="AE20" i="1" s="1"/>
  <c r="F29" i="1"/>
  <c r="E208" i="1"/>
  <c r="AC18" i="1"/>
  <c r="AE18" i="1" s="1"/>
  <c r="AK86" i="1"/>
  <c r="AM86" i="1" s="1"/>
  <c r="O9" i="1"/>
  <c r="Q9" i="1" s="1"/>
  <c r="AK133" i="1"/>
  <c r="AM133" i="1" s="1"/>
  <c r="AK172" i="1"/>
  <c r="AM172" i="1" s="1"/>
  <c r="AO51" i="1"/>
  <c r="O15" i="1"/>
  <c r="BC15" i="1" s="1"/>
  <c r="AK135" i="1"/>
  <c r="AM135" i="1" s="1"/>
  <c r="AK75" i="1"/>
  <c r="AM75" i="1" s="1"/>
  <c r="AK155" i="1"/>
  <c r="AM155" i="1" s="1"/>
  <c r="O19" i="1"/>
  <c r="BC19" i="1" s="1"/>
  <c r="AK65" i="1"/>
  <c r="AM65" i="1" s="1"/>
  <c r="O17" i="1"/>
  <c r="O18" i="1" s="1"/>
  <c r="Q18" i="1" s="1"/>
  <c r="BB204" i="6"/>
  <c r="AI176" i="6"/>
  <c r="AC163" i="1"/>
  <c r="AE163" i="1" s="1"/>
  <c r="AI199" i="1"/>
  <c r="AU46" i="1"/>
  <c r="BC46" i="1"/>
  <c r="D46" i="1" s="1"/>
  <c r="AU50" i="1"/>
  <c r="AS176" i="6"/>
  <c r="AS206" i="6" s="1"/>
  <c r="AS209" i="6" s="1"/>
  <c r="AS210" i="6" s="1"/>
  <c r="AP176" i="6"/>
  <c r="AM176" i="6"/>
  <c r="AM206" i="6" s="1"/>
  <c r="AM209" i="6" s="1"/>
  <c r="AM210" i="6" s="1"/>
  <c r="AM213" i="6" s="1"/>
  <c r="BB199" i="6"/>
  <c r="AC176" i="6"/>
  <c r="AC206" i="6" s="1"/>
  <c r="AC209" i="6" s="1"/>
  <c r="BB202" i="6"/>
  <c r="E176" i="6"/>
  <c r="E206" i="6" s="1"/>
  <c r="E209" i="6" s="1"/>
  <c r="AG176" i="6"/>
  <c r="AG206" i="6" s="1"/>
  <c r="AG209" i="6" s="1"/>
  <c r="AG210" i="6" s="1"/>
  <c r="AG213" i="6" s="1"/>
  <c r="G35" i="6"/>
  <c r="G208" i="6" s="1"/>
  <c r="AF176" i="6"/>
  <c r="BB133" i="6"/>
  <c r="G176" i="6"/>
  <c r="G206" i="6" s="1"/>
  <c r="G209" i="6" s="1"/>
  <c r="J35" i="6"/>
  <c r="J208" i="6" s="1"/>
  <c r="S210" i="1"/>
  <c r="S213" i="1" s="1"/>
  <c r="AO205" i="1"/>
  <c r="AQ205" i="1" s="1"/>
  <c r="AQ202" i="1"/>
  <c r="AE205" i="1"/>
  <c r="AE199" i="1"/>
  <c r="W210" i="1"/>
  <c r="M205" i="1"/>
  <c r="AR176" i="6"/>
  <c r="AR206" i="6" s="1"/>
  <c r="X206" i="6"/>
  <c r="X209" i="6" s="1"/>
  <c r="AB205" i="6"/>
  <c r="AK175" i="1"/>
  <c r="AM175" i="1" s="1"/>
  <c r="BB175" i="6"/>
  <c r="AK169" i="1"/>
  <c r="AM169" i="1" s="1"/>
  <c r="AK167" i="1"/>
  <c r="AM167" i="1" s="1"/>
  <c r="BB167" i="6"/>
  <c r="AK165" i="1"/>
  <c r="BB165" i="6"/>
  <c r="AG163" i="1"/>
  <c r="P176" i="6"/>
  <c r="P206" i="6" s="1"/>
  <c r="Q176" i="6"/>
  <c r="Q206" i="6" s="1"/>
  <c r="Q209" i="6" s="1"/>
  <c r="Q210" i="6" s="1"/>
  <c r="J176" i="6"/>
  <c r="J206" i="6" s="1"/>
  <c r="J209" i="6" s="1"/>
  <c r="AK149" i="1"/>
  <c r="AK146" i="1"/>
  <c r="AK144" i="1"/>
  <c r="AK139" i="1"/>
  <c r="AK137" i="1"/>
  <c r="AK129" i="1"/>
  <c r="AK121" i="1"/>
  <c r="AK117" i="1"/>
  <c r="AK112" i="1"/>
  <c r="AK109" i="1"/>
  <c r="AM109" i="1" s="1"/>
  <c r="AK106" i="1"/>
  <c r="AK101" i="1"/>
  <c r="AK96" i="1"/>
  <c r="AK92" i="1"/>
  <c r="AK84" i="1"/>
  <c r="AA176" i="6"/>
  <c r="AA206" i="6" s="1"/>
  <c r="AA209" i="6" s="1"/>
  <c r="AA210" i="6" s="1"/>
  <c r="AA213" i="6" s="1"/>
  <c r="N176" i="6"/>
  <c r="AK82" i="1"/>
  <c r="AK79" i="1"/>
  <c r="AK72" i="1"/>
  <c r="AK62" i="1"/>
  <c r="AB176" i="6"/>
  <c r="AK59" i="1"/>
  <c r="AM59" i="1" s="1"/>
  <c r="AK57" i="1"/>
  <c r="BB50" i="6"/>
  <c r="AK50" i="1"/>
  <c r="BC50" i="1" s="1"/>
  <c r="D50" i="1" s="1"/>
  <c r="W176" i="6"/>
  <c r="BB40" i="6"/>
  <c r="AG205" i="1"/>
  <c r="AI205" i="1" s="1"/>
  <c r="E178" i="1"/>
  <c r="F178" i="1" s="1"/>
  <c r="BD179" i="1"/>
  <c r="BC204" i="1"/>
  <c r="D204" i="1" s="1"/>
  <c r="AS205" i="1"/>
  <c r="AU205" i="1" s="1"/>
  <c r="AO176" i="1"/>
  <c r="AJ176" i="6"/>
  <c r="AJ206" i="6" s="1"/>
  <c r="AJ209" i="6" s="1"/>
  <c r="AJ210" i="6" s="1"/>
  <c r="AJ213" i="6" s="1"/>
  <c r="X35" i="6"/>
  <c r="X208" i="6" s="1"/>
  <c r="H176" i="6"/>
  <c r="T176" i="6"/>
  <c r="K176" i="6"/>
  <c r="M176" i="6"/>
  <c r="M206" i="6" s="1"/>
  <c r="M209" i="6" s="1"/>
  <c r="W205" i="6"/>
  <c r="U163" i="6"/>
  <c r="AF209" i="6"/>
  <c r="AF210" i="6" s="1"/>
  <c r="AF213" i="6" s="1"/>
  <c r="Z205" i="6"/>
  <c r="Y40" i="1"/>
  <c r="AA40" i="1" s="1"/>
  <c r="AD163" i="6"/>
  <c r="Y155" i="1"/>
  <c r="AL163" i="6"/>
  <c r="W51" i="6"/>
  <c r="AK160" i="1"/>
  <c r="AM160" i="1" s="1"/>
  <c r="S163" i="6"/>
  <c r="AK40" i="1"/>
  <c r="AM40" i="1" s="1"/>
  <c r="S51" i="6"/>
  <c r="U51" i="6"/>
  <c r="BC183" i="1"/>
  <c r="AC87" i="1"/>
  <c r="AE87" i="1" s="1"/>
  <c r="BB149" i="6"/>
  <c r="BB109" i="6"/>
  <c r="BB196" i="6"/>
  <c r="BB155" i="6"/>
  <c r="BB59" i="6"/>
  <c r="BB57" i="6"/>
  <c r="BB160" i="6"/>
  <c r="BB135" i="6"/>
  <c r="BB96" i="6"/>
  <c r="AS130" i="1"/>
  <c r="AU130" i="1" s="1"/>
  <c r="BB121" i="6"/>
  <c r="BB112" i="6"/>
  <c r="BB84" i="6"/>
  <c r="AS87" i="1"/>
  <c r="AU87" i="1" s="1"/>
  <c r="BB72" i="6"/>
  <c r="Y160" i="1"/>
  <c r="AA160" i="1" s="1"/>
  <c r="BB75" i="6"/>
  <c r="BC28" i="1"/>
  <c r="D27" i="1"/>
  <c r="G36" i="10" s="1"/>
  <c r="Y196" i="1"/>
  <c r="BB169" i="6"/>
  <c r="BB86" i="6"/>
  <c r="BB185" i="6"/>
  <c r="AS51" i="1"/>
  <c r="Y109" i="1"/>
  <c r="AA109" i="1" s="1"/>
  <c r="BB65" i="6"/>
  <c r="BB137" i="6"/>
  <c r="BB191" i="6"/>
  <c r="BB101" i="6"/>
  <c r="BB92" i="6"/>
  <c r="BB146" i="6"/>
  <c r="BB172" i="6"/>
  <c r="Y199" i="1"/>
  <c r="BC199" i="1" s="1"/>
  <c r="BC22" i="1"/>
  <c r="BB62" i="6"/>
  <c r="BB117" i="6"/>
  <c r="BB144" i="6"/>
  <c r="BB79" i="6"/>
  <c r="Y59" i="1"/>
  <c r="AA59" i="1" s="1"/>
  <c r="BB188" i="6"/>
  <c r="BB183" i="6"/>
  <c r="BB82" i="6"/>
  <c r="AS66" i="1"/>
  <c r="AU66" i="1" s="1"/>
  <c r="BB139" i="6"/>
  <c r="BB194" i="6"/>
  <c r="BB106" i="6"/>
  <c r="BC188" i="1"/>
  <c r="BC185" i="1"/>
  <c r="BC191" i="1"/>
  <c r="BC202" i="1"/>
  <c r="AI205" i="6"/>
  <c r="BC194" i="1"/>
  <c r="AC66" i="1"/>
  <c r="AE66" i="1" s="1"/>
  <c r="AC51" i="1"/>
  <c r="AD150" i="6"/>
  <c r="BB150" i="6" s="1"/>
  <c r="Y87" i="1"/>
  <c r="AA87" i="1" s="1"/>
  <c r="AL130" i="6"/>
  <c r="AD130" i="6"/>
  <c r="Y150" i="1"/>
  <c r="AD66" i="6"/>
  <c r="Z66" i="6"/>
  <c r="Z87" i="6"/>
  <c r="U150" i="6"/>
  <c r="U87" i="6"/>
  <c r="U66" i="6"/>
  <c r="U130" i="6"/>
  <c r="Z28" i="6"/>
  <c r="AL51" i="6"/>
  <c r="Y51" i="1" s="1"/>
  <c r="D28" i="6"/>
  <c r="S197" i="6"/>
  <c r="S205" i="6" s="1"/>
  <c r="AL197" i="6"/>
  <c r="AD28" i="6"/>
  <c r="AD35" i="6" s="1"/>
  <c r="AD208" i="6" s="1"/>
  <c r="W28" i="6"/>
  <c r="W35" i="6" s="1"/>
  <c r="W208" i="6" s="1"/>
  <c r="AD51" i="6"/>
  <c r="U28" i="6"/>
  <c r="U35" i="6" s="1"/>
  <c r="U208" i="6" s="1"/>
  <c r="AD197" i="6"/>
  <c r="AD205" i="6" s="1"/>
  <c r="S28" i="6"/>
  <c r="AL28" i="6"/>
  <c r="W129" i="6"/>
  <c r="BB129" i="6" s="1"/>
  <c r="U197" i="6"/>
  <c r="U205" i="6" s="1"/>
  <c r="G50" i="1" l="1"/>
  <c r="G55" i="10"/>
  <c r="H55" i="10" s="1"/>
  <c r="K55" i="10" s="1"/>
  <c r="H28" i="10"/>
  <c r="K28" i="10" s="1"/>
  <c r="G27" i="10"/>
  <c r="H27" i="10" s="1"/>
  <c r="K27" i="10" s="1"/>
  <c r="G13" i="1"/>
  <c r="G17" i="10"/>
  <c r="G204" i="1"/>
  <c r="G129" i="10"/>
  <c r="H129" i="10" s="1"/>
  <c r="K129" i="10" s="1"/>
  <c r="G130" i="10"/>
  <c r="H130" i="10" s="1"/>
  <c r="K130" i="10" s="1"/>
  <c r="H36" i="10"/>
  <c r="K36" i="10" s="1"/>
  <c r="G35" i="10"/>
  <c r="G46" i="1"/>
  <c r="G53" i="10"/>
  <c r="H53" i="10" s="1"/>
  <c r="K53" i="10" s="1"/>
  <c r="J10" i="10"/>
  <c r="BA176" i="6"/>
  <c r="AC210" i="6"/>
  <c r="AC213" i="6" s="1"/>
  <c r="X206" i="1"/>
  <c r="X209" i="1" s="1"/>
  <c r="X210" i="1" s="1"/>
  <c r="X213" i="1" s="1"/>
  <c r="N206" i="6"/>
  <c r="N209" i="6" s="1"/>
  <c r="N210" i="6" s="1"/>
  <c r="N213" i="6" s="1"/>
  <c r="M210" i="6"/>
  <c r="BC176" i="6"/>
  <c r="BC206" i="6" s="1"/>
  <c r="BC209" i="6" s="1"/>
  <c r="BC210" i="6" s="1"/>
  <c r="K12" i="9"/>
  <c r="BD205" i="1"/>
  <c r="BD162" i="1"/>
  <c r="BD163" i="1" s="1"/>
  <c r="BD176" i="1" s="1"/>
  <c r="E161" i="1"/>
  <c r="E210" i="6"/>
  <c r="E213" i="6" s="1"/>
  <c r="AU51" i="1"/>
  <c r="AA51" i="1"/>
  <c r="AE51" i="1"/>
  <c r="AQ51" i="1"/>
  <c r="BC135" i="1"/>
  <c r="AE206" i="6"/>
  <c r="BB66" i="6"/>
  <c r="AP206" i="6"/>
  <c r="D24" i="1"/>
  <c r="O16" i="1"/>
  <c r="Q16" i="1" s="1"/>
  <c r="Q15" i="1"/>
  <c r="BC86" i="1"/>
  <c r="O12" i="1"/>
  <c r="Q12" i="1" s="1"/>
  <c r="BC172" i="1"/>
  <c r="D172" i="1" s="1"/>
  <c r="G172" i="1" s="1"/>
  <c r="BB28" i="6"/>
  <c r="BC9" i="1"/>
  <c r="BC12" i="1" s="1"/>
  <c r="AC29" i="1"/>
  <c r="AE29" i="1" s="1"/>
  <c r="AS213" i="6"/>
  <c r="BC28" i="6"/>
  <c r="AL176" i="6"/>
  <c r="Q19" i="1"/>
  <c r="O20" i="1"/>
  <c r="Q20" i="1" s="1"/>
  <c r="BC17" i="1"/>
  <c r="BC18" i="1" s="1"/>
  <c r="BC75" i="1"/>
  <c r="BC65" i="1"/>
  <c r="Y130" i="1"/>
  <c r="AA130" i="1" s="1"/>
  <c r="Q17" i="1"/>
  <c r="Q213" i="6"/>
  <c r="U213" i="1"/>
  <c r="S35" i="6"/>
  <c r="S208" i="6" s="1"/>
  <c r="G210" i="6"/>
  <c r="Z35" i="6"/>
  <c r="Z208" i="6" s="1"/>
  <c r="J210" i="6"/>
  <c r="J213" i="6" s="1"/>
  <c r="U210" i="1"/>
  <c r="AO206" i="1"/>
  <c r="AQ176" i="1"/>
  <c r="BC169" i="1"/>
  <c r="D169" i="1" s="1"/>
  <c r="G169" i="1" s="1"/>
  <c r="BC106" i="1"/>
  <c r="AM106" i="1"/>
  <c r="AM50" i="1"/>
  <c r="BC112" i="1"/>
  <c r="AM112" i="1"/>
  <c r="BC165" i="1"/>
  <c r="D165" i="1" s="1"/>
  <c r="AM165" i="1"/>
  <c r="BC167" i="1"/>
  <c r="D167" i="1" s="1"/>
  <c r="BC57" i="1"/>
  <c r="D57" i="1" s="1"/>
  <c r="G57" i="1" s="1"/>
  <c r="AM57" i="1"/>
  <c r="BC117" i="1"/>
  <c r="AM117" i="1"/>
  <c r="BC121" i="1"/>
  <c r="AM121" i="1"/>
  <c r="BC129" i="1"/>
  <c r="AM129" i="1"/>
  <c r="BC96" i="1"/>
  <c r="AM96" i="1"/>
  <c r="BC62" i="1"/>
  <c r="AM62" i="1"/>
  <c r="BC72" i="1"/>
  <c r="AM72" i="1"/>
  <c r="BC79" i="1"/>
  <c r="AM79" i="1"/>
  <c r="BC137" i="1"/>
  <c r="AM137" i="1"/>
  <c r="BC101" i="1"/>
  <c r="AM101" i="1"/>
  <c r="BC175" i="1"/>
  <c r="BC82" i="1"/>
  <c r="AM82" i="1"/>
  <c r="BC139" i="1"/>
  <c r="AM139" i="1"/>
  <c r="BC144" i="1"/>
  <c r="AM144" i="1"/>
  <c r="BC146" i="1"/>
  <c r="AM146" i="1"/>
  <c r="BC84" i="1"/>
  <c r="AM84" i="1"/>
  <c r="BC149" i="1"/>
  <c r="AM149" i="1"/>
  <c r="BC92" i="1"/>
  <c r="AM92" i="1"/>
  <c r="AG176" i="1"/>
  <c r="AI176" i="1" s="1"/>
  <c r="AI163" i="1"/>
  <c r="D199" i="1"/>
  <c r="AA199" i="1"/>
  <c r="BC155" i="1"/>
  <c r="AA155" i="1"/>
  <c r="BC150" i="1"/>
  <c r="D150" i="1" s="1"/>
  <c r="AA150" i="1"/>
  <c r="BC196" i="1"/>
  <c r="AA196" i="1"/>
  <c r="W213" i="1"/>
  <c r="F35" i="1"/>
  <c r="M206" i="1"/>
  <c r="K133" i="1"/>
  <c r="BC109" i="1"/>
  <c r="D28" i="1"/>
  <c r="G28" i="1" s="1"/>
  <c r="G27" i="1"/>
  <c r="D22" i="1"/>
  <c r="G22" i="1" s="1"/>
  <c r="G21" i="1"/>
  <c r="BB197" i="6"/>
  <c r="AK163" i="1"/>
  <c r="AM163" i="1" s="1"/>
  <c r="BB163" i="6"/>
  <c r="AD176" i="6"/>
  <c r="AD206" i="6" s="1"/>
  <c r="AD209" i="6" s="1"/>
  <c r="AD210" i="6" s="1"/>
  <c r="AD213" i="6" s="1"/>
  <c r="AK130" i="1"/>
  <c r="BB130" i="6"/>
  <c r="BB87" i="6"/>
  <c r="AK87" i="1"/>
  <c r="S176" i="6"/>
  <c r="S206" i="6" s="1"/>
  <c r="U176" i="6"/>
  <c r="U206" i="6" s="1"/>
  <c r="U209" i="6" s="1"/>
  <c r="U210" i="6" s="1"/>
  <c r="U213" i="6" s="1"/>
  <c r="BB51" i="6"/>
  <c r="H206" i="6"/>
  <c r="H209" i="6" s="1"/>
  <c r="H210" i="6" s="1"/>
  <c r="H213" i="6" s="1"/>
  <c r="AK51" i="1"/>
  <c r="T206" i="6"/>
  <c r="T209" i="6" s="1"/>
  <c r="T210" i="6" s="1"/>
  <c r="T213" i="6" s="1"/>
  <c r="F208" i="1"/>
  <c r="E179" i="1"/>
  <c r="I117" i="10" s="1"/>
  <c r="AS176" i="1"/>
  <c r="BC160" i="1"/>
  <c r="BC133" i="1"/>
  <c r="D133" i="1" s="1"/>
  <c r="G133" i="1" s="1"/>
  <c r="BC59" i="1"/>
  <c r="D59" i="1" s="1"/>
  <c r="G59" i="1" s="1"/>
  <c r="BC40" i="1"/>
  <c r="D40" i="1" s="1"/>
  <c r="G50" i="10" s="1"/>
  <c r="K206" i="6"/>
  <c r="K209" i="6" s="1"/>
  <c r="K210" i="6" s="1"/>
  <c r="K213" i="6" s="1"/>
  <c r="Z176" i="6"/>
  <c r="Z206" i="6" s="1"/>
  <c r="Z209" i="6" s="1"/>
  <c r="X210" i="6"/>
  <c r="X213" i="6" s="1"/>
  <c r="AC176" i="1"/>
  <c r="P209" i="6"/>
  <c r="P210" i="6" s="1"/>
  <c r="P213" i="6" s="1"/>
  <c r="AR209" i="6"/>
  <c r="AR210" i="6" s="1"/>
  <c r="AR213" i="6" s="1"/>
  <c r="Y163" i="1"/>
  <c r="AA163" i="1" s="1"/>
  <c r="Y66" i="1"/>
  <c r="AA66" i="1" s="1"/>
  <c r="AB206" i="6"/>
  <c r="AI206" i="6"/>
  <c r="AI209" i="6" s="1"/>
  <c r="AI210" i="6" s="1"/>
  <c r="AI213" i="6" s="1"/>
  <c r="BB161" i="6"/>
  <c r="AL35" i="6"/>
  <c r="AL208" i="6" s="1"/>
  <c r="AL205" i="6"/>
  <c r="BB205" i="6" s="1"/>
  <c r="BC16" i="1"/>
  <c r="D15" i="1"/>
  <c r="G19" i="10" s="1"/>
  <c r="H19" i="10" s="1"/>
  <c r="K19" i="10" s="1"/>
  <c r="BC20" i="1"/>
  <c r="D19" i="1"/>
  <c r="G26" i="10" s="1"/>
  <c r="Y197" i="1"/>
  <c r="AO209" i="6"/>
  <c r="AO210" i="6" s="1"/>
  <c r="AO213" i="6" s="1"/>
  <c r="W206" i="6"/>
  <c r="W209" i="6" s="1"/>
  <c r="W210" i="6" s="1"/>
  <c r="W213" i="6" s="1"/>
  <c r="D35" i="6"/>
  <c r="D208" i="6" s="1"/>
  <c r="G199" i="1" l="1"/>
  <c r="G126" i="10"/>
  <c r="H126" i="10" s="1"/>
  <c r="K126" i="10" s="1"/>
  <c r="H35" i="10"/>
  <c r="K35" i="10" s="1"/>
  <c r="G34" i="10"/>
  <c r="H34" i="10" s="1"/>
  <c r="K34" i="10" s="1"/>
  <c r="G167" i="1"/>
  <c r="G99" i="10"/>
  <c r="H99" i="10" s="1"/>
  <c r="K99" i="10" s="1"/>
  <c r="H17" i="10"/>
  <c r="K17" i="10" s="1"/>
  <c r="G16" i="10"/>
  <c r="H16" i="10" s="1"/>
  <c r="K16" i="10" s="1"/>
  <c r="G165" i="1"/>
  <c r="G96" i="10"/>
  <c r="H96" i="10" s="1"/>
  <c r="K96" i="10" s="1"/>
  <c r="I116" i="10"/>
  <c r="J117" i="10"/>
  <c r="K117" i="10"/>
  <c r="H26" i="10"/>
  <c r="K26" i="10" s="1"/>
  <c r="G25" i="10"/>
  <c r="D26" i="1"/>
  <c r="G26" i="1" s="1"/>
  <c r="G32" i="10"/>
  <c r="H50" i="10"/>
  <c r="K50" i="10" s="1"/>
  <c r="G49" i="10"/>
  <c r="G150" i="1"/>
  <c r="G82" i="10"/>
  <c r="H82" i="10" s="1"/>
  <c r="K82" i="10" s="1"/>
  <c r="BA206" i="6"/>
  <c r="D9" i="1"/>
  <c r="G14" i="10" s="1"/>
  <c r="BD206" i="1"/>
  <c r="BD209" i="1" s="1"/>
  <c r="BD210" i="1" s="1"/>
  <c r="BD213" i="1" s="1"/>
  <c r="F161" i="1"/>
  <c r="E162" i="1"/>
  <c r="I95" i="10" s="1"/>
  <c r="AM51" i="1"/>
  <c r="G179" i="1"/>
  <c r="F179" i="1"/>
  <c r="G24" i="1"/>
  <c r="AE209" i="6"/>
  <c r="AE210" i="6" s="1"/>
  <c r="AE213" i="6" s="1"/>
  <c r="AP209" i="6"/>
  <c r="AP210" i="6" s="1"/>
  <c r="AP213" i="6" s="1"/>
  <c r="D175" i="1"/>
  <c r="AC35" i="1"/>
  <c r="AE35" i="1" s="1"/>
  <c r="Z210" i="6"/>
  <c r="D17" i="1"/>
  <c r="O29" i="1"/>
  <c r="Q29" i="1" s="1"/>
  <c r="BB209" i="6"/>
  <c r="G40" i="1"/>
  <c r="D51" i="1"/>
  <c r="BC29" i="1"/>
  <c r="BC35" i="1" s="1"/>
  <c r="BC208" i="1" s="1"/>
  <c r="S209" i="6"/>
  <c r="S210" i="6" s="1"/>
  <c r="S213" i="6" s="1"/>
  <c r="AS206" i="1"/>
  <c r="AU176" i="1"/>
  <c r="BC51" i="1"/>
  <c r="AO209" i="1"/>
  <c r="AQ206" i="1"/>
  <c r="BC130" i="1"/>
  <c r="D130" i="1" s="1"/>
  <c r="G70" i="10" s="1"/>
  <c r="H70" i="10" s="1"/>
  <c r="K70" i="10" s="1"/>
  <c r="AM130" i="1"/>
  <c r="AG206" i="1"/>
  <c r="AG209" i="1" s="1"/>
  <c r="BC87" i="1"/>
  <c r="D87" i="1" s="1"/>
  <c r="AM87" i="1"/>
  <c r="AC206" i="1"/>
  <c r="AE176" i="1"/>
  <c r="Y205" i="1"/>
  <c r="AA205" i="1" s="1"/>
  <c r="AA197" i="1"/>
  <c r="M209" i="1"/>
  <c r="AK176" i="1"/>
  <c r="K176" i="1"/>
  <c r="D20" i="1"/>
  <c r="G20" i="1" s="1"/>
  <c r="G19" i="1"/>
  <c r="D16" i="1"/>
  <c r="G16" i="1" s="1"/>
  <c r="G15" i="1"/>
  <c r="D12" i="1"/>
  <c r="G12" i="1" s="1"/>
  <c r="G9" i="1"/>
  <c r="E205" i="1"/>
  <c r="J14" i="9" s="1"/>
  <c r="BC163" i="1"/>
  <c r="D163" i="1" s="1"/>
  <c r="G89" i="10" s="1"/>
  <c r="H89" i="10" s="1"/>
  <c r="BB176" i="6"/>
  <c r="Y176" i="1"/>
  <c r="BC66" i="1"/>
  <c r="D66" i="1" s="1"/>
  <c r="AB209" i="6"/>
  <c r="AB210" i="6" s="1"/>
  <c r="AB213" i="6" s="1"/>
  <c r="AL206" i="6"/>
  <c r="BB206" i="6" s="1"/>
  <c r="BC197" i="1"/>
  <c r="BC205" i="1" s="1"/>
  <c r="I115" i="10" l="1"/>
  <c r="J116" i="10"/>
  <c r="K116" i="10"/>
  <c r="J95" i="10"/>
  <c r="K95" i="10"/>
  <c r="I92" i="10"/>
  <c r="D18" i="1"/>
  <c r="G18" i="1" s="1"/>
  <c r="G22" i="10"/>
  <c r="G66" i="1"/>
  <c r="G58" i="10"/>
  <c r="G87" i="1"/>
  <c r="G63" i="10"/>
  <c r="H63" i="10" s="1"/>
  <c r="K63" i="10" s="1"/>
  <c r="H49" i="10"/>
  <c r="K49" i="10" s="1"/>
  <c r="G24" i="10"/>
  <c r="H24" i="10" s="1"/>
  <c r="K24" i="10" s="1"/>
  <c r="H25" i="10"/>
  <c r="K25" i="10" s="1"/>
  <c r="H14" i="10"/>
  <c r="K14" i="10" s="1"/>
  <c r="G13" i="10"/>
  <c r="G175" i="1"/>
  <c r="G108" i="10"/>
  <c r="H108" i="10" s="1"/>
  <c r="K108" i="10" s="1"/>
  <c r="H32" i="10"/>
  <c r="K32" i="10" s="1"/>
  <c r="G30" i="10"/>
  <c r="BA209" i="6"/>
  <c r="BB218" i="6"/>
  <c r="BB220" i="6"/>
  <c r="E163" i="1"/>
  <c r="F163" i="1" s="1"/>
  <c r="F162" i="1"/>
  <c r="K14" i="9"/>
  <c r="AC208" i="1"/>
  <c r="AE208" i="1" s="1"/>
  <c r="G51" i="1"/>
  <c r="G17" i="1"/>
  <c r="O35" i="1"/>
  <c r="O208" i="1" s="1"/>
  <c r="O210" i="1" s="1"/>
  <c r="BB210" i="6"/>
  <c r="BE217" i="6" s="1"/>
  <c r="AI206" i="1"/>
  <c r="AS209" i="1"/>
  <c r="AU206" i="1"/>
  <c r="AO210" i="1"/>
  <c r="AQ209" i="1"/>
  <c r="AK206" i="1"/>
  <c r="AM176" i="1"/>
  <c r="AG210" i="1"/>
  <c r="AI209" i="1"/>
  <c r="AC209" i="1"/>
  <c r="AC217" i="1" s="1"/>
  <c r="AE206" i="1"/>
  <c r="Y206" i="1"/>
  <c r="AA176" i="1"/>
  <c r="M210" i="1"/>
  <c r="D29" i="1"/>
  <c r="K206" i="1"/>
  <c r="F205" i="1"/>
  <c r="BC176" i="1"/>
  <c r="BC206" i="1" s="1"/>
  <c r="BC209" i="1" s="1"/>
  <c r="D197" i="1"/>
  <c r="G118" i="10" s="1"/>
  <c r="AL209" i="6"/>
  <c r="AL210" i="6" s="1"/>
  <c r="AL213" i="6" s="1"/>
  <c r="D209" i="6"/>
  <c r="G57" i="10" l="1"/>
  <c r="H58" i="10"/>
  <c r="K58" i="10" s="1"/>
  <c r="H22" i="10"/>
  <c r="K22" i="10" s="1"/>
  <c r="G21" i="10"/>
  <c r="G29" i="10"/>
  <c r="H29" i="10" s="1"/>
  <c r="K29" i="10" s="1"/>
  <c r="H30" i="10"/>
  <c r="K30" i="10" s="1"/>
  <c r="I89" i="10"/>
  <c r="J92" i="10"/>
  <c r="K92" i="10"/>
  <c r="G114" i="10"/>
  <c r="H114" i="10" s="1"/>
  <c r="H118" i="10"/>
  <c r="K118" i="10" s="1"/>
  <c r="H13" i="10"/>
  <c r="K13" i="10" s="1"/>
  <c r="G12" i="10"/>
  <c r="J115" i="10"/>
  <c r="K115" i="10"/>
  <c r="I114" i="10"/>
  <c r="BA210" i="6"/>
  <c r="BA220" i="6"/>
  <c r="Q35" i="1"/>
  <c r="G163" i="1"/>
  <c r="H10" i="9"/>
  <c r="D35" i="1"/>
  <c r="G35" i="1" s="1"/>
  <c r="AS210" i="1"/>
  <c r="AU209" i="1"/>
  <c r="AO213" i="1"/>
  <c r="AQ213" i="1" s="1"/>
  <c r="AQ210" i="1"/>
  <c r="AM206" i="1"/>
  <c r="AK209" i="1"/>
  <c r="G29" i="1"/>
  <c r="AG213" i="1"/>
  <c r="AI213" i="1" s="1"/>
  <c r="AI210" i="1"/>
  <c r="AE209" i="1"/>
  <c r="AC210" i="1"/>
  <c r="Y209" i="1"/>
  <c r="AA206" i="1"/>
  <c r="M213" i="1"/>
  <c r="Q208" i="1"/>
  <c r="K209" i="1"/>
  <c r="D205" i="1"/>
  <c r="G197" i="1"/>
  <c r="BC210" i="1"/>
  <c r="BC213" i="1" s="1"/>
  <c r="D176" i="1"/>
  <c r="H13" i="9" s="1"/>
  <c r="D210" i="6"/>
  <c r="J114" i="10" l="1"/>
  <c r="K114" i="10"/>
  <c r="J89" i="10"/>
  <c r="K89" i="10"/>
  <c r="I48" i="10"/>
  <c r="H21" i="10"/>
  <c r="K21" i="10" s="1"/>
  <c r="G20" i="10"/>
  <c r="H20" i="10" s="1"/>
  <c r="K20" i="10" s="1"/>
  <c r="G11" i="10"/>
  <c r="H12" i="10"/>
  <c r="K12" i="10" s="1"/>
  <c r="H57" i="10"/>
  <c r="K57" i="10" s="1"/>
  <c r="G48" i="10"/>
  <c r="D208" i="1"/>
  <c r="G208" i="1" s="1"/>
  <c r="G205" i="1"/>
  <c r="H14" i="9"/>
  <c r="I14" i="9" s="1"/>
  <c r="L14" i="9" s="1"/>
  <c r="I13" i="9"/>
  <c r="H12" i="9"/>
  <c r="I10" i="9"/>
  <c r="L10" i="9" s="1"/>
  <c r="D209" i="1"/>
  <c r="AS213" i="1"/>
  <c r="AU213" i="1" s="1"/>
  <c r="AU210" i="1"/>
  <c r="AK210" i="1"/>
  <c r="AM209" i="1"/>
  <c r="AC213" i="1"/>
  <c r="AE213" i="1" s="1"/>
  <c r="AE210" i="1"/>
  <c r="Y210" i="1"/>
  <c r="AA209" i="1"/>
  <c r="O213" i="1"/>
  <c r="Q210" i="1"/>
  <c r="K210" i="1"/>
  <c r="D206" i="1"/>
  <c r="D213" i="6"/>
  <c r="G10" i="10" l="1"/>
  <c r="H10" i="10" s="1"/>
  <c r="K10" i="10" s="1"/>
  <c r="H11" i="10"/>
  <c r="K11" i="10" s="1"/>
  <c r="I47" i="10"/>
  <c r="J48" i="10"/>
  <c r="G47" i="10"/>
  <c r="H47" i="10" s="1"/>
  <c r="H48" i="10"/>
  <c r="K48" i="10" s="1"/>
  <c r="D210" i="1"/>
  <c r="H15" i="9"/>
  <c r="I15" i="9" s="1"/>
  <c r="I12" i="9"/>
  <c r="L12" i="9" s="1"/>
  <c r="H16" i="9"/>
  <c r="K213" i="1"/>
  <c r="Q213" i="1"/>
  <c r="AK213" i="1"/>
  <c r="AM210" i="1"/>
  <c r="Y213" i="1"/>
  <c r="AA213" i="1" s="1"/>
  <c r="AA210" i="1"/>
  <c r="F112" i="1"/>
  <c r="E130" i="1"/>
  <c r="E176" i="1" s="1"/>
  <c r="J13" i="9" s="1"/>
  <c r="I16" i="9" l="1"/>
  <c r="H27" i="9"/>
  <c r="I27" i="9" s="1"/>
  <c r="J47" i="10"/>
  <c r="K47" i="10"/>
  <c r="L13" i="9"/>
  <c r="J15" i="9"/>
  <c r="K13" i="9"/>
  <c r="AM213" i="1"/>
  <c r="G130" i="1"/>
  <c r="K15" i="9" l="1"/>
  <c r="L15" i="9"/>
  <c r="J16" i="9"/>
  <c r="J27" i="9" s="1"/>
  <c r="F130" i="1"/>
  <c r="F176" i="1"/>
  <c r="E206" i="1"/>
  <c r="G206" i="1" s="1"/>
  <c r="G176" i="1"/>
  <c r="L27" i="9" l="1"/>
  <c r="K27" i="9"/>
  <c r="L16" i="9"/>
  <c r="K16" i="9"/>
  <c r="E209" i="1"/>
  <c r="E210" i="1" s="1"/>
  <c r="E213" i="1" s="1"/>
  <c r="F206" i="1"/>
  <c r="G210" i="1" l="1"/>
  <c r="G209" i="1"/>
  <c r="G213" i="1"/>
  <c r="C209" i="1"/>
  <c r="C210" i="1" l="1"/>
  <c r="C213" i="1" s="1"/>
  <c r="F209" i="1"/>
  <c r="BB162" i="6"/>
  <c r="Y162" i="1"/>
  <c r="F213" i="1" l="1"/>
  <c r="F210" i="1"/>
  <c r="BC162" i="1"/>
  <c r="AA162" i="1"/>
</calcChain>
</file>

<file path=xl/sharedStrings.xml><?xml version="1.0" encoding="utf-8"?>
<sst xmlns="http://schemas.openxmlformats.org/spreadsheetml/2006/main" count="1004" uniqueCount="502">
  <si>
    <t>KAMATE NA DEPOZITE PO VIĐENJU</t>
  </si>
  <si>
    <t>PRIHODI OD PRUŽENIH USLUGA</t>
  </si>
  <si>
    <t>TEKUĆE DONACIJE OD OSTALIH SUBJ.IZVAN PR.</t>
  </si>
  <si>
    <t>PRIH. NADLEŽNOG PROR. ZA FIN.RASH.POSL.</t>
  </si>
  <si>
    <t>OSTALI PRIHODI</t>
  </si>
  <si>
    <t>P R I H O D I   UKUPNO</t>
  </si>
  <si>
    <t>KONTO</t>
  </si>
  <si>
    <t>NAZIV KONTA</t>
  </si>
  <si>
    <t>POMOĆI PROR.KOR.IZ PROR. KOJI NIJE NADLEŽAN</t>
  </si>
  <si>
    <t>TEKUĆE POMOĆI IZ DRŽ.PROR. PROR.KOR.JLP(R)S</t>
  </si>
  <si>
    <t>PRIHODI OD FINANCIJSKE IMOVINE</t>
  </si>
  <si>
    <t>PRIH. OD PRODAJE PR. I ROBE TE PRUŽENIH USL.</t>
  </si>
  <si>
    <t>DONACIJE OD PRAV. I FIZ. OSOBA IZVAN OPĆEG PROR.</t>
  </si>
  <si>
    <t>PRIH. IZ NADLEŽNOG PROR. ZA FINANC. RED. DJEL.</t>
  </si>
  <si>
    <t>P R I H O D I    P O S L O V A NJ A</t>
  </si>
  <si>
    <t>PLAĆE ZA ZAPOSLENE</t>
  </si>
  <si>
    <t>PLAĆE ZA PREKOVREMENI RAD</t>
  </si>
  <si>
    <t>PLAĆE ( BRUTO )</t>
  </si>
  <si>
    <t>NAGRADE</t>
  </si>
  <si>
    <t>DAROVI</t>
  </si>
  <si>
    <t>OTPREMNINE</t>
  </si>
  <si>
    <t>NAKNADE ZA BOLEST, INVAL. I SMRTNI SLUČAJ</t>
  </si>
  <si>
    <t>REGRES ZA GODIŠNJI ODMOR</t>
  </si>
  <si>
    <t>OSTALI RASHODI ZA ZAPOSLENE</t>
  </si>
  <si>
    <t>DOPRINOSI ZA OBVEZNO ZDRAVSTVENO OSIGURANJE</t>
  </si>
  <si>
    <t>DOPRINOSI NA PLAĆE</t>
  </si>
  <si>
    <t>RASHODI ZA ZAPOSLENE</t>
  </si>
  <si>
    <t>DNEVNICE ZA SLUŽBENI PUT U ZEMLJI</t>
  </si>
  <si>
    <t>NAKNADE ZA SMJEŠTAJ NA SLUŽB. PUTU U ZEMLJI</t>
  </si>
  <si>
    <t>NAKNADE ZA PRIJEVOZ NA SLUŽB. PUTU U ZEMLJI</t>
  </si>
  <si>
    <t>SLUŽBENA PUTOVANJA</t>
  </si>
  <si>
    <t>NAKNADE ZA PRIJEVOZ NA POSAO I S POSLA</t>
  </si>
  <si>
    <t>NAKN. ZA PRIJEVOZ, RAD NA TERENU I ODVOJENI Ž.</t>
  </si>
  <si>
    <t>SEMINARI, SAVJETOVANJA I SIMPOZIJI</t>
  </si>
  <si>
    <t>TEČAJEVI I STRUČNI ISPITI</t>
  </si>
  <si>
    <t>STRUČNO USAVRŠAVANJE ZAPOSLENIKA</t>
  </si>
  <si>
    <t>OSTALE NAKNADE TROŠKOVA ZAPOSLENIMA</t>
  </si>
  <si>
    <t>NAKNADE TROŠKOVA ZAPOSLENIMA</t>
  </si>
  <si>
    <t>UREDSKI MATERIJAL</t>
  </si>
  <si>
    <t>LITERATURA ( publikacije, časopisi, knjige i ostalo )</t>
  </si>
  <si>
    <t>MATERIJAL I SREDSTVA ZA ČIŠĆENJE I ODRŽAV.</t>
  </si>
  <si>
    <t>MATERIJAL ZA HIGIJENSKE POTREBE I NJEGU</t>
  </si>
  <si>
    <t>OSTALI MATERIJAL ZA POTREBE REDOVNOG POSLOV.</t>
  </si>
  <si>
    <t>UREDSKI MATERIJAL I OSTALI MATERIJALNI RASHODI</t>
  </si>
  <si>
    <t>ELEKTRIČNA ENERGIJA</t>
  </si>
  <si>
    <t>PLIN</t>
  </si>
  <si>
    <t>MOTORNI BENZIN I DIZEL GORIVO</t>
  </si>
  <si>
    <t>ENERGIJA</t>
  </si>
  <si>
    <t>MATER. I DIJELOVI ZA TEK.I INV. ODRŽAV. GRAĐ.OBJ.</t>
  </si>
  <si>
    <t>MATERIJAL I DIJELOVI ZA TEK. I INVEST. ODRŽAV.</t>
  </si>
  <si>
    <t>SITNI INVENTAR</t>
  </si>
  <si>
    <t>SITNI INVENTAR I AUTO GUME</t>
  </si>
  <si>
    <t>SLUŽBENA, RADNA I ZAŠTITNA ODJEĆA I OBUĆA</t>
  </si>
  <si>
    <t>RASHODI ZA MATERIJAL I ENERGIJU</t>
  </si>
  <si>
    <t>USLUGE TELEFONA, TELEFAKSA</t>
  </si>
  <si>
    <t>USLUGE INTERNETA</t>
  </si>
  <si>
    <t>POŠTARINA ( pisma, tiskanice i sl. )</t>
  </si>
  <si>
    <t>OSTALE USLUGE ZA KOMUNIKACIJU I PRIJEVOZ</t>
  </si>
  <si>
    <t>USLUGE TEK. I INV. ODRŽAV. GRAĐ. OBJEKATA</t>
  </si>
  <si>
    <t>USLUGE TEK. I INV. ODRŽAV. POSTROJENJA I OPREME</t>
  </si>
  <si>
    <t>OSTALE USLUGE TEK. I INV. ODRŽAVANJA</t>
  </si>
  <si>
    <t>USLUGE TEKUĆEG I INVESTICIJSKOG ODRŽAVANJA</t>
  </si>
  <si>
    <t>TISAK</t>
  </si>
  <si>
    <t>OSTALE USLUGE PROMIDŽBE I INFORMIRANJA</t>
  </si>
  <si>
    <t>USLUGE PROMIDŽBE I INFORMIRANJA</t>
  </si>
  <si>
    <t>OPSKRBA VODOM</t>
  </si>
  <si>
    <t>IZNOŠENJE I ODVOZ SMEĆA</t>
  </si>
  <si>
    <t>DIMNJAČARSKE I EKOLOŠKE USLUGE</t>
  </si>
  <si>
    <t>OSTALE KOMUNALNE USLUGE</t>
  </si>
  <si>
    <t>KOMUNALNE USLUGE</t>
  </si>
  <si>
    <t>ZAKUPNINE I NAJAMNINE ZA GRAĐEV. OBJEKTE</t>
  </si>
  <si>
    <t>LICENCE</t>
  </si>
  <si>
    <t>ZAKUPNINE I NAJAMNINE</t>
  </si>
  <si>
    <t>OBVEZNI I PREVENTIVNI ZDRAV. PREGLEDI ZAPOSL.</t>
  </si>
  <si>
    <t>ZDRAVSTVENE I VETERINARSKE USLUGE</t>
  </si>
  <si>
    <t>AUTORSKI UGOVORI</t>
  </si>
  <si>
    <t>UGOVORI O DJELU</t>
  </si>
  <si>
    <t>USLUGE ODVJETNIKA I PRAVNOG SAVJETOVANJA</t>
  </si>
  <si>
    <t>OSTALE INTELEKTUALNE USLUGE</t>
  </si>
  <si>
    <t>INTELEKTUALNE I OSOBNE USLUGE</t>
  </si>
  <si>
    <t>USLUGE AŽURIRANJA RAČUNALNIH BAZA</t>
  </si>
  <si>
    <t>OSTALE RAČUNALNE USLUGE</t>
  </si>
  <si>
    <t>RAČUNALNE USLUGE</t>
  </si>
  <si>
    <t>GRAF. I TISK. USLUGE, USL. KOPIRANJA, UVEZIV. I SL.</t>
  </si>
  <si>
    <t>FILM I IZRADA FOTOGRAFIJA</t>
  </si>
  <si>
    <t>UREĐENJE PROSTORA</t>
  </si>
  <si>
    <t>USLUGE ČIŠĆENJA, PRANJA I SLIČNO</t>
  </si>
  <si>
    <t>USLUGE ČUVANJA IMOVINE I OSOBA</t>
  </si>
  <si>
    <t>OSTALE NESPOMENUTE USLUGE</t>
  </si>
  <si>
    <t>OSTALE USLUGE</t>
  </si>
  <si>
    <t>RASHODI ZA USLUGE</t>
  </si>
  <si>
    <t>NAKNADE TROŠKOVA SLUŽBENOG PUTA</t>
  </si>
  <si>
    <t>NAKNADE OSTALIH TROŠKOVA</t>
  </si>
  <si>
    <t>NAKN. TROŠKOVA OSOBAMA IZVAN RADNOG ODN.</t>
  </si>
  <si>
    <t>REPREZENTACIJA</t>
  </si>
  <si>
    <t>PREMIJE OSIGURANJA ZAPOSLENIH</t>
  </si>
  <si>
    <t xml:space="preserve">PREMIJE OSIGURANJA  </t>
  </si>
  <si>
    <t>TUZEMNE ČLANARINE</t>
  </si>
  <si>
    <t>ČLANARINE I NORME</t>
  </si>
  <si>
    <t>SUDSKE PRISTOJBE</t>
  </si>
  <si>
    <t>JAVNOBILJEŽNIČKE PRISTOJBE</t>
  </si>
  <si>
    <t>NOVČANA NAKN. POSLOD. ZBOG NEZAPOŠLJAV. INVAL.</t>
  </si>
  <si>
    <t>OSTALE PRISTOJBE I NAKNADE</t>
  </si>
  <si>
    <t>PRISTOJBE I NAKNADE</t>
  </si>
  <si>
    <t>RASHODI PROTOKOLA ( vijenci, cvijeće... )</t>
  </si>
  <si>
    <t>OSTALI NESPOMENUTI RASHODI POSLOVANJA</t>
  </si>
  <si>
    <t>USLUGE BANAKA</t>
  </si>
  <si>
    <t>USLUGE PLATNOG PROMETA</t>
  </si>
  <si>
    <t>BANKARSKE USLUGE I USLUGE PLATNOG PROMETA</t>
  </si>
  <si>
    <t>ZATEZNE KAMATE IZ POSLOVNIH ODNOSA</t>
  </si>
  <si>
    <t>OSTALI FINANCIJSKI RASHODI</t>
  </si>
  <si>
    <t>RASHODI POSLOVANJA</t>
  </si>
  <si>
    <t>OSTALE NAKNADE IZ PRORAČUNA U NOVCU</t>
  </si>
  <si>
    <t>OSTALE NAKNADE GRAĐANIMA I KUĆ. IZ PRORAČUNA</t>
  </si>
  <si>
    <t>RAČUNALA I RAČUNALNA OPREMA</t>
  </si>
  <si>
    <t>UREDSKI NAMJEŠTAJ</t>
  </si>
  <si>
    <t>OSTALA UREDSKA OPREMA</t>
  </si>
  <si>
    <t>UREDSKA OPREMA I NAMJEŠTAJ</t>
  </si>
  <si>
    <t>KOMUNIKACIJSKA OPREMA</t>
  </si>
  <si>
    <t>R A S H O D I    UKUPNO</t>
  </si>
  <si>
    <t>RASHODI ZA NABAVU NEFINANCIJSKE IMOVINE</t>
  </si>
  <si>
    <t>VIŠAK  -  MANJAK PRIHODA NAD RASHODIMA</t>
  </si>
  <si>
    <t>ULAGANJA U RAČUNALNE PROGRAME</t>
  </si>
  <si>
    <t>ZVUČNI I TEKSTUALNI ZAPISI</t>
  </si>
  <si>
    <t>NEMATERIJALNA PROIZVEDENA IMOVINA</t>
  </si>
  <si>
    <t>KNJIGE, UMJETNIČKA DJELA I OSTALE IZL. VRIJ.</t>
  </si>
  <si>
    <t xml:space="preserve">KNJIGE  </t>
  </si>
  <si>
    <t>POSTROJENJA I OPREMA</t>
  </si>
  <si>
    <t>UREĐAJI, STROJEVI I OPREMA ZA OSTALE NAMJENE</t>
  </si>
  <si>
    <t>OPREMA</t>
  </si>
  <si>
    <t>OPREMA ZA ODRŽAVANJE I ZAŠTITU</t>
  </si>
  <si>
    <t>SPORTSKA I GLAZBENA OPREMA</t>
  </si>
  <si>
    <t>DRŽAVNI PRORAČUN</t>
  </si>
  <si>
    <t>ŽUPANIJSKI PRORAČUN</t>
  </si>
  <si>
    <t>IZVRŠENO</t>
  </si>
  <si>
    <t>PLAN</t>
  </si>
  <si>
    <t>INDEKS</t>
  </si>
  <si>
    <t xml:space="preserve">INDEKS </t>
  </si>
  <si>
    <t>IZVR / PLAN</t>
  </si>
  <si>
    <t>Donos viška prihoda prethodnih godina</t>
  </si>
  <si>
    <t>Višak prihoda za prijenos</t>
  </si>
  <si>
    <t>NAMIRNICE</t>
  </si>
  <si>
    <t>MATER. I DIJELOVI ZA TEK.I INV. ODRŽAV. OPREME</t>
  </si>
  <si>
    <t>PRIH. NADLEŽNOG PROR. ZA FIN.NEFIN.IMOV.</t>
  </si>
  <si>
    <t>POMOĆNI I SANITETSKI MATERIJAL</t>
  </si>
  <si>
    <t>OSTALE NAKNADE GRAĐANIMA I KUĆ.</t>
  </si>
  <si>
    <t>VIŠAK  PRIHODA prethodnih godina</t>
  </si>
  <si>
    <t>NAKNADE ZA KORIŠT. VLAST.AUTOMOBILA U SL.SVRHE</t>
  </si>
  <si>
    <t>MATERIJAL I SIROVINE</t>
  </si>
  <si>
    <t>ELEKTRONSKI MEDIJ</t>
  </si>
  <si>
    <t xml:space="preserve">USLUGE TELEFONA, POŠTE I PRIJEVOZA </t>
  </si>
  <si>
    <t>OSTALE ZATEZNE KAMATE</t>
  </si>
  <si>
    <t>OSTALA OPREMA ZA ODRŽAVANJE I ZAŠTITU</t>
  </si>
  <si>
    <t>SPORTSKA OPREMA</t>
  </si>
  <si>
    <t>GLAZBENA OPREMA</t>
  </si>
  <si>
    <t>MEDICINSKA ŠKOLA BJELOVAR</t>
  </si>
  <si>
    <t>BJELOVAR, POLJANA DR. FRANJE TUĐMANA 8</t>
  </si>
  <si>
    <t>POMOĆI IZ DRŽAVNOG PROR.TEMELJEM EU SRED.</t>
  </si>
  <si>
    <t>MEDICINSKA OPREMA</t>
  </si>
  <si>
    <t>MEDICINSKA I LABORATORIJSKA OPREMA</t>
  </si>
  <si>
    <t>USLUGE RAZVOJA SOFTWARE-A</t>
  </si>
  <si>
    <t>PLAĆE PO SUDSKIM PRESUDAMA</t>
  </si>
  <si>
    <t>DOPR. ZA ZDRAV. OSIG. - ZAŠTITU ZDRAVLJA</t>
  </si>
  <si>
    <t>DOPR. ZA ZAPOŠLJAVANJE</t>
  </si>
  <si>
    <t>TROŠKOVI SUDSKIH POSTUPAKA</t>
  </si>
  <si>
    <t>ZATEZNE KAMATE</t>
  </si>
  <si>
    <t>ZATEZNE KAMATE NA POREZE</t>
  </si>
  <si>
    <t>ZATEZNE KAMATE NA DOPRINOSE</t>
  </si>
  <si>
    <t xml:space="preserve">KAP.POMOĆI IZ DRŽ.PROR.TEMELJEM EU SRED. </t>
  </si>
  <si>
    <t>PROMIDŽBENI MATERIJALI - KORISNICI</t>
  </si>
  <si>
    <t>OPREMA ZA GRIJANJE, VENTILACIJU I HLAĐENJE</t>
  </si>
  <si>
    <t>EU</t>
  </si>
  <si>
    <t>PRIHODI</t>
  </si>
  <si>
    <t>RASHODI</t>
  </si>
  <si>
    <t xml:space="preserve">TEK.POMOĆI IZ DRŽ.PROR.TEMELJEM EU SRED. </t>
  </si>
  <si>
    <t xml:space="preserve">TEK.POM.OD PROR.KOR.DR.PROR.TEM.EU SRED. </t>
  </si>
  <si>
    <t>DNEVNICE ZA SLUŽBENI PUT U INOZEMSTVU-</t>
  </si>
  <si>
    <t xml:space="preserve">SUBVENCIJE TRG.DRUŠTVIMA IZ EU SRED. </t>
  </si>
  <si>
    <t xml:space="preserve">TEK.POM.PROR.KOR.ŽUP.PR.TEM.EU SRED. </t>
  </si>
  <si>
    <t>POMOĆI TEMELJEM PRIJENOSA EU SRED.</t>
  </si>
  <si>
    <t xml:space="preserve">TEK.PRIJENOSI IZMEĐU PROR.KOR.ISTOG PROR. </t>
  </si>
  <si>
    <t xml:space="preserve">PRIJENOSI IZMEĐU PROR. KOR. ISTOG PROR. </t>
  </si>
  <si>
    <t xml:space="preserve">TEKUĆE DONACIJE IZ EU SRED. </t>
  </si>
  <si>
    <t xml:space="preserve">TEKUĆE DONACIJE </t>
  </si>
  <si>
    <t xml:space="preserve">DODATNA ULAGANJA NA GRAĐ.OBJ. </t>
  </si>
  <si>
    <t>Drž.proračun - IZVOR  411</t>
  </si>
  <si>
    <t>RCK 1 -IZVOR 46601</t>
  </si>
  <si>
    <t>RCK 2 -IZVOR 466</t>
  </si>
  <si>
    <t>411  - RCK 1 (dogradnja)</t>
  </si>
  <si>
    <t>PLAN ERASMUS + PODRUČJE MLADIH - IZVOR 466</t>
  </si>
  <si>
    <t>PLAN - 122  DEC</t>
  </si>
  <si>
    <t>PLAN - Shema ŠK.VOĆE (IZVOR 41)</t>
  </si>
  <si>
    <t>PLAN - Shema ŠK.VOĆE (IZVOR 4602)</t>
  </si>
  <si>
    <t>Shema ŠK.VOĆE - IZVOR 41</t>
  </si>
  <si>
    <t>Shema ŠK.VOĆE - IZVOR 4602</t>
  </si>
  <si>
    <t>PLAN OSTALO- 15 IZVOR</t>
  </si>
  <si>
    <t>OSTALO- 15 IZVOR</t>
  </si>
  <si>
    <t>PLAN - IZVOR 11 - RCK 1</t>
  </si>
  <si>
    <t>IZVOR  11 - RCK 1</t>
  </si>
  <si>
    <t xml:space="preserve">IZVOR  122  DEC </t>
  </si>
  <si>
    <t>PLAN VLASTITI -  IZVOR 22</t>
  </si>
  <si>
    <t xml:space="preserve"> VLASTITI -  IZVOR 22</t>
  </si>
  <si>
    <t>PLAN - DONACIJE  - IZVOR 511</t>
  </si>
  <si>
    <t>DONACIJE 511 - IZVOR 511</t>
  </si>
  <si>
    <t xml:space="preserve">OSTALO </t>
  </si>
  <si>
    <t>PLAN OSTALO- 14 IZVOR (e tehničar)</t>
  </si>
  <si>
    <t>OSTALO - 14 IZVOR (e tehničar)</t>
  </si>
  <si>
    <t>TEK.POM. PROR.KOR.IZ PROR. JLP(R)S KOJI NIJE NADL.(gradski pror.)</t>
  </si>
  <si>
    <t>Plan RCK 1  IZVOR 46601 (EU DIO)</t>
  </si>
  <si>
    <t>PLAN - 411 RCK 1 (dogradnja - državni dio)</t>
  </si>
  <si>
    <t>PLAN - 411 RCK 2 (uspostava - državni dio)</t>
  </si>
  <si>
    <t>Plan RCK 2-   IZVOR 466 - EU DIO</t>
  </si>
  <si>
    <t>411  - RCK 2 (usppostava)</t>
  </si>
  <si>
    <t>VLASTITI I OSTALI PRIHODI</t>
  </si>
  <si>
    <t>RIZNICA</t>
  </si>
  <si>
    <t>OSTALO</t>
  </si>
  <si>
    <t>DEC + hitne</t>
  </si>
  <si>
    <t>RCK-1</t>
  </si>
  <si>
    <t>RCK-2</t>
  </si>
  <si>
    <t>ERASMUS</t>
  </si>
  <si>
    <t>OSTALO PLAN</t>
  </si>
  <si>
    <t>ERASMUS PLAN</t>
  </si>
  <si>
    <t>DEC + hitne PLAN  (122)</t>
  </si>
  <si>
    <t>RIZNICA PLAN (411)</t>
  </si>
  <si>
    <t>RCK-1 PLAN (11)</t>
  </si>
  <si>
    <t>RCK-1 PLAN (411+46601)</t>
  </si>
  <si>
    <t>RCK-2  PLAN (411+466)</t>
  </si>
  <si>
    <t>VLASTITI</t>
  </si>
  <si>
    <t>VLASTITI PLAN (IZVOR 22)</t>
  </si>
  <si>
    <t>VLASTITI - IZVOR 22</t>
  </si>
  <si>
    <t>DONACIJE PLAN - 511</t>
  </si>
  <si>
    <t>DONACIJE 511</t>
  </si>
  <si>
    <t>UKUPNO PLAN</t>
  </si>
  <si>
    <t>UKUPNO IZVRŠENJE</t>
  </si>
  <si>
    <t>RCK-1 (11)</t>
  </si>
  <si>
    <t>Shema ŠK.VOĆE PLAN (IZVOR 41)</t>
  </si>
  <si>
    <t>Shema ŠK.VOĆE (IZVOR 41)</t>
  </si>
  <si>
    <t>OSTALO PLAN (IZVOR 14 + 15 + 11 civ.zašt.)</t>
  </si>
  <si>
    <t>PLAN dr.proračun - izvor 411</t>
  </si>
  <si>
    <t>LABORATORIJSKE USLUGE</t>
  </si>
  <si>
    <t>OSTALI NESPOMENUTI FINANCIJSKI RASHODI</t>
  </si>
  <si>
    <t>OSTALI NESPOMENUTI FINANCIJSK IRASHODI</t>
  </si>
  <si>
    <t>RASHODI PROTOKOLA (VIJENCI, CVIJEĆE I SL.)</t>
  </si>
  <si>
    <t xml:space="preserve">NAKNADE ZA ENERGETSKE USLUGE </t>
  </si>
  <si>
    <t>KTA NA PRIMLJENE KREDITE - RCK1</t>
  </si>
  <si>
    <t>FAZA V - pomoćnik</t>
  </si>
  <si>
    <t>Izvor 46071</t>
  </si>
  <si>
    <t>Izvor 41051</t>
  </si>
  <si>
    <t>Izvor 11 - PRORAČUNSKI</t>
  </si>
  <si>
    <t>FAZA V - pomoćnik (46071+41051)</t>
  </si>
  <si>
    <t>kredit</t>
  </si>
  <si>
    <t>kredit ukupno</t>
  </si>
  <si>
    <t>plan (46071+41051+11)</t>
  </si>
  <si>
    <t>PLAN FAZA V - pomoćnik (46071+41051)</t>
  </si>
  <si>
    <t>NEMATERIJALNA IMOVINA</t>
  </si>
  <si>
    <t>NEMATERIJALNA IMOVINA - LICENCE</t>
  </si>
  <si>
    <t>4121…</t>
  </si>
  <si>
    <t>KAMATE NA PRIMLJENE KREDITE</t>
  </si>
  <si>
    <t>TELEFONI I OSTALI KOMUNIKACIJSKI UREĐAJI</t>
  </si>
  <si>
    <t>kredit RCK1</t>
  </si>
  <si>
    <t xml:space="preserve">   UKUPNO</t>
  </si>
  <si>
    <t>2023.</t>
  </si>
  <si>
    <t>2023/2022.</t>
  </si>
  <si>
    <t>PRIH.NADLEŽNOG PROR.ZA FIN.IZD.ZA FIN.IM.I OTPLATU ZAJMOVA</t>
  </si>
  <si>
    <t>INDEKS - 411</t>
  </si>
  <si>
    <t>INDEKS  - 122</t>
  </si>
  <si>
    <t>INDEKS - RCK 1 "11"</t>
  </si>
  <si>
    <t>INDEKS 14+15+11</t>
  </si>
  <si>
    <t>INDEKS - RCK1 "411+46601"</t>
  </si>
  <si>
    <t>INDEKS - RCK2 "411+466"</t>
  </si>
  <si>
    <t>INDEKS - ERASMUS</t>
  </si>
  <si>
    <t>INDEKS - VL.22</t>
  </si>
  <si>
    <t>INDEKS - 511</t>
  </si>
  <si>
    <t>ERASMUS +  PODRUČJE MLADIH, IZVOR  466 UČIM OD DRUGIH…</t>
  </si>
  <si>
    <t>OSTALE TEKUĆE DONACIJE</t>
  </si>
  <si>
    <t>OSTALI RASHODI ZA SL.PUTOVANJA</t>
  </si>
  <si>
    <t>OSTALI INSTRUMENTI, UREĐAJI I STROJEVI</t>
  </si>
  <si>
    <t>IZVJEŠTAJ O IZVRŠENJU FINANCIJSKOG PLANA ZA I - XII 2023.</t>
  </si>
  <si>
    <t>I-XII 2022.</t>
  </si>
  <si>
    <t>I - XII 2023.</t>
  </si>
  <si>
    <t>IZVJEŠTAJ O OSTVARENJU FINANCIJSKOG PLANA ZA I - XII 2023</t>
  </si>
  <si>
    <t>U Bjelovaru, 30.01.2024.</t>
  </si>
  <si>
    <t>I. OPĆI DIO</t>
  </si>
  <si>
    <t>SAŽETAK  RAČUNA PRIHODA I RASHODA I RAČUNA FINANCIRANJA</t>
  </si>
  <si>
    <t>SAŽETAK RAČUNA PRIHODA I RASHODA</t>
  </si>
  <si>
    <t>BROJČANA OZNAKA I NAZIV</t>
  </si>
  <si>
    <t>IZVORNI PLAN ILI REBALANS 2023.*</t>
  </si>
  <si>
    <t>TEKUĆI PLAN 2023.*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</si>
  <si>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</si>
  <si>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</si>
  <si>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</si>
  <si>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</si>
  <si>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</si>
  <si>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</si>
  <si>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</si>
  <si>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</si>
  <si>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</si>
  <si>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</si>
  <si>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</si>
  <si>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</si>
  <si>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</si>
  <si>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</si>
  <si>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</si>
  <si>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</si>
  <si>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</si>
  <si>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</si>
  <si>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>Napomena:  Iznosi u stupcu "OSTVARENJE/IZVRŠENJE 1.-6.2022." preračunavaju se iz kuna u eure prema fiksnom tečaju konverzije (1 EUR=7,53450 kuna) i po pravilima za preračunavanje i zaokruživanje.</t>
  </si>
  <si>
    <t>Napomena : Iznosi u stupcima "OSTVARENJE/IZVRŠENJE 1.-6.2022." i "OSTVARENJE/IZVRŠENJE 1.-6. 2023." iskazuju se na dvije decimale.</t>
  </si>
  <si>
    <t xml:space="preserve">*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polugodišnjeg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</si>
  <si>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polugodišnjeg izvještaja ne sadrži "TEKUĆI PLAN 2023.", "INDEKS"("OSTVARENJE/IZVRŠENJE 1.-6.2023."/"TEKUĆI PLAN 2023.") iskazuje se kao "OSTVARENJE/IZVRŠENJE 1.-6.2023."/"IZVORNI PLAN 2023." ODNOSNO "REBALANS 2023." </t>
  </si>
  <si>
    <t xml:space="preserve"> RAČUN PRIHODA I RASHODA </t>
  </si>
  <si>
    <t xml:space="preserve">IZVJEŠTAJ O PRIHODIMA I RASHODIMA PREMA EKONOMSKOJ KLASIFIKACIJI </t>
  </si>
  <si>
    <t>UKUPNO PRIHODI</t>
  </si>
  <si>
    <t>Prihodi poslovanja</t>
  </si>
  <si>
    <t>Pomoći iz inozemstva i od subjekata unutar općeg proračuna</t>
  </si>
  <si>
    <t>…</t>
  </si>
  <si>
    <t xml:space="preserve"> Prihodi od prodaje proizvoda i robe te pruženih usluga i prihodi od donacija</t>
  </si>
  <si>
    <t>….</t>
  </si>
  <si>
    <t>UKUPNO RASHODI</t>
  </si>
  <si>
    <t>Rashodi poslovanja</t>
  </si>
  <si>
    <t>Rashodi za nabavu nefinancijske imovine</t>
  </si>
  <si>
    <t>Rashodi za nabavu neproizvedene dugotrajne imovine</t>
  </si>
  <si>
    <t>IZVJEŠTAJ O PRIHODIMA I RASHODIMA PREMA IZVORIMA FINANCIRANJA</t>
  </si>
  <si>
    <t xml:space="preserve">UKUPNO PRIHODI </t>
  </si>
  <si>
    <t>1 Opći prihodi i primici</t>
  </si>
  <si>
    <t>IZVJEŠTAJ O RASHODIMA PREMA FUNKCIJSKOJ KLASIFIKACIJI</t>
  </si>
  <si>
    <t xml:space="preserve"> RAČUN FINANCIRANJA</t>
  </si>
  <si>
    <t xml:space="preserve">IZVJEŠTAJ RAČUNA FINANCIRANJA PREMA EKONOMSKOJ KLASIFIKACIJI </t>
  </si>
  <si>
    <t>Primici od financijske imovine i zaduživanja</t>
  </si>
  <si>
    <t>Primici od zaduživanja</t>
  </si>
  <si>
    <t>Izdaci za financijsku imovinu i otplate zajmova</t>
  </si>
  <si>
    <t>Izdaci za otplatu glavnice primljenih kredita i zajmova</t>
  </si>
  <si>
    <t>IZVJEŠTAJ RAČUNA FINANCIRANJA PREMA IZVORIMA FINANCIRANJA</t>
  </si>
  <si>
    <t>UKUPNO PRIMICI</t>
  </si>
  <si>
    <t>II. POSEBNI DIO</t>
  </si>
  <si>
    <t>IZVJEŠTAJ PO PROGRAMSKOJ KLASIFIKACIJI</t>
  </si>
  <si>
    <t>5=4/3*100</t>
  </si>
  <si>
    <t>IZVRŠENJE FINANCIJSKOG PLANA PRORAČUNSKOG KORISNIKA DRŽAVNOG PRORAČUNA
ZA 2023. GODINE</t>
  </si>
  <si>
    <t>OSTVARENJE/IZVRŠENJE 
1.-12.2022.</t>
  </si>
  <si>
    <t xml:space="preserve">OSTVARENJE/IZVRŠENJE 
1.-12.2023. </t>
  </si>
  <si>
    <t xml:space="preserve">OSTVARENJE/IZVRŠENJE 
1.-12.2022. </t>
  </si>
  <si>
    <t xml:space="preserve">OSTVARENJE/ IZVRŠENJE 
1.-12.2022. </t>
  </si>
  <si>
    <t xml:space="preserve">OSTVARENJE/ IZVRŠENJE 
1.-12.2023. </t>
  </si>
  <si>
    <t xml:space="preserve"> IZVRŠENJE 
1.-12.2022. </t>
  </si>
  <si>
    <t xml:space="preserve"> IZVRŠENJE 
1.-12.2023. </t>
  </si>
  <si>
    <t>Drž.proračun - IZVOR  411 - 2022</t>
  </si>
  <si>
    <t>411  - RCK 1 (dogradnja) - 2022</t>
  </si>
  <si>
    <t>411  - RCK 2 (usppostava) - 2022</t>
  </si>
  <si>
    <t>RCK 1 -IZVOR 46601 - 2022</t>
  </si>
  <si>
    <t>RCK 2 -IZVOR 466 - 2022</t>
  </si>
  <si>
    <t>ERASMUS +  2022</t>
  </si>
  <si>
    <t>IZVOR  122  DEC  - 2022</t>
  </si>
  <si>
    <t>IZVOR  11 - RCK 1 - 2022</t>
  </si>
  <si>
    <t>OSTALO - 14 IZVOR (e tehničar) - 2022</t>
  </si>
  <si>
    <t>OSTALO- 15 IZVOR - 2022</t>
  </si>
  <si>
    <t xml:space="preserve"> VLASTITI -  IZVOR 22 - 2022</t>
  </si>
  <si>
    <t>DONACIJE 511 - IZVOR 511 - 2022</t>
  </si>
  <si>
    <t>2022 (46071+41051+11)</t>
  </si>
  <si>
    <t>DONACIJE -  2022</t>
  </si>
  <si>
    <t>VLASTITI  (IZVOR 22) - 2022</t>
  </si>
  <si>
    <t>ERASMUS - 2022</t>
  </si>
  <si>
    <t>RCK-2  (411+466) - 2022</t>
  </si>
  <si>
    <t xml:space="preserve"> FAZA V - pomoćnik (46071+41051) - 2022</t>
  </si>
  <si>
    <t>RCK-1 (411+46601) - 2022</t>
  </si>
  <si>
    <t>OSTALO  (IZVOR 14 + 15 + 11 civ.zašt.) - 2022</t>
  </si>
  <si>
    <t>RCK-1 (11) - 2022</t>
  </si>
  <si>
    <t>DEC + hitne   (122) - 2022</t>
  </si>
  <si>
    <t>RIZNICA  (411) - 2022</t>
  </si>
  <si>
    <t>PLAN - IZVOR 11 - osig.zgrade</t>
  </si>
  <si>
    <t>izvor 11 - osiguranje zgrade</t>
  </si>
  <si>
    <r>
      <t>TEK.POM. PROR.KOR.IZ PROR. JLP(R)S KOJI NIJE NADL.</t>
    </r>
    <r>
      <rPr>
        <sz val="5"/>
        <color theme="1"/>
        <rFont val="Calibri"/>
        <family val="2"/>
        <charset val="238"/>
        <scheme val="minor"/>
      </rPr>
      <t>(gradski pror.)</t>
    </r>
  </si>
  <si>
    <t>ukupno 2022</t>
  </si>
  <si>
    <t>NAKNADE TROŠKOVA SLUŽBENOG PUTA I OSTALI TROŠKOVI</t>
  </si>
  <si>
    <t xml:space="preserve">KTA NA PRIMLJENE KREDITE </t>
  </si>
  <si>
    <t xml:space="preserve">KNJIGE   </t>
  </si>
  <si>
    <t>11 Opći prihodi i primici ( izvor 11)</t>
  </si>
  <si>
    <t>12 Porez na dohodak - decentralizacija (izvor 122)</t>
  </si>
  <si>
    <t>15 Administrativne (upravne) pristojbe (izvor 15)</t>
  </si>
  <si>
    <t>14 Prihodi od nefinancijske imovine (izvor 14)</t>
  </si>
  <si>
    <t>2 Vlastiti prihodi</t>
  </si>
  <si>
    <t>22 Ostali i vlastiti prihodi proračunskih korisnika (izvor 22)</t>
  </si>
  <si>
    <t>4 Pomoći</t>
  </si>
  <si>
    <t>41 Pomoći iz riznice i ministarstva</t>
  </si>
  <si>
    <t xml:space="preserve">  4105 Pomoći u nastavi faza</t>
  </si>
  <si>
    <t>41051 Pomoći "Pomoćnici u nastavi faza V"</t>
  </si>
  <si>
    <t xml:space="preserve">  411 Pomoći - korisnici (dr.pr.411)</t>
  </si>
  <si>
    <t xml:space="preserve">  46 Pomoći temeljem prijenosa sredstava EU</t>
  </si>
  <si>
    <t>4607 Pomoćnici u nastavi</t>
  </si>
  <si>
    <t>46071 EU sredstva "Pomoćnici u nastavi faza V"</t>
  </si>
  <si>
    <t>466 Pomoći temeljem prijenosa EU sredstava - korisnici (RCK2 + Erasmusi)</t>
  </si>
  <si>
    <t>46601 Dogradnja RCK Medicinske škole Bjelovar - RCK1</t>
  </si>
  <si>
    <t>5 Donacije</t>
  </si>
  <si>
    <t>511 Tekuće donacije</t>
  </si>
  <si>
    <t>7 Namjenski primici od zaduživanja</t>
  </si>
  <si>
    <t>71 Primljeni krediti i zajmovi</t>
  </si>
  <si>
    <t>711 Primljeni krediti i zajmovi - korisnici (RCK1 + zajam RCK2)</t>
  </si>
  <si>
    <t xml:space="preserve">  411 Pomoći - korisnici ( RCK1 - 411)</t>
  </si>
  <si>
    <t xml:space="preserve">  411 Pomoći - korisnici (dr.pr.411 + RCK1 + RCK2)</t>
  </si>
  <si>
    <t xml:space="preserve">  411 Pomoći - korisnici ( RCK2 - 411)</t>
  </si>
  <si>
    <t>466 Pomoći temeljem prijenosa EU sredstava - korisnici (RCK2)</t>
  </si>
  <si>
    <t>466 Pomoći temeljem prijenosa EU sredstava - korisnici  (Erasmus + "UČIM OD DRUGIH DIJELIM ZNANJE DRUGIMA")</t>
  </si>
  <si>
    <t>466 Pomoći temeljem prijenosa EU sredstava - korisnici  (Erasmus + "WHAT IS ALL THE FUSS WITH SOCIAL MEDIA"</t>
  </si>
  <si>
    <t>466 Pomoći temeljem prijenosa EU sredstava - korisnici  (Erasmus + "SUVREMENE MEDICINSKE VJEŠTINE"</t>
  </si>
  <si>
    <t xml:space="preserve">   122 Prihodi za decentralizirane funkcije - SŠ (122 izvor)</t>
  </si>
  <si>
    <t xml:space="preserve">   11 Osiguranje školskih zgrada (izvor 11)</t>
  </si>
  <si>
    <t xml:space="preserve">   11 Dogradnja RCK MŠ BJ - RCK1</t>
  </si>
  <si>
    <t xml:space="preserve">   11 Pomoćnici u nastavi "uz potporu sve je moguće - faza V"</t>
  </si>
  <si>
    <t>466 Pomoći temeljem prijenosa EU sredstava - korisnici  (Erasmus + iz 2021)</t>
  </si>
  <si>
    <t>46 Pomoći temeljem prijenosa sredstava EU</t>
  </si>
  <si>
    <t>4 Pomoći - pomoćnici u nastavi</t>
  </si>
  <si>
    <t>Drž.proračun - IZVOR  411 - izvršenje 2023</t>
  </si>
  <si>
    <t>411  - RCK 1 (dogradnja) - izvršenje 2023</t>
  </si>
  <si>
    <t>411  - RCK 2 (usppostava) - izvršenje 2023</t>
  </si>
  <si>
    <t>RCK 1 -IZVOR 46601 - izvršenje 2023</t>
  </si>
  <si>
    <t>342221+342331</t>
  </si>
  <si>
    <t>OPREMA ZA ODRŽAVNJE PROSTORIJA</t>
  </si>
  <si>
    <t>primljeni zajmovi od županijskihproračuna</t>
  </si>
  <si>
    <t>kredit 711</t>
  </si>
  <si>
    <t>kredit 711 - plan</t>
  </si>
  <si>
    <t>kredit - 711 - izvršenje</t>
  </si>
  <si>
    <t>OSTALO (IZVOR 14 + 15 + 11 civ.zašt., pomoćnik u nastavi, osiguranje zgrade)</t>
  </si>
  <si>
    <t>ok</t>
  </si>
  <si>
    <t>RAZLIKA JE 711</t>
  </si>
  <si>
    <t>0922 više srednjoškolsko obrazovanje</t>
  </si>
  <si>
    <t>0960 dodatne usluge u obrazovanju</t>
  </si>
  <si>
    <t>0912 osnovno obrazovanje</t>
  </si>
  <si>
    <t>Primljeni krediti i zajmovi od kreditnih i ostalih institucija izvan javnog sektora</t>
  </si>
  <si>
    <t>Primljeni krediti od tuzemnih kreditnih institucija izvan javnog sektora - dugoročni</t>
  </si>
  <si>
    <t>Primljeni zajmovi od drugih razina vlasti</t>
  </si>
  <si>
    <t>Primljeni zajmovi od županijskih proračuna</t>
  </si>
  <si>
    <t>Otplata glavnice primljenih kredita i zajmova od kreditnih i ostalih financijskih institucija</t>
  </si>
  <si>
    <t>122 Prihodi za decentralizirane funkcije - SŠ (122 izvor)</t>
  </si>
  <si>
    <t>411 Pomoći - korisnici</t>
  </si>
  <si>
    <t>51 Donacije</t>
  </si>
  <si>
    <t>511 Donacije - korisnici</t>
  </si>
  <si>
    <t>A000283</t>
  </si>
  <si>
    <t>REDOVNA DJELATNOST SŠ - VS KORISNIKA</t>
  </si>
  <si>
    <t>OSTALI I VLASTITI PRIHODI PRORAČUNSKIH KORISNIKA</t>
  </si>
  <si>
    <t>POMOĆI</t>
  </si>
  <si>
    <t>POMOĆI IZ RIZNICE I MINISTARSTVA - pomoći korisnici</t>
  </si>
  <si>
    <t>DONACIJE</t>
  </si>
  <si>
    <t>Donacije - korisnici</t>
  </si>
  <si>
    <t>A000204</t>
  </si>
  <si>
    <t>SREDNJOŠKOLSKO OBRAZOVANJE - DECENTRALIZACIJA (redovna djelatnost  SŠ -dec)</t>
  </si>
  <si>
    <t>A000292</t>
  </si>
  <si>
    <t>INVESTICIJSKO I TEKUĆE ODRŽAVANJE U SŠ - dec</t>
  </si>
  <si>
    <t>Prihodi za decentralizirane funkcije - SŠ</t>
  </si>
  <si>
    <t>A000075</t>
  </si>
  <si>
    <t>SREDNJOŠKOLSKO OBRAZOVANJE - IZNAD STANDARDA - županijska natjecanja SŠ</t>
  </si>
  <si>
    <t>Administrativne (upravne) pristojbe</t>
  </si>
  <si>
    <t>A000300</t>
  </si>
  <si>
    <t xml:space="preserve">SUFINANCIRANJE E-TEHNIČARA U SŠ </t>
  </si>
  <si>
    <t>Prihodi od nefinancijske imovine</t>
  </si>
  <si>
    <t>A000301</t>
  </si>
  <si>
    <t>OSIGURANJE ŠKOLSKIH ZGRADA SŠ</t>
  </si>
  <si>
    <t>Opći prihodi i primici</t>
  </si>
  <si>
    <t>K000111</t>
  </si>
  <si>
    <t>DOGRADNJA RCK MEDICINSKE ŠKOLE BJELOVAR</t>
  </si>
  <si>
    <t>Pomoći temeljem prijenosa sredstava EU - DOGRADNJA RCK1 MŠ BJ</t>
  </si>
  <si>
    <t>K000128</t>
  </si>
  <si>
    <t>USPOSTAVA RCK MŠ BJ - RCK2</t>
  </si>
  <si>
    <t>Pomoći temeljem prijenosa sredstava EU - USPOSTAVA RCK2</t>
  </si>
  <si>
    <t>T000160</t>
  </si>
  <si>
    <t>ERASMUS + "UČIM OD DRUGIH DIJELIM ZNANJE DRUGIMA"</t>
  </si>
  <si>
    <t>Pomoći temeljem prijenosa EU sredstava - korisnici</t>
  </si>
  <si>
    <t>T000174</t>
  </si>
  <si>
    <t>ERASMUS + "WHAT IS ALL TEH FUSS WITH SOCIAL MEDIA"</t>
  </si>
  <si>
    <t>T000175</t>
  </si>
  <si>
    <t>ERASMUS + "SUVREMENE MEDICINSKE VJEŠTINE"</t>
  </si>
  <si>
    <t>RCK 2 -IZVOR 466 - izvršenje 2023</t>
  </si>
  <si>
    <r>
      <t>ERASMUS +</t>
    </r>
    <r>
      <rPr>
        <b/>
        <strike/>
        <sz val="7"/>
        <color theme="1"/>
        <rFont val="Arial"/>
        <family val="2"/>
        <charset val="238"/>
      </rPr>
      <t xml:space="preserve">  </t>
    </r>
    <r>
      <rPr>
        <b/>
        <sz val="7"/>
        <color theme="1"/>
        <rFont val="Arial"/>
        <family val="2"/>
        <charset val="238"/>
      </rPr>
      <t>(NOVI ERASMUS)</t>
    </r>
  </si>
  <si>
    <t>ERASMUS +  PODRUČJE MLADIH, IZVOR  466 UČIM OD DRUGIH… - izvršenje 2023</t>
  </si>
  <si>
    <r>
      <t>ERASMUS +</t>
    </r>
    <r>
      <rPr>
        <b/>
        <strike/>
        <sz val="7"/>
        <color theme="1"/>
        <rFont val="Arial"/>
        <family val="2"/>
        <charset val="238"/>
      </rPr>
      <t xml:space="preserve">  </t>
    </r>
    <r>
      <rPr>
        <b/>
        <sz val="7"/>
        <color theme="1"/>
        <rFont val="Arial"/>
        <family val="2"/>
        <charset val="238"/>
      </rPr>
      <t>(NOVI ERASMUS) -- izvršenje 2023  (S.Č. i M.A.)</t>
    </r>
  </si>
  <si>
    <t>IZVOR  122  DEC  - izvršenje 2023</t>
  </si>
  <si>
    <t>IZVOR  11 - RCK 1 - izvršenje 2023</t>
  </si>
  <si>
    <t>izvor 11 - osiguranje zgrade - izvršenje 2023</t>
  </si>
  <si>
    <t>Shema ŠK.VOĆE - IZVOR 41 - izvršenje 2023</t>
  </si>
  <si>
    <t>Shema ŠK.VOĆE - IZVOR 4602 - izvršenje 2023</t>
  </si>
  <si>
    <t>OSTALO - 14 IZVOR (e tehničar) - izvršenje 2023</t>
  </si>
  <si>
    <t>OSTALO- 15 IZVOR - natjecanja - izvršenje 2023</t>
  </si>
  <si>
    <t xml:space="preserve"> VLASTITI -  IZVOR 22 - izvršenje 2023</t>
  </si>
  <si>
    <t>DONACIJE  - IZVOR 511  - izvršenje 2023</t>
  </si>
  <si>
    <t>Izvor 46071 - izvršenje 2023</t>
  </si>
  <si>
    <t>Izvor 41051 - izvršenje 2023</t>
  </si>
  <si>
    <t>Izvor 11 - PRORAČUNSKI - izvršenje 2023</t>
  </si>
  <si>
    <t>kredit - 711 - izvršenje 2023</t>
  </si>
  <si>
    <t>PRIHODI   UKUPNO</t>
  </si>
  <si>
    <t>UKUPNO IZDACI</t>
  </si>
  <si>
    <t>DNEVNICE, NAKNADE ZA SMJEŠTAJ, NAK.ZA PRIJEVOZ NA SL.PUTOVANJU…</t>
  </si>
  <si>
    <t>MATERIJALNI RASHODI</t>
  </si>
  <si>
    <t>DOPRINOSI ZA ZDRAVSTVENO OSIGURANJE</t>
  </si>
  <si>
    <t>NAGRADE, DAROVI, OTPREMNINE…..</t>
  </si>
  <si>
    <t>OSTALI RASHODI ZA ZAPSOLENE</t>
  </si>
  <si>
    <t>PLAĆE ZA REDOVAN RAD</t>
  </si>
  <si>
    <t>PLAĆE (BRUTO)</t>
  </si>
  <si>
    <t>FINANCIJSK IRASHODI</t>
  </si>
  <si>
    <t>SUBVENCIJE</t>
  </si>
  <si>
    <t>POMOĆI DANE U INOZEMSTVO I UNUTAR OPĆEG PRORAČUNA</t>
  </si>
  <si>
    <t>OSTALI RASHODI</t>
  </si>
  <si>
    <t>RASHODI ZA NABAVU PROIZVEDENE DUGOTRAJNE IMOVINE</t>
  </si>
  <si>
    <t>PRIHODI OD IMOVINE</t>
  </si>
  <si>
    <t>PRIHODI IZ NADLEŽNOG PORAČUNA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</si>
</sst>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k_n_-;\-* #,##0.00\ _k_n_-;_-* &quot;-&quot;??\ _k_n_-;_-@_-"/>
    <numFmt numFmtId="164" formatCode="_-* #,##0\ _k_n_-;\-* #,##0\ _k_n_-;_-* &quot;-&quot;??\ _k_n_-;_-@_-"/>
  </numFmts>
  <fonts count="8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4" tint="-0.249977111117893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theme="1"/>
      <name val="Calibri"/>
      <family val="2"/>
      <charset val="238"/>
    </font>
    <font>
      <sz val="9"/>
      <color theme="4" tint="-0.249977111117893"/>
      <name val="Arial"/>
      <family val="2"/>
      <charset val="238"/>
    </font>
    <font>
      <sz val="9"/>
      <color theme="3" tint="0.39997558519241921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7"/>
      <color theme="1"/>
      <name val="Arial"/>
      <family val="2"/>
      <charset val="238"/>
    </font>
    <font>
      <b/>
      <sz val="7"/>
      <color theme="1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b/>
      <sz val="7"/>
      <color theme="1"/>
      <name val="Calibri"/>
      <family val="2"/>
      <charset val="238"/>
    </font>
    <font>
      <b/>
      <sz val="7"/>
      <color theme="1"/>
      <name val="Arial"/>
      <family val="2"/>
      <charset val="238"/>
    </font>
    <font>
      <sz val="7"/>
      <color rgb="FFFF0000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7"/>
      <color rgb="FFFF0000"/>
      <name val="Calibri"/>
      <family val="2"/>
      <charset val="238"/>
      <scheme val="minor"/>
    </font>
    <font>
      <b/>
      <sz val="7"/>
      <color rgb="FFFF0000"/>
      <name val="Calibri"/>
      <family val="2"/>
      <charset val="238"/>
    </font>
    <font>
      <b/>
      <sz val="7"/>
      <color rgb="FFFF0000"/>
      <name val="Arial"/>
      <family val="2"/>
      <charset val="238"/>
    </font>
    <font>
      <b/>
      <u/>
      <sz val="8"/>
      <color theme="1"/>
      <name val="Calibri"/>
      <family val="2"/>
      <charset val="238"/>
      <scheme val="minor"/>
    </font>
    <font>
      <sz val="7"/>
      <name val="Arial"/>
      <family val="2"/>
      <charset val="238"/>
    </font>
    <font>
      <sz val="7.5"/>
      <color theme="1"/>
      <name val="Arial"/>
      <family val="2"/>
      <charset val="238"/>
    </font>
    <font>
      <b/>
      <sz val="7"/>
      <name val="Calibri"/>
      <family val="2"/>
      <charset val="238"/>
    </font>
    <font>
      <b/>
      <sz val="7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14"/>
      <color indexed="8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Times New Roman"/>
      <family val="1"/>
    </font>
    <font>
      <i/>
      <sz val="10"/>
      <name val="Arial"/>
      <family val="2"/>
      <charset val="238"/>
    </font>
    <font>
      <b/>
      <sz val="11"/>
      <name val="Times New Roman"/>
      <family val="1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5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i/>
      <sz val="10"/>
      <name val="Arial"/>
      <family val="2"/>
      <charset val="238"/>
    </font>
    <font>
      <b/>
      <i/>
      <sz val="1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i/>
      <sz val="8"/>
      <color theme="1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i/>
      <u/>
      <sz val="8"/>
      <color theme="1"/>
      <name val="Calibri"/>
      <family val="2"/>
      <charset val="238"/>
      <scheme val="minor"/>
    </font>
    <font>
      <b/>
      <strike/>
      <sz val="7"/>
      <color theme="1"/>
      <name val="Arial"/>
      <family val="2"/>
      <charset val="238"/>
    </font>
    <font>
      <b/>
      <sz val="8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i/>
      <sz val="8"/>
      <color theme="3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sz val="8"/>
      <color theme="9" tint="-0.499984740745262"/>
      <name val="Calibri"/>
      <family val="2"/>
      <charset val="238"/>
      <scheme val="minor"/>
    </font>
    <font>
      <b/>
      <i/>
      <sz val="8"/>
      <color theme="9" tint="-0.499984740745262"/>
      <name val="Calibri"/>
      <family val="2"/>
      <charset val="238"/>
      <scheme val="minor"/>
    </font>
    <font>
      <b/>
      <sz val="9"/>
      <color theme="9" tint="-0.499984740745262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33CCFF"/>
        <bgColor indexed="64"/>
      </patternFill>
    </fill>
  </fills>
  <borders count="1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9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43" fontId="2" fillId="0" borderId="0" xfId="1" applyFont="1"/>
    <xf numFmtId="43" fontId="2" fillId="0" borderId="2" xfId="1" applyFont="1" applyBorder="1"/>
    <xf numFmtId="43" fontId="2" fillId="0" borderId="1" xfId="1" applyFont="1" applyBorder="1"/>
    <xf numFmtId="0" fontId="0" fillId="0" borderId="0" xfId="0" applyFont="1"/>
    <xf numFmtId="164" fontId="2" fillId="0" borderId="0" xfId="1" applyNumberFormat="1" applyFont="1"/>
    <xf numFmtId="43" fontId="8" fillId="0" borderId="1" xfId="1" applyFont="1" applyBorder="1"/>
    <xf numFmtId="0" fontId="10" fillId="0" borderId="0" xfId="0" applyFont="1"/>
    <xf numFmtId="43" fontId="8" fillId="0" borderId="2" xfId="1" applyFont="1" applyBorder="1"/>
    <xf numFmtId="43" fontId="2" fillId="0" borderId="0" xfId="1" applyFont="1" applyFill="1"/>
    <xf numFmtId="43" fontId="5" fillId="0" borderId="0" xfId="1" applyFont="1" applyFill="1" applyAlignment="1">
      <alignment horizontal="center"/>
    </xf>
    <xf numFmtId="43" fontId="2" fillId="0" borderId="1" xfId="1" applyFont="1" applyFill="1" applyBorder="1"/>
    <xf numFmtId="43" fontId="2" fillId="0" borderId="2" xfId="1" applyFont="1" applyFill="1" applyBorder="1"/>
    <xf numFmtId="0" fontId="5" fillId="0" borderId="8" xfId="0" applyFont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4" fontId="2" fillId="0" borderId="0" xfId="1" applyNumberFormat="1" applyFont="1" applyFill="1"/>
    <xf numFmtId="0" fontId="0" fillId="0" borderId="0" xfId="0" applyFill="1"/>
    <xf numFmtId="0" fontId="0" fillId="0" borderId="0" xfId="0" applyFill="1" applyBorder="1"/>
    <xf numFmtId="0" fontId="1" fillId="0" borderId="0" xfId="0" applyFont="1" applyFill="1"/>
    <xf numFmtId="0" fontId="0" fillId="0" borderId="0" xfId="0" applyFill="1" applyAlignment="1"/>
    <xf numFmtId="0" fontId="2" fillId="0" borderId="0" xfId="0" applyFont="1" applyFill="1" applyAlignment="1"/>
    <xf numFmtId="0" fontId="1" fillId="0" borderId="0" xfId="0" applyFont="1" applyFill="1" applyAlignment="1"/>
    <xf numFmtId="0" fontId="0" fillId="0" borderId="0" xfId="0" applyAlignment="1">
      <alignment vertical="center"/>
    </xf>
    <xf numFmtId="0" fontId="5" fillId="0" borderId="3" xfId="0" applyFont="1" applyFill="1" applyBorder="1"/>
    <xf numFmtId="0" fontId="5" fillId="0" borderId="5" xfId="0" applyFont="1" applyFill="1" applyBorder="1"/>
    <xf numFmtId="0" fontId="0" fillId="0" borderId="0" xfId="0" applyAlignment="1">
      <alignment horizontal="center" vertical="center" wrapText="1"/>
    </xf>
    <xf numFmtId="43" fontId="20" fillId="0" borderId="0" xfId="1" applyFont="1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43" fontId="20" fillId="0" borderId="0" xfId="1" applyFont="1" applyFill="1" applyBorder="1" applyAlignment="1">
      <alignment horizontal="right"/>
    </xf>
    <xf numFmtId="43" fontId="20" fillId="0" borderId="0" xfId="0" applyNumberFormat="1" applyFont="1" applyFill="1" applyBorder="1" applyAlignment="1">
      <alignment horizontal="right"/>
    </xf>
    <xf numFmtId="0" fontId="1" fillId="0" borderId="14" xfId="0" applyFont="1" applyFill="1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0" fontId="0" fillId="0" borderId="0" xfId="0" applyFont="1" applyBorder="1"/>
    <xf numFmtId="0" fontId="10" fillId="0" borderId="0" xfId="0" applyFont="1" applyBorder="1"/>
    <xf numFmtId="0" fontId="1" fillId="0" borderId="0" xfId="0" applyFont="1" applyFill="1" applyBorder="1"/>
    <xf numFmtId="0" fontId="5" fillId="0" borderId="11" xfId="0" applyFont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42" xfId="0" applyFont="1" applyFill="1" applyBorder="1"/>
    <xf numFmtId="0" fontId="20" fillId="0" borderId="15" xfId="0" applyFont="1" applyFill="1" applyBorder="1" applyAlignment="1">
      <alignment horizontal="right"/>
    </xf>
    <xf numFmtId="0" fontId="5" fillId="0" borderId="0" xfId="0" applyFont="1" applyFill="1"/>
    <xf numFmtId="0" fontId="5" fillId="4" borderId="6" xfId="0" applyFont="1" applyFill="1" applyBorder="1"/>
    <xf numFmtId="0" fontId="5" fillId="4" borderId="53" xfId="0" applyFont="1" applyFill="1" applyBorder="1"/>
    <xf numFmtId="0" fontId="5" fillId="5" borderId="53" xfId="0" applyFont="1" applyFill="1" applyBorder="1"/>
    <xf numFmtId="0" fontId="5" fillId="5" borderId="6" xfId="0" applyFont="1" applyFill="1" applyBorder="1"/>
    <xf numFmtId="0" fontId="5" fillId="3" borderId="53" xfId="0" applyFont="1" applyFill="1" applyBorder="1"/>
    <xf numFmtId="0" fontId="5" fillId="3" borderId="6" xfId="0" applyFont="1" applyFill="1" applyBorder="1"/>
    <xf numFmtId="0" fontId="5" fillId="3" borderId="20" xfId="0" applyFont="1" applyFill="1" applyBorder="1"/>
    <xf numFmtId="0" fontId="5" fillId="0" borderId="0" xfId="0" applyFont="1"/>
    <xf numFmtId="0" fontId="18" fillId="4" borderId="53" xfId="0" applyFont="1" applyFill="1" applyBorder="1"/>
    <xf numFmtId="0" fontId="18" fillId="4" borderId="6" xfId="0" applyFont="1" applyFill="1" applyBorder="1"/>
    <xf numFmtId="0" fontId="18" fillId="3" borderId="20" xfId="0" applyFont="1" applyFill="1" applyBorder="1"/>
    <xf numFmtId="0" fontId="5" fillId="0" borderId="31" xfId="0" applyFont="1" applyBorder="1" applyAlignment="1">
      <alignment horizontal="center"/>
    </xf>
    <xf numFmtId="43" fontId="3" fillId="0" borderId="7" xfId="1" applyFont="1" applyBorder="1"/>
    <xf numFmtId="43" fontId="8" fillId="0" borderId="7" xfId="1" applyFont="1" applyBorder="1"/>
    <xf numFmtId="0" fontId="18" fillId="0" borderId="55" xfId="0" applyFont="1" applyBorder="1" applyAlignment="1">
      <alignment horizontal="center"/>
    </xf>
    <xf numFmtId="43" fontId="3" fillId="0" borderId="57" xfId="1" applyFont="1" applyBorder="1"/>
    <xf numFmtId="43" fontId="3" fillId="0" borderId="58" xfId="1" applyFont="1" applyBorder="1"/>
    <xf numFmtId="0" fontId="5" fillId="2" borderId="31" xfId="0" applyFont="1" applyFill="1" applyBorder="1" applyAlignment="1">
      <alignment horizontal="center"/>
    </xf>
    <xf numFmtId="43" fontId="2" fillId="0" borderId="7" xfId="1" applyFont="1" applyBorder="1"/>
    <xf numFmtId="0" fontId="5" fillId="2" borderId="21" xfId="0" applyFont="1" applyFill="1" applyBorder="1" applyAlignment="1">
      <alignment horizontal="center"/>
    </xf>
    <xf numFmtId="43" fontId="2" fillId="0" borderId="50" xfId="1" applyFont="1" applyBorder="1"/>
    <xf numFmtId="43" fontId="8" fillId="0" borderId="50" xfId="1" applyFont="1" applyBorder="1"/>
    <xf numFmtId="0" fontId="5" fillId="2" borderId="19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43" fontId="2" fillId="0" borderId="7" xfId="1" applyFont="1" applyFill="1" applyBorder="1"/>
    <xf numFmtId="0" fontId="18" fillId="0" borderId="55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4" xfId="0" applyFont="1" applyFill="1" applyBorder="1"/>
    <xf numFmtId="43" fontId="11" fillId="0" borderId="7" xfId="1" applyFont="1" applyBorder="1"/>
    <xf numFmtId="0" fontId="18" fillId="0" borderId="56" xfId="0" applyFont="1" applyFill="1" applyBorder="1"/>
    <xf numFmtId="43" fontId="3" fillId="0" borderId="57" xfId="1" applyFont="1" applyFill="1" applyBorder="1"/>
    <xf numFmtId="43" fontId="3" fillId="0" borderId="58" xfId="1" applyFont="1" applyFill="1" applyBorder="1"/>
    <xf numFmtId="43" fontId="11" fillId="0" borderId="50" xfId="1" applyFont="1" applyBorder="1"/>
    <xf numFmtId="0" fontId="5" fillId="0" borderId="41" xfId="0" applyFont="1" applyFill="1" applyBorder="1"/>
    <xf numFmtId="43" fontId="3" fillId="0" borderId="50" xfId="1" applyFont="1" applyBorder="1"/>
    <xf numFmtId="0" fontId="18" fillId="0" borderId="56" xfId="0" applyFont="1" applyFill="1" applyBorder="1" applyAlignment="1">
      <alignment horizontal="left"/>
    </xf>
    <xf numFmtId="43" fontId="13" fillId="0" borderId="57" xfId="1" applyFont="1" applyFill="1" applyBorder="1" applyAlignment="1">
      <alignment horizontal="center"/>
    </xf>
    <xf numFmtId="43" fontId="13" fillId="0" borderId="58" xfId="1" applyFont="1" applyFill="1" applyBorder="1" applyAlignment="1">
      <alignment horizontal="center"/>
    </xf>
    <xf numFmtId="43" fontId="9" fillId="0" borderId="57" xfId="1" applyFont="1" applyFill="1" applyBorder="1"/>
    <xf numFmtId="43" fontId="9" fillId="0" borderId="58" xfId="1" applyFont="1" applyFill="1" applyBorder="1"/>
    <xf numFmtId="43" fontId="15" fillId="0" borderId="50" xfId="1" applyFont="1" applyBorder="1"/>
    <xf numFmtId="4" fontId="18" fillId="0" borderId="41" xfId="0" applyNumberFormat="1" applyFont="1" applyFill="1" applyBorder="1"/>
    <xf numFmtId="43" fontId="6" fillId="0" borderId="2" xfId="1" applyFont="1" applyBorder="1" applyAlignment="1">
      <alignment horizontal="center"/>
    </xf>
    <xf numFmtId="43" fontId="14" fillId="0" borderId="2" xfId="1" applyFont="1" applyBorder="1" applyAlignment="1">
      <alignment horizontal="center"/>
    </xf>
    <xf numFmtId="43" fontId="6" fillId="0" borderId="7" xfId="1" applyFont="1" applyBorder="1" applyAlignment="1">
      <alignment horizontal="center"/>
    </xf>
    <xf numFmtId="43" fontId="16" fillId="0" borderId="7" xfId="1" applyFont="1" applyBorder="1" applyAlignment="1">
      <alignment horizontal="center"/>
    </xf>
    <xf numFmtId="43" fontId="16" fillId="0" borderId="2" xfId="1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5" fillId="4" borderId="59" xfId="0" applyFont="1" applyFill="1" applyBorder="1"/>
    <xf numFmtId="0" fontId="5" fillId="4" borderId="60" xfId="0" applyFont="1" applyFill="1" applyBorder="1"/>
    <xf numFmtId="0" fontId="18" fillId="4" borderId="61" xfId="0" applyFont="1" applyFill="1" applyBorder="1"/>
    <xf numFmtId="0" fontId="18" fillId="4" borderId="62" xfId="0" applyFont="1" applyFill="1" applyBorder="1"/>
    <xf numFmtId="0" fontId="5" fillId="4" borderId="61" xfId="0" applyFont="1" applyFill="1" applyBorder="1"/>
    <xf numFmtId="0" fontId="5" fillId="4" borderId="62" xfId="0" applyFont="1" applyFill="1" applyBorder="1"/>
    <xf numFmtId="0" fontId="5" fillId="3" borderId="34" xfId="0" applyFont="1" applyFill="1" applyBorder="1"/>
    <xf numFmtId="43" fontId="5" fillId="2" borderId="0" xfId="0" applyNumberFormat="1" applyFont="1" applyFill="1" applyBorder="1"/>
    <xf numFmtId="43" fontId="5" fillId="0" borderId="16" xfId="0" applyNumberFormat="1" applyFont="1" applyFill="1" applyBorder="1"/>
    <xf numFmtId="43" fontId="3" fillId="0" borderId="0" xfId="1" applyFont="1" applyFill="1" applyBorder="1"/>
    <xf numFmtId="0" fontId="5" fillId="0" borderId="0" xfId="0" applyFont="1" applyFill="1" applyBorder="1"/>
    <xf numFmtId="43" fontId="27" fillId="0" borderId="0" xfId="1" applyFont="1" applyFill="1" applyBorder="1" applyAlignment="1">
      <alignment wrapText="1"/>
    </xf>
    <xf numFmtId="43" fontId="3" fillId="0" borderId="56" xfId="1" applyFont="1" applyFill="1" applyBorder="1"/>
    <xf numFmtId="43" fontId="13" fillId="0" borderId="56" xfId="1" applyFont="1" applyFill="1" applyBorder="1" applyAlignment="1">
      <alignment horizontal="center"/>
    </xf>
    <xf numFmtId="43" fontId="9" fillId="0" borderId="56" xfId="1" applyFont="1" applyFill="1" applyBorder="1"/>
    <xf numFmtId="43" fontId="3" fillId="0" borderId="63" xfId="1" applyFont="1" applyFill="1" applyBorder="1"/>
    <xf numFmtId="43" fontId="13" fillId="0" borderId="63" xfId="1" applyFont="1" applyFill="1" applyBorder="1" applyAlignment="1">
      <alignment horizontal="center"/>
    </xf>
    <xf numFmtId="43" fontId="9" fillId="0" borderId="63" xfId="1" applyFont="1" applyFill="1" applyBorder="1"/>
    <xf numFmtId="43" fontId="2" fillId="0" borderId="26" xfId="1" applyFont="1" applyFill="1" applyBorder="1"/>
    <xf numFmtId="0" fontId="18" fillId="0" borderId="0" xfId="0" applyFont="1" applyFill="1" applyBorder="1"/>
    <xf numFmtId="43" fontId="2" fillId="0" borderId="12" xfId="1" applyFont="1" applyBorder="1"/>
    <xf numFmtId="43" fontId="2" fillId="0" borderId="49" xfId="1" applyFont="1" applyBorder="1"/>
    <xf numFmtId="43" fontId="2" fillId="0" borderId="12" xfId="1" applyFont="1" applyFill="1" applyBorder="1"/>
    <xf numFmtId="43" fontId="5" fillId="4" borderId="20" xfId="0" applyNumberFormat="1" applyFont="1" applyFill="1" applyBorder="1"/>
    <xf numFmtId="0" fontId="5" fillId="4" borderId="20" xfId="0" applyFont="1" applyFill="1" applyBorder="1"/>
    <xf numFmtId="0" fontId="18" fillId="4" borderId="20" xfId="0" applyFont="1" applyFill="1" applyBorder="1"/>
    <xf numFmtId="43" fontId="5" fillId="4" borderId="34" xfId="0" applyNumberFormat="1" applyFont="1" applyFill="1" applyBorder="1"/>
    <xf numFmtId="43" fontId="5" fillId="4" borderId="62" xfId="0" applyNumberFormat="1" applyFont="1" applyFill="1" applyBorder="1"/>
    <xf numFmtId="0" fontId="1" fillId="0" borderId="13" xfId="0" applyFont="1" applyFill="1" applyBorder="1" applyAlignment="1"/>
    <xf numFmtId="43" fontId="5" fillId="3" borderId="34" xfId="0" applyNumberFormat="1" applyFont="1" applyFill="1" applyBorder="1"/>
    <xf numFmtId="43" fontId="21" fillId="0" borderId="0" xfId="1" applyFont="1" applyFill="1" applyBorder="1" applyAlignment="1">
      <alignment horizontal="center" vertical="center" wrapText="1"/>
    </xf>
    <xf numFmtId="43" fontId="22" fillId="0" borderId="0" xfId="1" applyFont="1" applyFill="1" applyBorder="1" applyAlignment="1">
      <alignment horizontal="right"/>
    </xf>
    <xf numFmtId="43" fontId="23" fillId="0" borderId="0" xfId="1" applyFont="1" applyFill="1" applyBorder="1" applyAlignment="1">
      <alignment horizontal="right"/>
    </xf>
    <xf numFmtId="43" fontId="24" fillId="0" borderId="0" xfId="1" applyFont="1" applyFill="1" applyBorder="1" applyAlignment="1">
      <alignment horizontal="right"/>
    </xf>
    <xf numFmtId="43" fontId="25" fillId="0" borderId="0" xfId="1" applyFont="1" applyFill="1" applyBorder="1" applyAlignment="1">
      <alignment horizontal="right"/>
    </xf>
    <xf numFmtId="43" fontId="22" fillId="0" borderId="16" xfId="1" applyFont="1" applyFill="1" applyBorder="1" applyAlignment="1">
      <alignment horizontal="right"/>
    </xf>
    <xf numFmtId="43" fontId="20" fillId="0" borderId="20" xfId="1" applyFont="1" applyFill="1" applyBorder="1" applyAlignment="1">
      <alignment horizontal="right"/>
    </xf>
    <xf numFmtId="43" fontId="20" fillId="0" borderId="34" xfId="1" applyFont="1" applyFill="1" applyBorder="1" applyAlignment="1">
      <alignment horizontal="right"/>
    </xf>
    <xf numFmtId="43" fontId="20" fillId="0" borderId="29" xfId="0" applyNumberFormat="1" applyFont="1" applyFill="1" applyBorder="1" applyAlignment="1">
      <alignment horizontal="right"/>
    </xf>
    <xf numFmtId="43" fontId="20" fillId="0" borderId="53" xfId="1" applyFont="1" applyFill="1" applyBorder="1" applyAlignment="1">
      <alignment horizontal="right"/>
    </xf>
    <xf numFmtId="43" fontId="22" fillId="0" borderId="53" xfId="1" applyFont="1" applyFill="1" applyBorder="1" applyAlignment="1">
      <alignment horizontal="right"/>
    </xf>
    <xf numFmtId="43" fontId="22" fillId="0" borderId="59" xfId="1" applyFont="1" applyFill="1" applyBorder="1" applyAlignment="1">
      <alignment horizontal="right"/>
    </xf>
    <xf numFmtId="0" fontId="20" fillId="0" borderId="16" xfId="0" applyFont="1" applyFill="1" applyBorder="1" applyAlignment="1">
      <alignment horizontal="right"/>
    </xf>
    <xf numFmtId="43" fontId="20" fillId="0" borderId="61" xfId="1" applyFont="1" applyFill="1" applyBorder="1" applyAlignment="1">
      <alignment horizontal="right"/>
    </xf>
    <xf numFmtId="43" fontId="20" fillId="0" borderId="59" xfId="1" applyFont="1" applyFill="1" applyBorder="1" applyAlignment="1">
      <alignment horizontal="right"/>
    </xf>
    <xf numFmtId="43" fontId="22" fillId="0" borderId="61" xfId="1" applyFont="1" applyFill="1" applyBorder="1" applyAlignment="1">
      <alignment horizontal="right"/>
    </xf>
    <xf numFmtId="43" fontId="20" fillId="0" borderId="71" xfId="0" applyNumberFormat="1" applyFont="1" applyFill="1" applyBorder="1" applyAlignment="1">
      <alignment horizontal="right"/>
    </xf>
    <xf numFmtId="43" fontId="22" fillId="0" borderId="15" xfId="1" applyFont="1" applyFill="1" applyBorder="1" applyAlignment="1">
      <alignment horizontal="right"/>
    </xf>
    <xf numFmtId="43" fontId="20" fillId="0" borderId="69" xfId="1" applyFont="1" applyFill="1" applyBorder="1" applyAlignment="1">
      <alignment horizontal="right"/>
    </xf>
    <xf numFmtId="43" fontId="20" fillId="0" borderId="18" xfId="1" applyFont="1" applyFill="1" applyBorder="1" applyAlignment="1">
      <alignment horizontal="right"/>
    </xf>
    <xf numFmtId="43" fontId="23" fillId="0" borderId="15" xfId="1" applyFont="1" applyFill="1" applyBorder="1" applyAlignment="1">
      <alignment horizontal="right"/>
    </xf>
    <xf numFmtId="43" fontId="21" fillId="0" borderId="59" xfId="1" applyFont="1" applyFill="1" applyBorder="1" applyAlignment="1">
      <alignment horizontal="right"/>
    </xf>
    <xf numFmtId="43" fontId="21" fillId="0" borderId="61" xfId="1" applyFont="1" applyFill="1" applyBorder="1" applyAlignment="1">
      <alignment horizontal="right"/>
    </xf>
    <xf numFmtId="43" fontId="22" fillId="0" borderId="68" xfId="1" applyFont="1" applyFill="1" applyBorder="1" applyAlignment="1">
      <alignment horizontal="right"/>
    </xf>
    <xf numFmtId="43" fontId="22" fillId="0" borderId="48" xfId="1" applyFont="1" applyFill="1" applyBorder="1" applyAlignment="1">
      <alignment horizontal="right"/>
    </xf>
    <xf numFmtId="43" fontId="20" fillId="0" borderId="16" xfId="1" applyFont="1" applyFill="1" applyBorder="1" applyAlignment="1">
      <alignment horizontal="right"/>
    </xf>
    <xf numFmtId="0" fontId="18" fillId="0" borderId="66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3" fontId="20" fillId="0" borderId="52" xfId="1" applyFont="1" applyFill="1" applyBorder="1" applyAlignment="1">
      <alignment horizontal="right"/>
    </xf>
    <xf numFmtId="43" fontId="2" fillId="0" borderId="9" xfId="1" applyFont="1" applyBorder="1"/>
    <xf numFmtId="43" fontId="20" fillId="0" borderId="80" xfId="1" applyFont="1" applyFill="1" applyBorder="1" applyAlignment="1">
      <alignment horizontal="right"/>
    </xf>
    <xf numFmtId="43" fontId="23" fillId="0" borderId="87" xfId="1" applyFont="1" applyFill="1" applyBorder="1" applyAlignment="1">
      <alignment horizontal="right"/>
    </xf>
    <xf numFmtId="43" fontId="22" fillId="0" borderId="87" xfId="1" applyFont="1" applyFill="1" applyBorder="1" applyAlignment="1">
      <alignment horizontal="right"/>
    </xf>
    <xf numFmtId="43" fontId="20" fillId="0" borderId="95" xfId="1" applyFont="1" applyFill="1" applyBorder="1" applyAlignment="1">
      <alignment horizontal="right"/>
    </xf>
    <xf numFmtId="43" fontId="22" fillId="0" borderId="95" xfId="1" applyFont="1" applyFill="1" applyBorder="1" applyAlignment="1">
      <alignment horizontal="right"/>
    </xf>
    <xf numFmtId="43" fontId="20" fillId="0" borderId="103" xfId="1" applyFont="1" applyFill="1" applyBorder="1" applyAlignment="1">
      <alignment horizontal="right"/>
    </xf>
    <xf numFmtId="0" fontId="18" fillId="0" borderId="104" xfId="0" applyFont="1" applyFill="1" applyBorder="1" applyAlignment="1">
      <alignment horizontal="center"/>
    </xf>
    <xf numFmtId="0" fontId="18" fillId="0" borderId="105" xfId="0" applyFont="1" applyFill="1" applyBorder="1"/>
    <xf numFmtId="43" fontId="23" fillId="0" borderId="110" xfId="1" applyFont="1" applyFill="1" applyBorder="1" applyAlignment="1">
      <alignment horizontal="right"/>
    </xf>
    <xf numFmtId="0" fontId="5" fillId="0" borderId="89" xfId="0" applyFont="1" applyFill="1" applyBorder="1" applyAlignment="1">
      <alignment horizontal="center"/>
    </xf>
    <xf numFmtId="0" fontId="5" fillId="0" borderId="90" xfId="0" applyFont="1" applyFill="1" applyBorder="1"/>
    <xf numFmtId="43" fontId="22" fillId="0" borderId="114" xfId="1" applyFont="1" applyFill="1" applyBorder="1" applyAlignment="1">
      <alignment horizontal="right"/>
    </xf>
    <xf numFmtId="43" fontId="22" fillId="0" borderId="103" xfId="1" applyFont="1" applyFill="1" applyBorder="1" applyAlignment="1">
      <alignment horizontal="right"/>
    </xf>
    <xf numFmtId="43" fontId="18" fillId="4" borderId="62" xfId="0" applyNumberFormat="1" applyFont="1" applyFill="1" applyBorder="1"/>
    <xf numFmtId="43" fontId="5" fillId="4" borderId="6" xfId="0" applyNumberFormat="1" applyFont="1" applyFill="1" applyBorder="1"/>
    <xf numFmtId="0" fontId="18" fillId="0" borderId="31" xfId="0" applyFont="1" applyFill="1" applyBorder="1" applyAlignment="1">
      <alignment horizontal="center"/>
    </xf>
    <xf numFmtId="0" fontId="5" fillId="0" borderId="20" xfId="0" applyFont="1" applyFill="1" applyBorder="1"/>
    <xf numFmtId="0" fontId="5" fillId="0" borderId="6" xfId="0" applyFont="1" applyFill="1" applyBorder="1"/>
    <xf numFmtId="0" fontId="5" fillId="0" borderId="53" xfId="0" applyFont="1" applyFill="1" applyBorder="1"/>
    <xf numFmtId="43" fontId="5" fillId="0" borderId="61" xfId="0" applyNumberFormat="1" applyFont="1" applyFill="1" applyBorder="1"/>
    <xf numFmtId="43" fontId="22" fillId="0" borderId="18" xfId="1" applyFont="1" applyFill="1" applyBorder="1" applyAlignment="1">
      <alignment horizontal="right"/>
    </xf>
    <xf numFmtId="0" fontId="18" fillId="0" borderId="69" xfId="0" applyFont="1" applyFill="1" applyBorder="1" applyAlignment="1">
      <alignment vertical="center"/>
    </xf>
    <xf numFmtId="0" fontId="18" fillId="0" borderId="16" xfId="0" applyFont="1" applyFill="1" applyBorder="1" applyAlignment="1">
      <alignment horizontal="left"/>
    </xf>
    <xf numFmtId="0" fontId="5" fillId="0" borderId="61" xfId="0" applyFont="1" applyFill="1" applyBorder="1" applyAlignment="1">
      <alignment horizontal="center"/>
    </xf>
    <xf numFmtId="0" fontId="5" fillId="0" borderId="53" xfId="0" applyFont="1" applyFill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18" fillId="0" borderId="16" xfId="0" applyFont="1" applyFill="1" applyBorder="1" applyAlignment="1">
      <alignment horizontal="center"/>
    </xf>
    <xf numFmtId="0" fontId="5" fillId="0" borderId="69" xfId="0" applyFont="1" applyFill="1" applyBorder="1" applyAlignment="1">
      <alignment horizontal="center"/>
    </xf>
    <xf numFmtId="0" fontId="18" fillId="0" borderId="115" xfId="0" applyFont="1" applyFill="1" applyBorder="1" applyAlignment="1">
      <alignment horizontal="center"/>
    </xf>
    <xf numFmtId="0" fontId="5" fillId="0" borderId="95" xfId="0" applyFont="1" applyFill="1" applyBorder="1" applyAlignment="1">
      <alignment horizontal="center"/>
    </xf>
    <xf numFmtId="43" fontId="18" fillId="4" borderId="6" xfId="0" applyNumberFormat="1" applyFont="1" applyFill="1" applyBorder="1"/>
    <xf numFmtId="43" fontId="5" fillId="0" borderId="0" xfId="0" applyNumberFormat="1" applyFont="1" applyFill="1"/>
    <xf numFmtId="0" fontId="5" fillId="6" borderId="20" xfId="0" applyFont="1" applyFill="1" applyBorder="1"/>
    <xf numFmtId="0" fontId="18" fillId="0" borderId="111" xfId="0" applyFont="1" applyFill="1" applyBorder="1" applyAlignment="1">
      <alignment horizontal="center"/>
    </xf>
    <xf numFmtId="0" fontId="18" fillId="0" borderId="112" xfId="0" applyFont="1" applyFill="1" applyBorder="1"/>
    <xf numFmtId="0" fontId="18" fillId="0" borderId="88" xfId="0" applyFont="1" applyFill="1" applyBorder="1" applyAlignment="1">
      <alignment horizontal="center"/>
    </xf>
    <xf numFmtId="0" fontId="18" fillId="0" borderId="74" xfId="0" applyFont="1" applyFill="1" applyBorder="1" applyAlignment="1">
      <alignment horizontal="center"/>
    </xf>
    <xf numFmtId="0" fontId="18" fillId="0" borderId="77" xfId="0" applyFont="1" applyFill="1" applyBorder="1"/>
    <xf numFmtId="43" fontId="22" fillId="0" borderId="75" xfId="1" applyFont="1" applyFill="1" applyBorder="1" applyAlignment="1">
      <alignment horizontal="right"/>
    </xf>
    <xf numFmtId="43" fontId="22" fillId="0" borderId="74" xfId="1" applyFont="1" applyFill="1" applyBorder="1" applyAlignment="1">
      <alignment horizontal="right"/>
    </xf>
    <xf numFmtId="43" fontId="31" fillId="0" borderId="75" xfId="1" applyFont="1" applyFill="1" applyBorder="1" applyAlignment="1">
      <alignment horizontal="right"/>
    </xf>
    <xf numFmtId="0" fontId="18" fillId="0" borderId="68" xfId="0" applyFont="1" applyFill="1" applyBorder="1" applyAlignment="1">
      <alignment horizontal="center"/>
    </xf>
    <xf numFmtId="0" fontId="18" fillId="0" borderId="81" xfId="0" applyFont="1" applyFill="1" applyBorder="1" applyAlignment="1">
      <alignment horizontal="center"/>
    </xf>
    <xf numFmtId="43" fontId="18" fillId="0" borderId="20" xfId="0" applyNumberFormat="1" applyFont="1" applyFill="1" applyBorder="1"/>
    <xf numFmtId="43" fontId="18" fillId="0" borderId="53" xfId="0" applyNumberFormat="1" applyFont="1" applyFill="1" applyBorder="1"/>
    <xf numFmtId="43" fontId="18" fillId="0" borderId="6" xfId="0" applyNumberFormat="1" applyFont="1" applyFill="1" applyBorder="1"/>
    <xf numFmtId="0" fontId="18" fillId="0" borderId="53" xfId="0" applyFont="1" applyFill="1" applyBorder="1"/>
    <xf numFmtId="0" fontId="18" fillId="0" borderId="6" xfId="0" applyFont="1" applyFill="1" applyBorder="1"/>
    <xf numFmtId="0" fontId="18" fillId="0" borderId="20" xfId="0" applyFont="1" applyFill="1" applyBorder="1"/>
    <xf numFmtId="43" fontId="5" fillId="0" borderId="34" xfId="0" applyNumberFormat="1" applyFont="1" applyFill="1" applyBorder="1"/>
    <xf numFmtId="43" fontId="2" fillId="0" borderId="22" xfId="1" applyFont="1" applyFill="1" applyBorder="1"/>
    <xf numFmtId="4" fontId="0" fillId="0" borderId="0" xfId="0" applyNumberFormat="1"/>
    <xf numFmtId="4" fontId="0" fillId="0" borderId="0" xfId="0" applyNumberFormat="1" applyBorder="1"/>
    <xf numFmtId="43" fontId="5" fillId="4" borderId="60" xfId="0" applyNumberFormat="1" applyFont="1" applyFill="1" applyBorder="1"/>
    <xf numFmtId="0" fontId="5" fillId="4" borderId="34" xfId="0" applyFont="1" applyFill="1" applyBorder="1"/>
    <xf numFmtId="43" fontId="5" fillId="0" borderId="68" xfId="0" applyNumberFormat="1" applyFont="1" applyFill="1" applyBorder="1"/>
    <xf numFmtId="43" fontId="2" fillId="0" borderId="75" xfId="1" applyFont="1" applyFill="1" applyBorder="1"/>
    <xf numFmtId="43" fontId="2" fillId="0" borderId="76" xfId="1" applyFont="1" applyFill="1" applyBorder="1"/>
    <xf numFmtId="0" fontId="5" fillId="0" borderId="48" xfId="0" applyFont="1" applyFill="1" applyBorder="1"/>
    <xf numFmtId="43" fontId="5" fillId="0" borderId="35" xfId="0" applyNumberFormat="1" applyFont="1" applyFill="1" applyBorder="1"/>
    <xf numFmtId="0" fontId="5" fillId="0" borderId="68" xfId="0" applyFont="1" applyFill="1" applyBorder="1"/>
    <xf numFmtId="0" fontId="5" fillId="0" borderId="35" xfId="0" applyFont="1" applyFill="1" applyBorder="1"/>
    <xf numFmtId="0" fontId="34" fillId="7" borderId="74" xfId="0" applyFont="1" applyFill="1" applyBorder="1" applyAlignment="1">
      <alignment horizontal="center"/>
    </xf>
    <xf numFmtId="0" fontId="5" fillId="4" borderId="29" xfId="0" applyFont="1" applyFill="1" applyBorder="1"/>
    <xf numFmtId="43" fontId="5" fillId="4" borderId="65" xfId="0" applyNumberFormat="1" applyFont="1" applyFill="1" applyBorder="1"/>
    <xf numFmtId="0" fontId="5" fillId="4" borderId="71" xfId="0" applyFont="1" applyFill="1" applyBorder="1"/>
    <xf numFmtId="0" fontId="5" fillId="4" borderId="65" xfId="0" applyFont="1" applyFill="1" applyBorder="1"/>
    <xf numFmtId="0" fontId="5" fillId="3" borderId="29" xfId="0" applyFont="1" applyFill="1" applyBorder="1"/>
    <xf numFmtId="43" fontId="18" fillId="0" borderId="48" xfId="0" applyNumberFormat="1" applyFont="1" applyFill="1" applyBorder="1"/>
    <xf numFmtId="43" fontId="5" fillId="0" borderId="0" xfId="0" applyNumberFormat="1" applyFont="1" applyFill="1" applyBorder="1"/>
    <xf numFmtId="43" fontId="20" fillId="0" borderId="88" xfId="1" applyFont="1" applyFill="1" applyBorder="1" applyAlignment="1">
      <alignment horizontal="right"/>
    </xf>
    <xf numFmtId="43" fontId="8" fillId="0" borderId="0" xfId="1" applyFont="1" applyFill="1"/>
    <xf numFmtId="4" fontId="5" fillId="0" borderId="0" xfId="0" applyNumberFormat="1" applyFont="1" applyFill="1"/>
    <xf numFmtId="164" fontId="2" fillId="0" borderId="32" xfId="1" applyNumberFormat="1" applyFont="1" applyBorder="1"/>
    <xf numFmtId="164" fontId="2" fillId="0" borderId="72" xfId="1" applyNumberFormat="1" applyFont="1" applyBorder="1"/>
    <xf numFmtId="164" fontId="2" fillId="0" borderId="53" xfId="1" applyNumberFormat="1" applyFont="1" applyFill="1" applyBorder="1"/>
    <xf numFmtId="164" fontId="2" fillId="0" borderId="71" xfId="1" applyNumberFormat="1" applyFont="1" applyFill="1" applyBorder="1"/>
    <xf numFmtId="43" fontId="2" fillId="0" borderId="22" xfId="1" applyFont="1" applyBorder="1"/>
    <xf numFmtId="164" fontId="2" fillId="0" borderId="39" xfId="1" applyNumberFormat="1" applyFont="1" applyBorder="1"/>
    <xf numFmtId="164" fontId="2" fillId="0" borderId="61" xfId="1" applyNumberFormat="1" applyFont="1" applyFill="1" applyBorder="1"/>
    <xf numFmtId="164" fontId="2" fillId="0" borderId="40" xfId="1" applyNumberFormat="1" applyFont="1" applyBorder="1"/>
    <xf numFmtId="164" fontId="2" fillId="0" borderId="59" xfId="1" applyNumberFormat="1" applyFont="1" applyFill="1" applyBorder="1"/>
    <xf numFmtId="164" fontId="2" fillId="0" borderId="13" xfId="1" applyNumberFormat="1" applyFont="1" applyBorder="1"/>
    <xf numFmtId="164" fontId="2" fillId="0" borderId="16" xfId="1" applyNumberFormat="1" applyFont="1" applyFill="1" applyBorder="1"/>
    <xf numFmtId="164" fontId="2" fillId="0" borderId="66" xfId="1" applyNumberFormat="1" applyFont="1" applyBorder="1"/>
    <xf numFmtId="164" fontId="2" fillId="0" borderId="69" xfId="1" applyNumberFormat="1" applyFont="1" applyFill="1" applyBorder="1"/>
    <xf numFmtId="43" fontId="8" fillId="0" borderId="7" xfId="1" applyFont="1" applyFill="1" applyBorder="1"/>
    <xf numFmtId="164" fontId="2" fillId="0" borderId="30" xfId="1" applyNumberFormat="1" applyFont="1" applyBorder="1"/>
    <xf numFmtId="164" fontId="2" fillId="0" borderId="52" xfId="1" applyNumberFormat="1" applyFont="1" applyFill="1" applyBorder="1"/>
    <xf numFmtId="164" fontId="3" fillId="0" borderId="13" xfId="1" applyNumberFormat="1" applyFont="1" applyBorder="1"/>
    <xf numFmtId="164" fontId="3" fillId="0" borderId="16" xfId="1" applyNumberFormat="1" applyFont="1" applyFill="1" applyBorder="1"/>
    <xf numFmtId="164" fontId="3" fillId="0" borderId="13" xfId="1" applyNumberFormat="1" applyFont="1" applyFill="1" applyBorder="1"/>
    <xf numFmtId="4" fontId="18" fillId="0" borderId="0" xfId="0" applyNumberFormat="1" applyFont="1" applyFill="1" applyBorder="1"/>
    <xf numFmtId="0" fontId="18" fillId="0" borderId="24" xfId="0" applyFont="1" applyFill="1" applyBorder="1" applyAlignment="1">
      <alignment horizontal="center"/>
    </xf>
    <xf numFmtId="164" fontId="3" fillId="0" borderId="69" xfId="1" applyNumberFormat="1" applyFont="1" applyFill="1" applyBorder="1"/>
    <xf numFmtId="43" fontId="39" fillId="4" borderId="124" xfId="1" applyFont="1" applyFill="1" applyBorder="1" applyAlignment="1">
      <alignment horizontal="center" vertical="center"/>
    </xf>
    <xf numFmtId="43" fontId="17" fillId="0" borderId="71" xfId="1" applyFont="1" applyFill="1" applyBorder="1" applyAlignment="1">
      <alignment horizontal="center" vertical="center"/>
    </xf>
    <xf numFmtId="43" fontId="17" fillId="0" borderId="29" xfId="1" applyFont="1" applyFill="1" applyBorder="1" applyAlignment="1">
      <alignment horizontal="center" vertical="center"/>
    </xf>
    <xf numFmtId="164" fontId="7" fillId="0" borderId="72" xfId="1" applyNumberFormat="1" applyFont="1" applyFill="1" applyBorder="1" applyAlignment="1">
      <alignment horizontal="center" vertical="center"/>
    </xf>
    <xf numFmtId="0" fontId="19" fillId="4" borderId="34" xfId="0" applyFont="1" applyFill="1" applyBorder="1"/>
    <xf numFmtId="0" fontId="19" fillId="4" borderId="62" xfId="0" applyFont="1" applyFill="1" applyBorder="1"/>
    <xf numFmtId="0" fontId="19" fillId="4" borderId="61" xfId="0" applyFont="1" applyFill="1" applyBorder="1"/>
    <xf numFmtId="0" fontId="19" fillId="3" borderId="34" xfId="0" applyFont="1" applyFill="1" applyBorder="1"/>
    <xf numFmtId="43" fontId="8" fillId="0" borderId="9" xfId="1" applyFont="1" applyBorder="1"/>
    <xf numFmtId="43" fontId="2" fillId="0" borderId="10" xfId="1" applyFont="1" applyFill="1" applyBorder="1"/>
    <xf numFmtId="0" fontId="19" fillId="4" borderId="45" xfId="0" applyFont="1" applyFill="1" applyBorder="1"/>
    <xf numFmtId="0" fontId="19" fillId="4" borderId="27" xfId="0" applyFont="1" applyFill="1" applyBorder="1"/>
    <xf numFmtId="0" fontId="19" fillId="4" borderId="52" xfId="0" applyFont="1" applyFill="1" applyBorder="1"/>
    <xf numFmtId="0" fontId="19" fillId="3" borderId="45" xfId="0" applyFont="1" applyFill="1" applyBorder="1"/>
    <xf numFmtId="43" fontId="19" fillId="4" borderId="62" xfId="0" applyNumberFormat="1" applyFont="1" applyFill="1" applyBorder="1"/>
    <xf numFmtId="43" fontId="17" fillId="0" borderId="65" xfId="1" applyFont="1" applyFill="1" applyBorder="1" applyAlignment="1">
      <alignment horizontal="center" vertical="center"/>
    </xf>
    <xf numFmtId="43" fontId="2" fillId="0" borderId="50" xfId="1" applyFont="1" applyFill="1" applyBorder="1"/>
    <xf numFmtId="43" fontId="2" fillId="0" borderId="9" xfId="1" applyFont="1" applyFill="1" applyBorder="1"/>
    <xf numFmtId="43" fontId="12" fillId="0" borderId="57" xfId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7" xfId="0" applyFont="1" applyFill="1" applyBorder="1" applyAlignment="1">
      <alignment horizontal="center"/>
    </xf>
    <xf numFmtId="0" fontId="34" fillId="0" borderId="31" xfId="0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4" fontId="20" fillId="0" borderId="0" xfId="0" applyNumberFormat="1" applyFont="1" applyFill="1" applyBorder="1" applyAlignment="1">
      <alignment horizontal="right"/>
    </xf>
    <xf numFmtId="4" fontId="5" fillId="0" borderId="5" xfId="0" applyNumberFormat="1" applyFont="1" applyFill="1" applyBorder="1"/>
    <xf numFmtId="4" fontId="20" fillId="0" borderId="53" xfId="0" applyNumberFormat="1" applyFont="1" applyFill="1" applyBorder="1" applyAlignment="1">
      <alignment horizontal="right"/>
    </xf>
    <xf numFmtId="4" fontId="20" fillId="0" borderId="20" xfId="0" applyNumberFormat="1" applyFont="1" applyFill="1" applyBorder="1" applyAlignment="1">
      <alignment horizontal="right"/>
    </xf>
    <xf numFmtId="4" fontId="5" fillId="0" borderId="53" xfId="0" applyNumberFormat="1" applyFont="1" applyFill="1" applyBorder="1" applyAlignment="1">
      <alignment horizontal="center"/>
    </xf>
    <xf numFmtId="1" fontId="5" fillId="0" borderId="11" xfId="0" applyNumberFormat="1" applyFont="1" applyFill="1" applyBorder="1" applyAlignment="1">
      <alignment horizontal="center"/>
    </xf>
    <xf numFmtId="43" fontId="3" fillId="0" borderId="75" xfId="1" applyFont="1" applyFill="1" applyBorder="1"/>
    <xf numFmtId="0" fontId="5" fillId="0" borderId="41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5" fillId="0" borderId="98" xfId="0" applyFont="1" applyFill="1" applyBorder="1"/>
    <xf numFmtId="0" fontId="40" fillId="0" borderId="0" xfId="0" applyNumberFormat="1" applyFont="1" applyFill="1" applyBorder="1" applyAlignment="1" applyProtection="1">
      <alignment vertical="center" wrapText="1"/>
    </xf>
    <xf numFmtId="0" fontId="41" fillId="0" borderId="0" xfId="0" applyNumberFormat="1" applyFont="1" applyFill="1" applyBorder="1" applyAlignment="1" applyProtection="1">
      <alignment horizontal="center" vertical="center" wrapText="1"/>
    </xf>
    <xf numFmtId="0" fontId="42" fillId="0" borderId="0" xfId="0" applyNumberFormat="1" applyFont="1" applyFill="1" applyBorder="1" applyAlignment="1" applyProtection="1">
      <alignment vertical="center" wrapText="1"/>
    </xf>
    <xf numFmtId="0" fontId="43" fillId="0" borderId="0" xfId="0" applyNumberFormat="1" applyFont="1" applyFill="1" applyBorder="1" applyAlignment="1" applyProtection="1">
      <alignment vertical="center" wrapText="1"/>
    </xf>
    <xf numFmtId="0" fontId="44" fillId="0" borderId="0" xfId="0" applyFont="1" applyAlignment="1">
      <alignment wrapText="1"/>
    </xf>
    <xf numFmtId="0" fontId="40" fillId="0" borderId="0" xfId="0" applyNumberFormat="1" applyFont="1" applyFill="1" applyBorder="1" applyAlignment="1" applyProtection="1">
      <alignment horizontal="center" vertical="center" wrapText="1"/>
    </xf>
    <xf numFmtId="0" fontId="41" fillId="0" borderId="62" xfId="0" applyNumberFormat="1" applyFont="1" applyFill="1" applyBorder="1" applyAlignment="1" applyProtection="1">
      <alignment horizontal="center" vertical="center" wrapText="1"/>
    </xf>
    <xf numFmtId="0" fontId="1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right" vertical="center"/>
    </xf>
    <xf numFmtId="0" fontId="47" fillId="0" borderId="1" xfId="0" quotePrefix="1" applyNumberFormat="1" applyFont="1" applyFill="1" applyBorder="1" applyAlignment="1" applyProtection="1">
      <alignment horizontal="center" vertical="center" wrapText="1"/>
    </xf>
    <xf numFmtId="0" fontId="48" fillId="0" borderId="1" xfId="0" quotePrefix="1" applyNumberFormat="1" applyFont="1" applyFill="1" applyBorder="1" applyAlignment="1" applyProtection="1">
      <alignment horizontal="center" vertical="center" wrapText="1"/>
    </xf>
    <xf numFmtId="0" fontId="48" fillId="2" borderId="1" xfId="0" applyNumberFormat="1" applyFont="1" applyFill="1" applyBorder="1" applyAlignment="1" applyProtection="1">
      <alignment horizontal="center" vertical="center" wrapText="1"/>
    </xf>
    <xf numFmtId="0" fontId="45" fillId="4" borderId="5" xfId="0" applyFont="1" applyFill="1" applyBorder="1" applyAlignment="1">
      <alignment horizontal="left" vertical="center"/>
    </xf>
    <xf numFmtId="0" fontId="49" fillId="4" borderId="6" xfId="0" applyNumberFormat="1" applyFont="1" applyFill="1" applyBorder="1" applyAlignment="1" applyProtection="1">
      <alignment vertical="center"/>
    </xf>
    <xf numFmtId="0" fontId="50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applyNumberFormat="1" applyFont="1" applyFill="1" applyBorder="1" applyAlignment="1" applyProtection="1"/>
    <xf numFmtId="0" fontId="47" fillId="2" borderId="1" xfId="0" applyNumberFormat="1" applyFont="1" applyFill="1" applyBorder="1" applyAlignment="1" applyProtection="1">
      <alignment horizontal="center" vertical="center" wrapText="1"/>
    </xf>
    <xf numFmtId="0" fontId="48" fillId="0" borderId="1" xfId="0" quotePrefix="1" applyNumberFormat="1" applyFont="1" applyFill="1" applyBorder="1" applyAlignment="1" applyProtection="1">
      <alignment horizontal="center" vertical="center"/>
    </xf>
    <xf numFmtId="0" fontId="47" fillId="4" borderId="1" xfId="0" applyNumberFormat="1" applyFont="1" applyFill="1" applyBorder="1" applyAlignment="1" applyProtection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0" fontId="52" fillId="0" borderId="0" xfId="0" applyFont="1" applyAlignment="1">
      <alignment horizontal="center" vertical="center" wrapText="1"/>
    </xf>
    <xf numFmtId="0" fontId="48" fillId="4" borderId="1" xfId="0" applyNumberFormat="1" applyFont="1" applyFill="1" applyBorder="1" applyAlignment="1" applyProtection="1">
      <alignment horizontal="center" vertical="center" wrapText="1"/>
    </xf>
    <xf numFmtId="0" fontId="45" fillId="2" borderId="1" xfId="0" applyNumberFormat="1" applyFont="1" applyFill="1" applyBorder="1" applyAlignment="1" applyProtection="1">
      <alignment horizontal="left" vertical="center" wrapText="1"/>
    </xf>
    <xf numFmtId="0" fontId="49" fillId="2" borderId="1" xfId="0" applyNumberFormat="1" applyFont="1" applyFill="1" applyBorder="1" applyAlignment="1" applyProtection="1">
      <alignment horizontal="left" vertical="center" wrapText="1"/>
    </xf>
    <xf numFmtId="0" fontId="49" fillId="2" borderId="1" xfId="0" quotePrefix="1" applyFont="1" applyFill="1" applyBorder="1" applyAlignment="1">
      <alignment horizontal="left" vertical="center"/>
    </xf>
    <xf numFmtId="0" fontId="53" fillId="2" borderId="1" xfId="0" quotePrefix="1" applyFont="1" applyFill="1" applyBorder="1" applyAlignment="1">
      <alignment horizontal="left" vertical="center"/>
    </xf>
    <xf numFmtId="0" fontId="49" fillId="2" borderId="1" xfId="0" quotePrefix="1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/>
    </xf>
    <xf numFmtId="0" fontId="45" fillId="2" borderId="1" xfId="0" applyNumberFormat="1" applyFont="1" applyFill="1" applyBorder="1" applyAlignment="1" applyProtection="1">
      <alignment horizontal="left" vertical="center"/>
    </xf>
    <xf numFmtId="0" fontId="45" fillId="2" borderId="1" xfId="0" applyNumberFormat="1" applyFont="1" applyFill="1" applyBorder="1" applyAlignment="1" applyProtection="1">
      <alignment vertical="center" wrapText="1"/>
    </xf>
    <xf numFmtId="0" fontId="49" fillId="2" borderId="1" xfId="0" applyNumberFormat="1" applyFont="1" applyFill="1" applyBorder="1" applyAlignment="1" applyProtection="1">
      <alignment vertical="center" wrapText="1"/>
    </xf>
    <xf numFmtId="0" fontId="55" fillId="0" borderId="0" xfId="0" applyFont="1" applyAlignment="1">
      <alignment vertical="top" wrapText="1"/>
    </xf>
    <xf numFmtId="0" fontId="53" fillId="2" borderId="1" xfId="0" quotePrefix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/>
    </xf>
    <xf numFmtId="0" fontId="47" fillId="4" borderId="33" xfId="0" applyNumberFormat="1" applyFont="1" applyFill="1" applyBorder="1" applyAlignment="1" applyProtection="1">
      <alignment horizontal="center" vertical="center" wrapText="1"/>
    </xf>
    <xf numFmtId="0" fontId="48" fillId="4" borderId="33" xfId="0" applyNumberFormat="1" applyFont="1" applyFill="1" applyBorder="1" applyAlignment="1" applyProtection="1">
      <alignment horizontal="center" vertical="center" wrapText="1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0" fontId="57" fillId="0" borderId="1" xfId="0" applyFont="1" applyBorder="1" applyAlignment="1">
      <alignment horizontal="left" vertical="center" wrapText="1"/>
    </xf>
    <xf numFmtId="43" fontId="22" fillId="0" borderId="57" xfId="1" applyFont="1" applyFill="1" applyBorder="1" applyAlignment="1">
      <alignment horizontal="right"/>
    </xf>
    <xf numFmtId="43" fontId="22" fillId="0" borderId="84" xfId="1" applyFont="1" applyFill="1" applyBorder="1" applyAlignment="1">
      <alignment horizontal="right"/>
    </xf>
    <xf numFmtId="4" fontId="20" fillId="0" borderId="1" xfId="0" applyNumberFormat="1" applyFont="1" applyFill="1" applyBorder="1" applyAlignment="1">
      <alignment horizontal="right"/>
    </xf>
    <xf numFmtId="43" fontId="20" fillId="0" borderId="25" xfId="0" applyNumberFormat="1" applyFont="1" applyFill="1" applyBorder="1" applyAlignment="1">
      <alignment horizontal="right"/>
    </xf>
    <xf numFmtId="43" fontId="5" fillId="0" borderId="48" xfId="0" applyNumberFormat="1" applyFont="1" applyFill="1" applyBorder="1"/>
    <xf numFmtId="0" fontId="5" fillId="0" borderId="18" xfId="0" applyFont="1" applyFill="1" applyBorder="1"/>
    <xf numFmtId="43" fontId="22" fillId="0" borderId="13" xfId="1" applyFont="1" applyFill="1" applyBorder="1" applyAlignment="1">
      <alignment horizontal="right"/>
    </xf>
    <xf numFmtId="43" fontId="22" fillId="0" borderId="63" xfId="1" applyFont="1" applyFill="1" applyBorder="1" applyAlignment="1">
      <alignment horizontal="right"/>
    </xf>
    <xf numFmtId="43" fontId="22" fillId="0" borderId="55" xfId="1" applyFont="1" applyFill="1" applyBorder="1" applyAlignment="1">
      <alignment horizontal="right"/>
    </xf>
    <xf numFmtId="43" fontId="22" fillId="0" borderId="56" xfId="1" applyFont="1" applyFill="1" applyBorder="1" applyAlignment="1">
      <alignment horizontal="right"/>
    </xf>
    <xf numFmtId="0" fontId="18" fillId="0" borderId="82" xfId="0" applyFont="1" applyFill="1" applyBorder="1"/>
    <xf numFmtId="43" fontId="22" fillId="0" borderId="83" xfId="1" applyFont="1" applyFill="1" applyBorder="1" applyAlignment="1">
      <alignment horizontal="right"/>
    </xf>
    <xf numFmtId="43" fontId="22" fillId="0" borderId="85" xfId="1" applyFont="1" applyFill="1" applyBorder="1" applyAlignment="1">
      <alignment horizontal="right"/>
    </xf>
    <xf numFmtId="43" fontId="22" fillId="0" borderId="81" xfId="1" applyFont="1" applyFill="1" applyBorder="1" applyAlignment="1">
      <alignment horizontal="right"/>
    </xf>
    <xf numFmtId="43" fontId="22" fillId="0" borderId="82" xfId="1" applyFont="1" applyFill="1" applyBorder="1" applyAlignment="1">
      <alignment horizontal="right"/>
    </xf>
    <xf numFmtId="43" fontId="31" fillId="0" borderId="82" xfId="1" applyFont="1" applyFill="1" applyBorder="1" applyAlignment="1">
      <alignment horizontal="right"/>
    </xf>
    <xf numFmtId="0" fontId="18" fillId="0" borderId="80" xfId="0" applyFont="1" applyFill="1" applyBorder="1" applyAlignment="1">
      <alignment horizontal="center"/>
    </xf>
    <xf numFmtId="0" fontId="19" fillId="0" borderId="21" xfId="0" applyFont="1" applyFill="1" applyBorder="1" applyAlignment="1">
      <alignment horizontal="center"/>
    </xf>
    <xf numFmtId="0" fontId="19" fillId="0" borderId="4" xfId="0" applyFont="1" applyFill="1" applyBorder="1"/>
    <xf numFmtId="0" fontId="19" fillId="0" borderId="69" xfId="0" applyFont="1" applyFill="1" applyBorder="1" applyAlignment="1">
      <alignment horizontal="center"/>
    </xf>
    <xf numFmtId="0" fontId="5" fillId="0" borderId="51" xfId="0" applyFont="1" applyFill="1" applyBorder="1"/>
    <xf numFmtId="0" fontId="5" fillId="0" borderId="52" xfId="0" applyFont="1" applyFill="1" applyBorder="1" applyAlignment="1">
      <alignment horizontal="center"/>
    </xf>
    <xf numFmtId="0" fontId="5" fillId="0" borderId="103" xfId="0" applyFont="1" applyFill="1" applyBorder="1" applyAlignment="1">
      <alignment horizontal="center"/>
    </xf>
    <xf numFmtId="0" fontId="34" fillId="0" borderId="41" xfId="0" applyFont="1" applyFill="1" applyBorder="1"/>
    <xf numFmtId="0" fontId="5" fillId="0" borderId="56" xfId="0" applyFont="1" applyFill="1" applyBorder="1"/>
    <xf numFmtId="0" fontId="5" fillId="0" borderId="16" xfId="0" applyFont="1" applyFill="1" applyBorder="1" applyAlignment="1">
      <alignment horizontal="center"/>
    </xf>
    <xf numFmtId="0" fontId="19" fillId="0" borderId="81" xfId="0" applyFont="1" applyFill="1" applyBorder="1" applyAlignment="1">
      <alignment horizontal="center"/>
    </xf>
    <xf numFmtId="0" fontId="19" fillId="0" borderId="82" xfId="0" applyFont="1" applyFill="1" applyBorder="1"/>
    <xf numFmtId="0" fontId="19" fillId="0" borderId="80" xfId="0" applyFont="1" applyFill="1" applyBorder="1" applyAlignment="1">
      <alignment horizontal="center"/>
    </xf>
    <xf numFmtId="0" fontId="18" fillId="0" borderId="61" xfId="0" applyFont="1" applyFill="1" applyBorder="1" applyAlignment="1">
      <alignment horizontal="center"/>
    </xf>
    <xf numFmtId="43" fontId="22" fillId="0" borderId="70" xfId="1" applyFont="1" applyFill="1" applyBorder="1" applyAlignment="1">
      <alignment horizontal="right"/>
    </xf>
    <xf numFmtId="43" fontId="22" fillId="0" borderId="78" xfId="1" applyFont="1" applyFill="1" applyBorder="1" applyAlignment="1">
      <alignment horizontal="right"/>
    </xf>
    <xf numFmtId="43" fontId="31" fillId="0" borderId="57" xfId="1" applyFont="1" applyFill="1" applyBorder="1" applyAlignment="1">
      <alignment horizontal="right"/>
    </xf>
    <xf numFmtId="0" fontId="18" fillId="0" borderId="30" xfId="0" applyFont="1" applyFill="1" applyBorder="1" applyAlignment="1">
      <alignment horizontal="center"/>
    </xf>
    <xf numFmtId="0" fontId="18" fillId="0" borderId="13" xfId="0" applyFont="1" applyFill="1" applyBorder="1"/>
    <xf numFmtId="0" fontId="18" fillId="0" borderId="52" xfId="0" applyFont="1" applyFill="1" applyBorder="1" applyAlignment="1">
      <alignment horizontal="center"/>
    </xf>
    <xf numFmtId="43" fontId="22" fillId="0" borderId="77" xfId="1" applyFont="1" applyFill="1" applyBorder="1" applyAlignment="1">
      <alignment horizontal="right"/>
    </xf>
    <xf numFmtId="0" fontId="18" fillId="0" borderId="71" xfId="0" applyFont="1" applyFill="1" applyBorder="1" applyAlignment="1">
      <alignment horizontal="center"/>
    </xf>
    <xf numFmtId="4" fontId="20" fillId="0" borderId="32" xfId="0" applyNumberFormat="1" applyFont="1" applyFill="1" applyBorder="1" applyAlignment="1">
      <alignment horizontal="right"/>
    </xf>
    <xf numFmtId="4" fontId="20" fillId="0" borderId="33" xfId="0" applyNumberFormat="1" applyFont="1" applyFill="1" applyBorder="1" applyAlignment="1">
      <alignment horizontal="right"/>
    </xf>
    <xf numFmtId="4" fontId="20" fillId="0" borderId="11" xfId="0" applyNumberFormat="1" applyFont="1" applyFill="1" applyBorder="1" applyAlignment="1">
      <alignment horizontal="right"/>
    </xf>
    <xf numFmtId="4" fontId="26" fillId="0" borderId="1" xfId="1" applyNumberFormat="1" applyFont="1" applyFill="1" applyBorder="1" applyAlignment="1">
      <alignment horizontal="right"/>
    </xf>
    <xf numFmtId="4" fontId="20" fillId="0" borderId="5" xfId="0" applyNumberFormat="1" applyFont="1" applyFill="1" applyBorder="1" applyAlignment="1">
      <alignment horizontal="right"/>
    </xf>
    <xf numFmtId="0" fontId="5" fillId="0" borderId="24" xfId="0" applyFont="1" applyFill="1" applyBorder="1" applyAlignment="1">
      <alignment horizontal="center"/>
    </xf>
    <xf numFmtId="43" fontId="20" fillId="0" borderId="24" xfId="0" applyNumberFormat="1" applyFont="1" applyFill="1" applyBorder="1" applyAlignment="1">
      <alignment horizontal="right"/>
    </xf>
    <xf numFmtId="0" fontId="5" fillId="0" borderId="71" xfId="0" applyFont="1" applyFill="1" applyBorder="1" applyAlignment="1">
      <alignment horizontal="center"/>
    </xf>
    <xf numFmtId="43" fontId="31" fillId="0" borderId="63" xfId="1" applyFont="1" applyFill="1" applyBorder="1" applyAlignment="1">
      <alignment horizontal="right"/>
    </xf>
    <xf numFmtId="43" fontId="31" fillId="0" borderId="55" xfId="1" applyFont="1" applyFill="1" applyBorder="1" applyAlignment="1">
      <alignment horizontal="right"/>
    </xf>
    <xf numFmtId="43" fontId="20" fillId="6" borderId="11" xfId="1" applyFont="1" applyFill="1" applyBorder="1" applyAlignment="1">
      <alignment horizontal="right"/>
    </xf>
    <xf numFmtId="43" fontId="20" fillId="6" borderId="19" xfId="1" applyFont="1" applyFill="1" applyBorder="1" applyAlignment="1">
      <alignment horizontal="right"/>
    </xf>
    <xf numFmtId="43" fontId="22" fillId="6" borderId="63" xfId="1" applyFont="1" applyFill="1" applyBorder="1" applyAlignment="1">
      <alignment horizontal="right"/>
    </xf>
    <xf numFmtId="43" fontId="22" fillId="6" borderId="55" xfId="1" applyFont="1" applyFill="1" applyBorder="1" applyAlignment="1">
      <alignment horizontal="right"/>
    </xf>
    <xf numFmtId="43" fontId="22" fillId="6" borderId="57" xfId="1" applyFont="1" applyFill="1" applyBorder="1" applyAlignment="1">
      <alignment horizontal="right"/>
    </xf>
    <xf numFmtId="43" fontId="22" fillId="6" borderId="31" xfId="1" applyFont="1" applyFill="1" applyBorder="1" applyAlignment="1">
      <alignment horizontal="right"/>
    </xf>
    <xf numFmtId="43" fontId="20" fillId="6" borderId="21" xfId="1" applyFont="1" applyFill="1" applyBorder="1" applyAlignment="1">
      <alignment horizontal="right"/>
    </xf>
    <xf numFmtId="43" fontId="20" fillId="6" borderId="31" xfId="1" applyFont="1" applyFill="1" applyBorder="1" applyAlignment="1">
      <alignment horizontal="right"/>
    </xf>
    <xf numFmtId="43" fontId="22" fillId="6" borderId="81" xfId="1" applyFont="1" applyFill="1" applyBorder="1" applyAlignment="1">
      <alignment horizontal="right"/>
    </xf>
    <xf numFmtId="43" fontId="22" fillId="6" borderId="84" xfId="1" applyFont="1" applyFill="1" applyBorder="1" applyAlignment="1">
      <alignment horizontal="right"/>
    </xf>
    <xf numFmtId="43" fontId="20" fillId="6" borderId="89" xfId="1" applyFont="1" applyFill="1" applyBorder="1" applyAlignment="1">
      <alignment horizontal="right"/>
    </xf>
    <xf numFmtId="43" fontId="22" fillId="6" borderId="111" xfId="1" applyFont="1" applyFill="1" applyBorder="1" applyAlignment="1">
      <alignment horizontal="right"/>
    </xf>
    <xf numFmtId="43" fontId="23" fillId="6" borderId="21" xfId="1" applyFont="1" applyFill="1" applyBorder="1" applyAlignment="1">
      <alignment horizontal="right"/>
    </xf>
    <xf numFmtId="43" fontId="20" fillId="6" borderId="8" xfId="1" applyFont="1" applyFill="1" applyBorder="1" applyAlignment="1">
      <alignment horizontal="right"/>
    </xf>
    <xf numFmtId="43" fontId="22" fillId="6" borderId="11" xfId="1" applyFont="1" applyFill="1" applyBorder="1" applyAlignment="1">
      <alignment horizontal="right"/>
    </xf>
    <xf numFmtId="43" fontId="22" fillId="6" borderId="19" xfId="1" applyFont="1" applyFill="1" applyBorder="1" applyAlignment="1">
      <alignment horizontal="right"/>
    </xf>
    <xf numFmtId="43" fontId="23" fillId="6" borderId="55" xfId="1" applyFont="1" applyFill="1" applyBorder="1" applyAlignment="1">
      <alignment horizontal="right"/>
    </xf>
    <xf numFmtId="43" fontId="23" fillId="6" borderId="81" xfId="1" applyFont="1" applyFill="1" applyBorder="1" applyAlignment="1">
      <alignment horizontal="right"/>
    </xf>
    <xf numFmtId="43" fontId="23" fillId="6" borderId="84" xfId="1" applyFont="1" applyFill="1" applyBorder="1" applyAlignment="1">
      <alignment horizontal="right"/>
    </xf>
    <xf numFmtId="43" fontId="24" fillId="6" borderId="55" xfId="1" applyFont="1" applyFill="1" applyBorder="1" applyAlignment="1">
      <alignment horizontal="right"/>
    </xf>
    <xf numFmtId="43" fontId="22" fillId="6" borderId="89" xfId="1" applyFont="1" applyFill="1" applyBorder="1" applyAlignment="1">
      <alignment horizontal="right"/>
    </xf>
    <xf numFmtId="43" fontId="20" fillId="6" borderId="97" xfId="1" applyFont="1" applyFill="1" applyBorder="1" applyAlignment="1">
      <alignment horizontal="right"/>
    </xf>
    <xf numFmtId="43" fontId="23" fillId="6" borderId="104" xfId="1" applyFont="1" applyFill="1" applyBorder="1" applyAlignment="1">
      <alignment horizontal="right"/>
    </xf>
    <xf numFmtId="43" fontId="23" fillId="6" borderId="107" xfId="1" applyFont="1" applyFill="1" applyBorder="1" applyAlignment="1">
      <alignment horizontal="right"/>
    </xf>
    <xf numFmtId="43" fontId="21" fillId="6" borderId="19" xfId="1" applyFont="1" applyFill="1" applyBorder="1" applyAlignment="1">
      <alignment horizontal="right"/>
    </xf>
    <xf numFmtId="43" fontId="25" fillId="6" borderId="55" xfId="1" applyFont="1" applyFill="1" applyBorder="1" applyAlignment="1">
      <alignment horizontal="right"/>
    </xf>
    <xf numFmtId="43" fontId="21" fillId="6" borderId="31" xfId="1" applyFont="1" applyFill="1" applyBorder="1" applyAlignment="1">
      <alignment horizontal="right"/>
    </xf>
    <xf numFmtId="43" fontId="22" fillId="6" borderId="97" xfId="1" applyFont="1" applyFill="1" applyBorder="1" applyAlignment="1">
      <alignment horizontal="right"/>
    </xf>
    <xf numFmtId="43" fontId="22" fillId="6" borderId="74" xfId="1" applyFont="1" applyFill="1" applyBorder="1" applyAlignment="1">
      <alignment horizontal="right"/>
    </xf>
    <xf numFmtId="43" fontId="3" fillId="0" borderId="16" xfId="1" applyFont="1" applyFill="1" applyBorder="1"/>
    <xf numFmtId="43" fontId="5" fillId="0" borderId="20" xfId="0" applyNumberFormat="1" applyFont="1" applyFill="1" applyBorder="1"/>
    <xf numFmtId="0" fontId="5" fillId="0" borderId="34" xfId="0" applyFont="1" applyFill="1" applyBorder="1"/>
    <xf numFmtId="0" fontId="19" fillId="0" borderId="45" xfId="0" applyFont="1" applyFill="1" applyBorder="1"/>
    <xf numFmtId="43" fontId="3" fillId="0" borderId="15" xfId="1" applyFont="1" applyFill="1" applyBorder="1"/>
    <xf numFmtId="43" fontId="12" fillId="0" borderId="58" xfId="1" applyFont="1" applyFill="1" applyBorder="1" applyAlignment="1">
      <alignment horizontal="center"/>
    </xf>
    <xf numFmtId="43" fontId="39" fillId="4" borderId="127" xfId="1" applyFont="1" applyFill="1" applyBorder="1" applyAlignment="1">
      <alignment horizontal="center" vertical="center" wrapText="1"/>
    </xf>
    <xf numFmtId="0" fontId="5" fillId="0" borderId="61" xfId="0" applyFont="1" applyFill="1" applyBorder="1"/>
    <xf numFmtId="0" fontId="19" fillId="0" borderId="52" xfId="0" applyFont="1" applyFill="1" applyBorder="1"/>
    <xf numFmtId="0" fontId="19" fillId="0" borderId="61" xfId="0" applyFont="1" applyFill="1" applyBorder="1"/>
    <xf numFmtId="43" fontId="3" fillId="0" borderId="55" xfId="1" applyFont="1" applyFill="1" applyBorder="1"/>
    <xf numFmtId="0" fontId="5" fillId="0" borderId="71" xfId="0" applyFont="1" applyFill="1" applyBorder="1"/>
    <xf numFmtId="0" fontId="18" fillId="0" borderId="15" xfId="0" applyFont="1" applyFill="1" applyBorder="1"/>
    <xf numFmtId="0" fontId="5" fillId="0" borderId="29" xfId="0" applyFont="1" applyFill="1" applyBorder="1"/>
    <xf numFmtId="0" fontId="19" fillId="0" borderId="34" xfId="0" applyFont="1" applyFill="1" applyBorder="1"/>
    <xf numFmtId="0" fontId="17" fillId="2" borderId="1" xfId="0" applyNumberFormat="1" applyFont="1" applyFill="1" applyBorder="1" applyAlignment="1" applyProtection="1">
      <alignment horizontal="left" vertical="center" wrapText="1"/>
    </xf>
    <xf numFmtId="0" fontId="62" fillId="2" borderId="1" xfId="0" applyNumberFormat="1" applyFont="1" applyFill="1" applyBorder="1" applyAlignment="1" applyProtection="1">
      <alignment horizontal="left" vertical="center" wrapText="1"/>
    </xf>
    <xf numFmtId="0" fontId="41" fillId="0" borderId="0" xfId="0" applyNumberFormat="1" applyFont="1" applyFill="1" applyBorder="1" applyAlignment="1" applyProtection="1">
      <alignment horizontal="center" vertical="center"/>
    </xf>
    <xf numFmtId="0" fontId="47" fillId="4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0" fontId="61" fillId="2" borderId="1" xfId="0" quotePrefix="1" applyFont="1" applyFill="1" applyBorder="1" applyAlignment="1">
      <alignment horizontal="left" vertical="center" wrapText="1"/>
    </xf>
    <xf numFmtId="0" fontId="61" fillId="2" borderId="1" xfId="0" applyFont="1" applyFill="1" applyBorder="1" applyAlignment="1">
      <alignment horizontal="left" vertical="center" wrapText="1"/>
    </xf>
    <xf numFmtId="0" fontId="61" fillId="2" borderId="1" xfId="0" applyNumberFormat="1" applyFont="1" applyFill="1" applyBorder="1" applyAlignment="1" applyProtection="1">
      <alignment horizontal="left" vertical="center" wrapText="1"/>
    </xf>
    <xf numFmtId="0" fontId="53" fillId="2" borderId="1" xfId="0" applyNumberFormat="1" applyFont="1" applyFill="1" applyBorder="1" applyAlignment="1" applyProtection="1">
      <alignment horizontal="left" vertical="center" wrapText="1"/>
    </xf>
    <xf numFmtId="0" fontId="60" fillId="2" borderId="1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4" fontId="43" fillId="2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vertical="center" wrapText="1"/>
    </xf>
    <xf numFmtId="4" fontId="55" fillId="0" borderId="1" xfId="0" applyNumberFormat="1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9" fillId="0" borderId="1" xfId="0" applyFont="1" applyBorder="1" applyAlignment="1">
      <alignment vertical="center" wrapText="1"/>
    </xf>
    <xf numFmtId="4" fontId="43" fillId="0" borderId="0" xfId="0" applyNumberFormat="1" applyFont="1" applyFill="1" applyBorder="1" applyAlignment="1" applyProtection="1">
      <alignment vertical="center" wrapText="1"/>
    </xf>
    <xf numFmtId="4" fontId="47" fillId="4" borderId="1" xfId="0" applyNumberFormat="1" applyFont="1" applyFill="1" applyBorder="1" applyAlignment="1" applyProtection="1">
      <alignment horizontal="center" vertical="center" wrapText="1"/>
    </xf>
    <xf numFmtId="0" fontId="47" fillId="4" borderId="2" xfId="0" applyNumberFormat="1" applyFont="1" applyFill="1" applyBorder="1" applyAlignment="1" applyProtection="1">
      <alignment horizontal="center" vertical="center"/>
    </xf>
    <xf numFmtId="0" fontId="48" fillId="4" borderId="2" xfId="0" applyNumberFormat="1" applyFont="1" applyFill="1" applyBorder="1" applyAlignment="1" applyProtection="1">
      <alignment horizontal="center" vertical="center" wrapText="1"/>
    </xf>
    <xf numFmtId="4" fontId="48" fillId="4" borderId="2" xfId="0" applyNumberFormat="1" applyFont="1" applyFill="1" applyBorder="1" applyAlignment="1" applyProtection="1">
      <alignment horizontal="center" vertical="center" wrapText="1"/>
    </xf>
    <xf numFmtId="0" fontId="45" fillId="2" borderId="7" xfId="0" applyNumberFormat="1" applyFont="1" applyFill="1" applyBorder="1" applyAlignment="1" applyProtection="1">
      <alignment horizontal="left" vertical="center" wrapText="1"/>
    </xf>
    <xf numFmtId="4" fontId="43" fillId="2" borderId="7" xfId="0" applyNumberFormat="1" applyFont="1" applyFill="1" applyBorder="1" applyAlignment="1">
      <alignment horizontal="right" vertical="center" wrapText="1"/>
    </xf>
    <xf numFmtId="4" fontId="0" fillId="0" borderId="7" xfId="0" applyNumberFormat="1" applyBorder="1" applyAlignment="1">
      <alignment vertical="center" wrapText="1"/>
    </xf>
    <xf numFmtId="0" fontId="45" fillId="2" borderId="55" xfId="0" applyNumberFormat="1" applyFont="1" applyFill="1" applyBorder="1" applyAlignment="1" applyProtection="1">
      <alignment horizontal="left" vertical="center" wrapText="1"/>
    </xf>
    <xf numFmtId="4" fontId="54" fillId="2" borderId="57" xfId="0" applyNumberFormat="1" applyFont="1" applyFill="1" applyBorder="1" applyAlignment="1" applyProtection="1">
      <alignment vertical="center" wrapText="1"/>
    </xf>
    <xf numFmtId="4" fontId="0" fillId="0" borderId="57" xfId="0" applyNumberFormat="1" applyBorder="1" applyAlignment="1">
      <alignment vertical="center" wrapText="1"/>
    </xf>
    <xf numFmtId="4" fontId="0" fillId="0" borderId="58" xfId="0" applyNumberFormat="1" applyBorder="1" applyAlignment="1">
      <alignment vertical="center" wrapText="1"/>
    </xf>
    <xf numFmtId="0" fontId="61" fillId="2" borderId="2" xfId="0" applyFont="1" applyFill="1" applyBorder="1" applyAlignment="1">
      <alignment horizontal="left" vertical="center" wrapText="1"/>
    </xf>
    <xf numFmtId="4" fontId="43" fillId="2" borderId="2" xfId="0" applyNumberFormat="1" applyFont="1" applyFill="1" applyBorder="1" applyAlignment="1">
      <alignment horizontal="right" vertical="center" wrapText="1"/>
    </xf>
    <xf numFmtId="4" fontId="0" fillId="0" borderId="2" xfId="0" applyNumberFormat="1" applyBorder="1" applyAlignment="1">
      <alignment vertical="center" wrapText="1"/>
    </xf>
    <xf numFmtId="0" fontId="60" fillId="2" borderId="55" xfId="0" applyFont="1" applyFill="1" applyBorder="1" applyAlignment="1">
      <alignment vertical="center" wrapText="1"/>
    </xf>
    <xf numFmtId="4" fontId="43" fillId="2" borderId="57" xfId="0" applyNumberFormat="1" applyFont="1" applyFill="1" applyBorder="1" applyAlignment="1">
      <alignment horizontal="right" vertical="center" wrapText="1"/>
    </xf>
    <xf numFmtId="0" fontId="45" fillId="8" borderId="1" xfId="0" applyNumberFormat="1" applyFont="1" applyFill="1" applyBorder="1" applyAlignment="1" applyProtection="1">
      <alignment horizontal="left" vertical="center" wrapText="1"/>
    </xf>
    <xf numFmtId="4" fontId="43" fillId="8" borderId="1" xfId="0" applyNumberFormat="1" applyFont="1" applyFill="1" applyBorder="1" applyAlignment="1">
      <alignment horizontal="right" vertical="center" wrapText="1"/>
    </xf>
    <xf numFmtId="0" fontId="53" fillId="9" borderId="1" xfId="0" applyNumberFormat="1" applyFont="1" applyFill="1" applyBorder="1" applyAlignment="1" applyProtection="1">
      <alignment horizontal="left" vertical="center" wrapText="1"/>
    </xf>
    <xf numFmtId="4" fontId="43" fillId="9" borderId="1" xfId="0" applyNumberFormat="1" applyFont="1" applyFill="1" applyBorder="1" applyAlignment="1">
      <alignment horizontal="right" vertical="center" wrapText="1"/>
    </xf>
    <xf numFmtId="0" fontId="62" fillId="9" borderId="1" xfId="0" applyNumberFormat="1" applyFont="1" applyFill="1" applyBorder="1" applyAlignment="1" applyProtection="1">
      <alignment vertical="center" wrapText="1"/>
    </xf>
    <xf numFmtId="4" fontId="0" fillId="9" borderId="1" xfId="0" applyNumberFormat="1" applyFill="1" applyBorder="1" applyAlignment="1">
      <alignment vertical="center" wrapText="1"/>
    </xf>
    <xf numFmtId="0" fontId="53" fillId="0" borderId="1" xfId="0" applyNumberFormat="1" applyFont="1" applyFill="1" applyBorder="1" applyAlignment="1" applyProtection="1">
      <alignment horizontal="left" vertical="center" wrapText="1"/>
    </xf>
    <xf numFmtId="4" fontId="43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62" fillId="0" borderId="1" xfId="0" applyNumberFormat="1" applyFont="1" applyFill="1" applyBorder="1" applyAlignment="1" applyProtection="1">
      <alignment vertical="center" wrapText="1"/>
    </xf>
    <xf numFmtId="4" fontId="0" fillId="8" borderId="1" xfId="0" applyNumberFormat="1" applyFill="1" applyBorder="1" applyAlignment="1">
      <alignment vertical="center" wrapText="1"/>
    </xf>
    <xf numFmtId="0" fontId="60" fillId="8" borderId="1" xfId="0" applyFont="1" applyFill="1" applyBorder="1" applyAlignment="1">
      <alignment vertical="center" wrapText="1"/>
    </xf>
    <xf numFmtId="0" fontId="45" fillId="8" borderId="7" xfId="0" applyNumberFormat="1" applyFont="1" applyFill="1" applyBorder="1" applyAlignment="1" applyProtection="1">
      <alignment horizontal="left" vertical="center" wrapText="1"/>
    </xf>
    <xf numFmtId="4" fontId="43" fillId="8" borderId="7" xfId="0" applyNumberFormat="1" applyFont="1" applyFill="1" applyBorder="1" applyAlignment="1">
      <alignment horizontal="right" vertical="center" wrapText="1"/>
    </xf>
    <xf numFmtId="4" fontId="0" fillId="8" borderId="7" xfId="0" applyNumberFormat="1" applyFill="1" applyBorder="1" applyAlignment="1">
      <alignment vertical="center" wrapText="1"/>
    </xf>
    <xf numFmtId="0" fontId="20" fillId="0" borderId="0" xfId="0" applyFont="1" applyFill="1" applyAlignment="1">
      <alignment horizontal="right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43" fontId="22" fillId="0" borderId="113" xfId="1" applyFont="1" applyFill="1" applyBorder="1" applyAlignment="1">
      <alignment horizontal="right"/>
    </xf>
    <xf numFmtId="43" fontId="22" fillId="0" borderId="118" xfId="1" applyFont="1" applyFill="1" applyBorder="1" applyAlignment="1">
      <alignment horizontal="right"/>
    </xf>
    <xf numFmtId="43" fontId="22" fillId="0" borderId="119" xfId="1" applyFont="1" applyFill="1" applyBorder="1" applyAlignment="1">
      <alignment horizontal="right"/>
    </xf>
    <xf numFmtId="43" fontId="22" fillId="0" borderId="111" xfId="1" applyFont="1" applyFill="1" applyBorder="1" applyAlignment="1">
      <alignment horizontal="right"/>
    </xf>
    <xf numFmtId="43" fontId="22" fillId="0" borderId="112" xfId="1" applyFont="1" applyFill="1" applyBorder="1" applyAlignment="1">
      <alignment horizontal="right"/>
    </xf>
    <xf numFmtId="43" fontId="31" fillId="0" borderId="112" xfId="1" applyFont="1" applyFill="1" applyBorder="1" applyAlignment="1">
      <alignment horizontal="right"/>
    </xf>
    <xf numFmtId="43" fontId="20" fillId="0" borderId="15" xfId="1" applyFont="1" applyFill="1" applyBorder="1" applyAlignment="1">
      <alignment horizontal="right"/>
    </xf>
    <xf numFmtId="43" fontId="20" fillId="0" borderId="87" xfId="1" applyFont="1" applyFill="1" applyBorder="1" applyAlignment="1">
      <alignment horizontal="right"/>
    </xf>
    <xf numFmtId="43" fontId="20" fillId="0" borderId="114" xfId="1" applyFont="1" applyFill="1" applyBorder="1" applyAlignment="1">
      <alignment horizontal="right"/>
    </xf>
    <xf numFmtId="4" fontId="0" fillId="0" borderId="0" xfId="0" applyNumberFormat="1" applyFill="1"/>
    <xf numFmtId="4" fontId="0" fillId="0" borderId="0" xfId="0" applyNumberFormat="1" applyAlignment="1">
      <alignment vertical="center"/>
    </xf>
    <xf numFmtId="4" fontId="1" fillId="0" borderId="0" xfId="0" applyNumberFormat="1" applyFont="1"/>
    <xf numFmtId="4" fontId="0" fillId="0" borderId="0" xfId="0" applyNumberFormat="1" applyFont="1"/>
    <xf numFmtId="4" fontId="10" fillId="0" borderId="0" xfId="0" applyNumberFormat="1" applyFont="1"/>
    <xf numFmtId="4" fontId="1" fillId="0" borderId="0" xfId="0" applyNumberFormat="1" applyFont="1" applyFill="1"/>
    <xf numFmtId="43" fontId="18" fillId="0" borderId="71" xfId="0" applyNumberFormat="1" applyFont="1" applyFill="1" applyBorder="1"/>
    <xf numFmtId="0" fontId="18" fillId="0" borderId="16" xfId="0" applyFont="1" applyFill="1" applyBorder="1"/>
    <xf numFmtId="4" fontId="0" fillId="0" borderId="0" xfId="0" applyNumberFormat="1" applyFill="1" applyAlignment="1">
      <alignment vertical="center"/>
    </xf>
    <xf numFmtId="4" fontId="0" fillId="0" borderId="0" xfId="0" applyNumberFormat="1" applyFont="1" applyFill="1"/>
    <xf numFmtId="4" fontId="10" fillId="0" borderId="0" xfId="0" applyNumberFormat="1" applyFont="1" applyFill="1"/>
    <xf numFmtId="0" fontId="63" fillId="0" borderId="0" xfId="0" applyFont="1" applyFill="1" applyAlignment="1"/>
    <xf numFmtId="0" fontId="64" fillId="0" borderId="0" xfId="0" applyFont="1" applyFill="1" applyAlignment="1"/>
    <xf numFmtId="0" fontId="65" fillId="0" borderId="0" xfId="0" applyFont="1" applyFill="1" applyAlignment="1"/>
    <xf numFmtId="0" fontId="66" fillId="0" borderId="41" xfId="0" applyFont="1" applyBorder="1"/>
    <xf numFmtId="0" fontId="66" fillId="0" borderId="5" xfId="0" applyFont="1" applyBorder="1"/>
    <xf numFmtId="0" fontId="66" fillId="0" borderId="3" xfId="0" applyFont="1" applyBorder="1"/>
    <xf numFmtId="0" fontId="67" fillId="0" borderId="56" xfId="0" applyFont="1" applyBorder="1"/>
    <xf numFmtId="0" fontId="66" fillId="0" borderId="4" xfId="0" applyFont="1" applyBorder="1"/>
    <xf numFmtId="0" fontId="66" fillId="0" borderId="4" xfId="0" applyFont="1" applyFill="1" applyBorder="1"/>
    <xf numFmtId="0" fontId="66" fillId="0" borderId="3" xfId="0" applyFont="1" applyFill="1" applyBorder="1"/>
    <xf numFmtId="0" fontId="67" fillId="0" borderId="56" xfId="0" applyFont="1" applyFill="1" applyBorder="1"/>
    <xf numFmtId="0" fontId="66" fillId="0" borderId="41" xfId="0" applyFont="1" applyFill="1" applyBorder="1"/>
    <xf numFmtId="0" fontId="66" fillId="0" borderId="5" xfId="0" applyFont="1" applyFill="1" applyBorder="1"/>
    <xf numFmtId="0" fontId="67" fillId="0" borderId="56" xfId="0" applyFont="1" applyFill="1" applyBorder="1" applyAlignment="1">
      <alignment horizontal="left"/>
    </xf>
    <xf numFmtId="0" fontId="66" fillId="0" borderId="51" xfId="0" applyFont="1" applyBorder="1"/>
    <xf numFmtId="0" fontId="69" fillId="7" borderId="77" xfId="0" applyFont="1" applyFill="1" applyBorder="1"/>
    <xf numFmtId="0" fontId="67" fillId="0" borderId="77" xfId="0" applyFont="1" applyFill="1" applyBorder="1"/>
    <xf numFmtId="0" fontId="66" fillId="0" borderId="41" xfId="0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0" fontId="66" fillId="0" borderId="3" xfId="0" applyFont="1" applyFill="1" applyBorder="1" applyAlignment="1">
      <alignment horizontal="left"/>
    </xf>
    <xf numFmtId="0" fontId="64" fillId="0" borderId="0" xfId="0" applyFont="1" applyFill="1"/>
    <xf numFmtId="0" fontId="63" fillId="0" borderId="0" xfId="0" applyFont="1" applyFill="1"/>
    <xf numFmtId="0" fontId="64" fillId="0" borderId="0" xfId="0" applyFont="1"/>
    <xf numFmtId="4" fontId="5" fillId="0" borderId="0" xfId="0" applyNumberFormat="1" applyFont="1" applyFill="1" applyBorder="1"/>
    <xf numFmtId="4" fontId="27" fillId="0" borderId="0" xfId="1" applyNumberFormat="1" applyFont="1" applyFill="1" applyBorder="1" applyAlignment="1">
      <alignment horizontal="center" wrapText="1"/>
    </xf>
    <xf numFmtId="4" fontId="27" fillId="0" borderId="0" xfId="1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vertical="center"/>
    </xf>
    <xf numFmtId="4" fontId="3" fillId="0" borderId="0" xfId="1" applyNumberFormat="1" applyFont="1" applyFill="1" applyBorder="1"/>
    <xf numFmtId="4" fontId="19" fillId="0" borderId="0" xfId="0" applyNumberFormat="1" applyFont="1" applyFill="1" applyBorder="1"/>
    <xf numFmtId="4" fontId="9" fillId="0" borderId="0" xfId="1" applyNumberFormat="1" applyFont="1" applyFill="1" applyBorder="1"/>
    <xf numFmtId="4" fontId="13" fillId="0" borderId="0" xfId="1" applyNumberFormat="1" applyFont="1" applyFill="1" applyBorder="1" applyAlignment="1">
      <alignment horizontal="center"/>
    </xf>
    <xf numFmtId="4" fontId="12" fillId="0" borderId="0" xfId="1" applyNumberFormat="1" applyFont="1" applyFill="1" applyBorder="1" applyAlignment="1">
      <alignment horizontal="center"/>
    </xf>
    <xf numFmtId="49" fontId="0" fillId="0" borderId="0" xfId="0" applyNumberFormat="1" applyFill="1"/>
    <xf numFmtId="49" fontId="0" fillId="0" borderId="0" xfId="0" applyNumberFormat="1" applyFill="1" applyAlignment="1">
      <alignment vertical="center"/>
    </xf>
    <xf numFmtId="49" fontId="1" fillId="0" borderId="0" xfId="0" applyNumberFormat="1" applyFont="1" applyFill="1"/>
    <xf numFmtId="49" fontId="0" fillId="0" borderId="0" xfId="0" applyNumberFormat="1" applyFont="1" applyFill="1"/>
    <xf numFmtId="49" fontId="10" fillId="0" borderId="0" xfId="0" applyNumberFormat="1" applyFont="1" applyFill="1"/>
    <xf numFmtId="49" fontId="0" fillId="0" borderId="0" xfId="0" applyNumberFormat="1"/>
    <xf numFmtId="43" fontId="20" fillId="0" borderId="68" xfId="1" applyFont="1" applyFill="1" applyBorder="1" applyAlignment="1">
      <alignment horizontal="right"/>
    </xf>
    <xf numFmtId="4" fontId="47" fillId="0" borderId="1" xfId="0" applyNumberFormat="1" applyFont="1" applyBorder="1" applyAlignment="1">
      <alignment horizontal="right"/>
    </xf>
    <xf numFmtId="4" fontId="40" fillId="4" borderId="1" xfId="0" applyNumberFormat="1" applyFont="1" applyFill="1" applyBorder="1" applyAlignment="1">
      <alignment horizontal="right"/>
    </xf>
    <xf numFmtId="4" fontId="45" fillId="0" borderId="1" xfId="0" applyNumberFormat="1" applyFont="1" applyFill="1" applyBorder="1" applyAlignment="1" applyProtection="1">
      <alignment horizontal="right" vertical="center" wrapText="1"/>
    </xf>
    <xf numFmtId="4" fontId="49" fillId="0" borderId="1" xfId="0" applyNumberFormat="1" applyFont="1" applyFill="1" applyBorder="1" applyAlignment="1" applyProtection="1">
      <alignment horizontal="right" vertical="center" wrapText="1"/>
    </xf>
    <xf numFmtId="4" fontId="47" fillId="4" borderId="1" xfId="0" quotePrefix="1" applyNumberFormat="1" applyFont="1" applyFill="1" applyBorder="1" applyAlignment="1">
      <alignment horizontal="right" wrapText="1"/>
    </xf>
    <xf numFmtId="4" fontId="47" fillId="4" borderId="1" xfId="0" applyNumberFormat="1" applyFont="1" applyFill="1" applyBorder="1" applyAlignment="1" applyProtection="1">
      <alignment horizontal="right" vertical="center" wrapText="1"/>
    </xf>
    <xf numFmtId="4" fontId="51" fillId="4" borderId="1" xfId="0" applyNumberFormat="1" applyFont="1" applyFill="1" applyBorder="1" applyAlignment="1" applyProtection="1">
      <alignment horizontal="right" wrapText="1"/>
    </xf>
    <xf numFmtId="4" fontId="47" fillId="0" borderId="1" xfId="0" applyNumberFormat="1" applyFont="1" applyFill="1" applyBorder="1" applyAlignment="1">
      <alignment horizontal="right"/>
    </xf>
    <xf numFmtId="4" fontId="47" fillId="4" borderId="1" xfId="0" applyNumberFormat="1" applyFont="1" applyFill="1" applyBorder="1" applyAlignment="1">
      <alignment horizontal="right"/>
    </xf>
    <xf numFmtId="4" fontId="47" fillId="4" borderId="1" xfId="0" applyNumberFormat="1" applyFont="1" applyFill="1" applyBorder="1" applyAlignment="1" applyProtection="1">
      <alignment horizontal="right" wrapText="1"/>
    </xf>
    <xf numFmtId="4" fontId="49" fillId="0" borderId="1" xfId="0" applyNumberFormat="1" applyFont="1" applyFill="1" applyBorder="1" applyAlignment="1" applyProtection="1">
      <alignment horizontal="right" vertical="center"/>
    </xf>
    <xf numFmtId="4" fontId="49" fillId="4" borderId="1" xfId="0" applyNumberFormat="1" applyFont="1" applyFill="1" applyBorder="1" applyAlignment="1" applyProtection="1">
      <alignment horizontal="right" vertical="center"/>
    </xf>
    <xf numFmtId="4" fontId="49" fillId="4" borderId="1" xfId="0" applyNumberFormat="1" applyFont="1" applyFill="1" applyBorder="1" applyAlignment="1" applyProtection="1">
      <alignment horizontal="right" vertical="center" wrapText="1"/>
    </xf>
    <xf numFmtId="0" fontId="41" fillId="0" borderId="0" xfId="0" applyNumberFormat="1" applyFont="1" applyFill="1" applyBorder="1" applyAlignment="1" applyProtection="1">
      <alignment horizontal="left" vertical="center"/>
    </xf>
    <xf numFmtId="4" fontId="0" fillId="0" borderId="1" xfId="0" applyNumberFormat="1" applyBorder="1"/>
    <xf numFmtId="4" fontId="43" fillId="2" borderId="1" xfId="0" applyNumberFormat="1" applyFont="1" applyFill="1" applyBorder="1" applyAlignment="1">
      <alignment horizontal="right"/>
    </xf>
    <xf numFmtId="0" fontId="60" fillId="2" borderId="1" xfId="0" quotePrefix="1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horizontal="left" vertical="center"/>
    </xf>
    <xf numFmtId="0" fontId="60" fillId="2" borderId="1" xfId="0" applyNumberFormat="1" applyFont="1" applyFill="1" applyBorder="1" applyAlignment="1" applyProtection="1">
      <alignment horizontal="left" vertical="center" wrapText="1"/>
    </xf>
    <xf numFmtId="0" fontId="47" fillId="0" borderId="0" xfId="0" applyNumberFormat="1" applyFont="1" applyFill="1" applyBorder="1" applyAlignment="1" applyProtection="1">
      <alignment horizontal="left" vertical="center"/>
    </xf>
    <xf numFmtId="4" fontId="49" fillId="2" borderId="1" xfId="0" quotePrefix="1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43" fillId="2" borderId="1" xfId="0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 applyProtection="1">
      <alignment vertical="center" wrapText="1"/>
    </xf>
    <xf numFmtId="4" fontId="0" fillId="0" borderId="1" xfId="0" applyNumberFormat="1" applyBorder="1" applyAlignment="1">
      <alignment horizontal="right" vertical="center"/>
    </xf>
    <xf numFmtId="0" fontId="0" fillId="0" borderId="0" xfId="0" applyAlignment="1">
      <alignment wrapText="1"/>
    </xf>
    <xf numFmtId="4" fontId="1" fillId="0" borderId="1" xfId="0" applyNumberFormat="1" applyFont="1" applyBorder="1" applyAlignment="1">
      <alignment vertical="center" wrapText="1"/>
    </xf>
    <xf numFmtId="0" fontId="61" fillId="2" borderId="1" xfId="0" quotePrefix="1" applyFont="1" applyFill="1" applyBorder="1" applyAlignment="1">
      <alignment vertical="center" wrapText="1"/>
    </xf>
    <xf numFmtId="0" fontId="61" fillId="2" borderId="1" xfId="0" applyFont="1" applyFill="1" applyBorder="1" applyAlignment="1">
      <alignment vertical="center" wrapText="1"/>
    </xf>
    <xf numFmtId="0" fontId="61" fillId="2" borderId="1" xfId="0" applyNumberFormat="1" applyFont="1" applyFill="1" applyBorder="1" applyAlignment="1" applyProtection="1">
      <alignment vertical="center" wrapText="1"/>
    </xf>
    <xf numFmtId="0" fontId="53" fillId="2" borderId="1" xfId="0" applyNumberFormat="1" applyFont="1" applyFill="1" applyBorder="1" applyAlignment="1" applyProtection="1">
      <alignment vertical="center" wrapText="1"/>
    </xf>
    <xf numFmtId="0" fontId="17" fillId="2" borderId="1" xfId="0" applyNumberFormat="1" applyFont="1" applyFill="1" applyBorder="1" applyAlignment="1" applyProtection="1">
      <alignment vertical="center" wrapText="1"/>
    </xf>
    <xf numFmtId="0" fontId="53" fillId="2" borderId="1" xfId="0" quotePrefix="1" applyFont="1" applyFill="1" applyBorder="1" applyAlignment="1">
      <alignment vertical="center" wrapText="1"/>
    </xf>
    <xf numFmtId="0" fontId="53" fillId="2" borderId="1" xfId="0" applyFont="1" applyFill="1" applyBorder="1" applyAlignment="1">
      <alignment vertical="center" wrapText="1"/>
    </xf>
    <xf numFmtId="4" fontId="0" fillId="0" borderId="1" xfId="0" applyNumberFormat="1" applyBorder="1" applyAlignment="1">
      <alignment horizontal="right" vertical="center" wrapText="1"/>
    </xf>
    <xf numFmtId="4" fontId="43" fillId="2" borderId="33" xfId="0" applyNumberFormat="1" applyFont="1" applyFill="1" applyBorder="1" applyAlignment="1">
      <alignment horizontal="right" vertical="center"/>
    </xf>
    <xf numFmtId="4" fontId="43" fillId="2" borderId="1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43" fontId="21" fillId="0" borderId="74" xfId="1" applyFont="1" applyFill="1" applyBorder="1" applyAlignment="1">
      <alignment horizontal="center" vertical="center" wrapText="1"/>
    </xf>
    <xf numFmtId="43" fontId="21" fillId="0" borderId="70" xfId="1" applyFont="1" applyFill="1" applyBorder="1" applyAlignment="1">
      <alignment horizontal="center" vertical="center" wrapText="1"/>
    </xf>
    <xf numFmtId="43" fontId="21" fillId="0" borderId="75" xfId="1" applyFont="1" applyFill="1" applyBorder="1" applyAlignment="1">
      <alignment horizontal="center" vertical="center" wrapText="1"/>
    </xf>
    <xf numFmtId="43" fontId="21" fillId="0" borderId="78" xfId="1" applyFont="1" applyFill="1" applyBorder="1" applyAlignment="1">
      <alignment horizontal="center" vertical="center" wrapText="1"/>
    </xf>
    <xf numFmtId="43" fontId="21" fillId="0" borderId="48" xfId="1" applyFont="1" applyFill="1" applyBorder="1" applyAlignment="1">
      <alignment horizontal="center" vertical="center" wrapText="1"/>
    </xf>
    <xf numFmtId="43" fontId="21" fillId="0" borderId="24" xfId="1" applyFont="1" applyFill="1" applyBorder="1" applyAlignment="1">
      <alignment horizontal="center" vertical="center" wrapText="1"/>
    </xf>
    <xf numFmtId="43" fontId="21" fillId="0" borderId="25" xfId="1" applyFont="1" applyFill="1" applyBorder="1" applyAlignment="1">
      <alignment horizontal="center" vertical="center" wrapText="1"/>
    </xf>
    <xf numFmtId="43" fontId="21" fillId="0" borderId="76" xfId="1" applyFont="1" applyFill="1" applyBorder="1" applyAlignment="1">
      <alignment horizontal="center" vertical="center" wrapText="1"/>
    </xf>
    <xf numFmtId="43" fontId="29" fillId="0" borderId="77" xfId="1" applyFont="1" applyFill="1" applyBorder="1" applyAlignment="1">
      <alignment horizontal="center" vertical="center" wrapText="1"/>
    </xf>
    <xf numFmtId="43" fontId="35" fillId="0" borderId="74" xfId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/>
    </xf>
    <xf numFmtId="0" fontId="19" fillId="0" borderId="18" xfId="0" applyFont="1" applyFill="1" applyBorder="1" applyAlignment="1">
      <alignment vertical="center"/>
    </xf>
    <xf numFmtId="43" fontId="22" fillId="0" borderId="58" xfId="1" applyFont="1" applyFill="1" applyBorder="1" applyAlignment="1">
      <alignment horizontal="right"/>
    </xf>
    <xf numFmtId="43" fontId="23" fillId="0" borderId="58" xfId="1" applyFont="1" applyFill="1" applyBorder="1" applyAlignment="1">
      <alignment horizontal="right"/>
    </xf>
    <xf numFmtId="43" fontId="22" fillId="0" borderId="7" xfId="1" applyFont="1" applyFill="1" applyBorder="1" applyAlignment="1">
      <alignment horizontal="right"/>
    </xf>
    <xf numFmtId="43" fontId="22" fillId="0" borderId="31" xfId="1" applyFont="1" applyFill="1" applyBorder="1" applyAlignment="1">
      <alignment horizontal="right"/>
    </xf>
    <xf numFmtId="43" fontId="23" fillId="0" borderId="22" xfId="1" applyFont="1" applyFill="1" applyBorder="1" applyAlignment="1">
      <alignment horizontal="right"/>
    </xf>
    <xf numFmtId="43" fontId="20" fillId="0" borderId="7" xfId="1" applyFont="1" applyFill="1" applyBorder="1" applyAlignment="1">
      <alignment horizontal="right"/>
    </xf>
    <xf numFmtId="43" fontId="22" fillId="0" borderId="86" xfId="1" applyFont="1" applyFill="1" applyBorder="1" applyAlignment="1">
      <alignment horizontal="right"/>
    </xf>
    <xf numFmtId="43" fontId="23" fillId="0" borderId="109" xfId="1" applyFont="1" applyFill="1" applyBorder="1" applyAlignment="1">
      <alignment horizontal="right"/>
    </xf>
    <xf numFmtId="43" fontId="23" fillId="0" borderId="86" xfId="1" applyFont="1" applyFill="1" applyBorder="1" applyAlignment="1">
      <alignment horizontal="right"/>
    </xf>
    <xf numFmtId="43" fontId="23" fillId="0" borderId="120" xfId="1" applyFont="1" applyFill="1" applyBorder="1" applyAlignment="1">
      <alignment horizontal="right"/>
    </xf>
    <xf numFmtId="43" fontId="23" fillId="0" borderId="49" xfId="1" applyFont="1" applyFill="1" applyBorder="1" applyAlignment="1">
      <alignment horizontal="right"/>
    </xf>
    <xf numFmtId="43" fontId="22" fillId="0" borderId="4" xfId="1" applyFont="1" applyFill="1" applyBorder="1" applyAlignment="1">
      <alignment horizontal="right"/>
    </xf>
    <xf numFmtId="0" fontId="20" fillId="0" borderId="13" xfId="0" applyFont="1" applyFill="1" applyBorder="1" applyAlignment="1">
      <alignment horizontal="right"/>
    </xf>
    <xf numFmtId="0" fontId="20" fillId="0" borderId="14" xfId="0" applyFont="1" applyFill="1" applyBorder="1" applyAlignment="1">
      <alignment horizontal="right"/>
    </xf>
    <xf numFmtId="0" fontId="26" fillId="0" borderId="14" xfId="0" applyFont="1" applyFill="1" applyBorder="1" applyAlignment="1">
      <alignment horizontal="right"/>
    </xf>
    <xf numFmtId="43" fontId="23" fillId="0" borderId="12" xfId="1" applyFont="1" applyFill="1" applyBorder="1" applyAlignment="1">
      <alignment horizontal="right"/>
    </xf>
    <xf numFmtId="43" fontId="23" fillId="0" borderId="23" xfId="1" applyFont="1" applyFill="1" applyBorder="1" applyAlignment="1">
      <alignment horizontal="right"/>
    </xf>
    <xf numFmtId="43" fontId="37" fillId="0" borderId="58" xfId="1" applyFont="1" applyFill="1" applyBorder="1" applyAlignment="1">
      <alignment horizontal="right"/>
    </xf>
    <xf numFmtId="43" fontId="38" fillId="0" borderId="58" xfId="1" applyFont="1" applyFill="1" applyBorder="1" applyAlignment="1">
      <alignment horizontal="right"/>
    </xf>
    <xf numFmtId="43" fontId="23" fillId="0" borderId="94" xfId="1" applyFont="1" applyFill="1" applyBorder="1" applyAlignment="1">
      <alignment horizontal="right"/>
    </xf>
    <xf numFmtId="43" fontId="23" fillId="0" borderId="88" xfId="1" applyFont="1" applyFill="1" applyBorder="1" applyAlignment="1">
      <alignment horizontal="right"/>
    </xf>
    <xf numFmtId="43" fontId="23" fillId="0" borderId="102" xfId="1" applyFont="1" applyFill="1" applyBorder="1" applyAlignment="1">
      <alignment horizontal="right"/>
    </xf>
    <xf numFmtId="43" fontId="22" fillId="0" borderId="76" xfId="1" applyFont="1" applyFill="1" applyBorder="1" applyAlignment="1">
      <alignment horizontal="right"/>
    </xf>
    <xf numFmtId="43" fontId="23" fillId="0" borderId="76" xfId="1" applyFont="1" applyFill="1" applyBorder="1" applyAlignment="1">
      <alignment horizontal="right"/>
    </xf>
    <xf numFmtId="43" fontId="22" fillId="0" borderId="34" xfId="1" applyFont="1" applyFill="1" applyBorder="1" applyAlignment="1">
      <alignment horizontal="right"/>
    </xf>
    <xf numFmtId="4" fontId="0" fillId="0" borderId="0" xfId="0" applyNumberFormat="1" applyFill="1" applyBorder="1"/>
    <xf numFmtId="43" fontId="21" fillId="4" borderId="74" xfId="1" applyFont="1" applyFill="1" applyBorder="1" applyAlignment="1">
      <alignment horizontal="center" vertical="center" wrapText="1"/>
    </xf>
    <xf numFmtId="43" fontId="21" fillId="4" borderId="70" xfId="1" applyFont="1" applyFill="1" applyBorder="1" applyAlignment="1">
      <alignment horizontal="center" vertical="center" wrapText="1"/>
    </xf>
    <xf numFmtId="43" fontId="21" fillId="4" borderId="78" xfId="1" applyFont="1" applyFill="1" applyBorder="1" applyAlignment="1">
      <alignment horizontal="center" vertical="center" wrapText="1"/>
    </xf>
    <xf numFmtId="43" fontId="21" fillId="4" borderId="48" xfId="1" applyFont="1" applyFill="1" applyBorder="1" applyAlignment="1">
      <alignment horizontal="center" vertical="center" wrapText="1"/>
    </xf>
    <xf numFmtId="43" fontId="20" fillId="4" borderId="32" xfId="1" applyFont="1" applyFill="1" applyBorder="1" applyAlignment="1">
      <alignment horizontal="right"/>
    </xf>
    <xf numFmtId="43" fontId="20" fillId="4" borderId="1" xfId="1" applyFont="1" applyFill="1" applyBorder="1" applyAlignment="1">
      <alignment horizontal="right"/>
    </xf>
    <xf numFmtId="43" fontId="20" fillId="4" borderId="33" xfId="1" applyFont="1" applyFill="1" applyBorder="1" applyAlignment="1">
      <alignment horizontal="right"/>
    </xf>
    <xf numFmtId="43" fontId="20" fillId="4" borderId="40" xfId="1" applyFont="1" applyFill="1" applyBorder="1" applyAlignment="1">
      <alignment horizontal="right"/>
    </xf>
    <xf numFmtId="43" fontId="20" fillId="4" borderId="2" xfId="1" applyFont="1" applyFill="1" applyBorder="1" applyAlignment="1">
      <alignment horizontal="right"/>
    </xf>
    <xf numFmtId="43" fontId="20" fillId="4" borderId="37" xfId="1" applyFont="1" applyFill="1" applyBorder="1" applyAlignment="1">
      <alignment horizontal="right"/>
    </xf>
    <xf numFmtId="43" fontId="22" fillId="4" borderId="13" xfId="1" applyFont="1" applyFill="1" applyBorder="1" applyAlignment="1">
      <alignment horizontal="right"/>
    </xf>
    <xf numFmtId="43" fontId="22" fillId="4" borderId="57" xfId="1" applyFont="1" applyFill="1" applyBorder="1" applyAlignment="1">
      <alignment horizontal="right"/>
    </xf>
    <xf numFmtId="43" fontId="22" fillId="4" borderId="63" xfId="1" applyFont="1" applyFill="1" applyBorder="1" applyAlignment="1">
      <alignment horizontal="right"/>
    </xf>
    <xf numFmtId="43" fontId="22" fillId="4" borderId="58" xfId="1" applyFont="1" applyFill="1" applyBorder="1" applyAlignment="1">
      <alignment horizontal="right"/>
    </xf>
    <xf numFmtId="43" fontId="22" fillId="4" borderId="39" xfId="1" applyFont="1" applyFill="1" applyBorder="1" applyAlignment="1">
      <alignment horizontal="right"/>
    </xf>
    <xf numFmtId="43" fontId="22" fillId="4" borderId="7" xfId="1" applyFont="1" applyFill="1" applyBorder="1" applyAlignment="1">
      <alignment horizontal="right"/>
    </xf>
    <xf numFmtId="43" fontId="22" fillId="4" borderId="36" xfId="1" applyFont="1" applyFill="1" applyBorder="1" applyAlignment="1">
      <alignment horizontal="right"/>
    </xf>
    <xf numFmtId="43" fontId="20" fillId="4" borderId="66" xfId="1" applyFont="1" applyFill="1" applyBorder="1" applyAlignment="1">
      <alignment horizontal="right"/>
    </xf>
    <xf numFmtId="43" fontId="20" fillId="4" borderId="50" xfId="1" applyFont="1" applyFill="1" applyBorder="1" applyAlignment="1">
      <alignment horizontal="right"/>
    </xf>
    <xf numFmtId="43" fontId="20" fillId="4" borderId="73" xfId="1" applyFont="1" applyFill="1" applyBorder="1" applyAlignment="1">
      <alignment horizontal="right"/>
    </xf>
    <xf numFmtId="43" fontId="20" fillId="4" borderId="39" xfId="1" applyFont="1" applyFill="1" applyBorder="1" applyAlignment="1">
      <alignment horizontal="right"/>
    </xf>
    <xf numFmtId="43" fontId="20" fillId="4" borderId="7" xfId="1" applyFont="1" applyFill="1" applyBorder="1" applyAlignment="1">
      <alignment horizontal="right"/>
    </xf>
    <xf numFmtId="43" fontId="20" fillId="4" borderId="36" xfId="1" applyFont="1" applyFill="1" applyBorder="1" applyAlignment="1">
      <alignment horizontal="right"/>
    </xf>
    <xf numFmtId="43" fontId="22" fillId="4" borderId="83" xfId="1" applyFont="1" applyFill="1" applyBorder="1" applyAlignment="1">
      <alignment horizontal="right"/>
    </xf>
    <xf numFmtId="43" fontId="22" fillId="4" borderId="84" xfId="1" applyFont="1" applyFill="1" applyBorder="1" applyAlignment="1">
      <alignment horizontal="right"/>
    </xf>
    <xf numFmtId="43" fontId="22" fillId="4" borderId="85" xfId="1" applyFont="1" applyFill="1" applyBorder="1" applyAlignment="1">
      <alignment horizontal="right"/>
    </xf>
    <xf numFmtId="43" fontId="22" fillId="4" borderId="86" xfId="1" applyFont="1" applyFill="1" applyBorder="1" applyAlignment="1">
      <alignment horizontal="right"/>
    </xf>
    <xf numFmtId="43" fontId="20" fillId="4" borderId="91" xfId="1" applyFont="1" applyFill="1" applyBorder="1" applyAlignment="1">
      <alignment horizontal="right"/>
    </xf>
    <xf numFmtId="43" fontId="20" fillId="4" borderId="92" xfId="1" applyFont="1" applyFill="1" applyBorder="1" applyAlignment="1">
      <alignment horizontal="right"/>
    </xf>
    <xf numFmtId="43" fontId="20" fillId="4" borderId="93" xfId="1" applyFont="1" applyFill="1" applyBorder="1" applyAlignment="1">
      <alignment horizontal="right"/>
    </xf>
    <xf numFmtId="43" fontId="22" fillId="4" borderId="113" xfId="1" applyFont="1" applyFill="1" applyBorder="1" applyAlignment="1">
      <alignment horizontal="right"/>
    </xf>
    <xf numFmtId="43" fontId="23" fillId="4" borderId="66" xfId="1" applyFont="1" applyFill="1" applyBorder="1" applyAlignment="1">
      <alignment horizontal="right"/>
    </xf>
    <xf numFmtId="43" fontId="23" fillId="4" borderId="50" xfId="1" applyFont="1" applyFill="1" applyBorder="1" applyAlignment="1">
      <alignment horizontal="right"/>
    </xf>
    <xf numFmtId="43" fontId="23" fillId="4" borderId="73" xfId="1" applyFont="1" applyFill="1" applyBorder="1" applyAlignment="1">
      <alignment horizontal="right"/>
    </xf>
    <xf numFmtId="43" fontId="22" fillId="4" borderId="55" xfId="1" applyFont="1" applyFill="1" applyBorder="1" applyAlignment="1">
      <alignment horizontal="right"/>
    </xf>
    <xf numFmtId="43" fontId="20" fillId="4" borderId="30" xfId="1" applyFont="1" applyFill="1" applyBorder="1" applyAlignment="1">
      <alignment horizontal="right"/>
    </xf>
    <xf numFmtId="43" fontId="20" fillId="4" borderId="9" xfId="1" applyFont="1" applyFill="1" applyBorder="1" applyAlignment="1">
      <alignment horizontal="right"/>
    </xf>
    <xf numFmtId="43" fontId="20" fillId="4" borderId="79" xfId="1" applyFont="1" applyFill="1" applyBorder="1" applyAlignment="1">
      <alignment horizontal="right"/>
    </xf>
    <xf numFmtId="43" fontId="23" fillId="4" borderId="13" xfId="1" applyFont="1" applyFill="1" applyBorder="1" applyAlignment="1">
      <alignment horizontal="right"/>
    </xf>
    <xf numFmtId="43" fontId="23" fillId="4" borderId="57" xfId="1" applyFont="1" applyFill="1" applyBorder="1" applyAlignment="1">
      <alignment horizontal="right"/>
    </xf>
    <xf numFmtId="43" fontId="23" fillId="4" borderId="63" xfId="1" applyFont="1" applyFill="1" applyBorder="1" applyAlignment="1">
      <alignment horizontal="right"/>
    </xf>
    <xf numFmtId="43" fontId="22" fillId="4" borderId="81" xfId="1" applyFont="1" applyFill="1" applyBorder="1" applyAlignment="1">
      <alignment horizontal="right"/>
    </xf>
    <xf numFmtId="43" fontId="22" fillId="4" borderId="32" xfId="1" applyFont="1" applyFill="1" applyBorder="1" applyAlignment="1">
      <alignment horizontal="right"/>
    </xf>
    <xf numFmtId="43" fontId="22" fillId="4" borderId="1" xfId="1" applyFont="1" applyFill="1" applyBorder="1" applyAlignment="1">
      <alignment horizontal="right"/>
    </xf>
    <xf numFmtId="43" fontId="22" fillId="4" borderId="33" xfId="1" applyFont="1" applyFill="1" applyBorder="1" applyAlignment="1">
      <alignment horizontal="right"/>
    </xf>
    <xf numFmtId="43" fontId="22" fillId="4" borderId="40" xfId="1" applyFont="1" applyFill="1" applyBorder="1" applyAlignment="1">
      <alignment horizontal="right"/>
    </xf>
    <xf numFmtId="43" fontId="22" fillId="4" borderId="2" xfId="1" applyFont="1" applyFill="1" applyBorder="1" applyAlignment="1">
      <alignment horizontal="right"/>
    </xf>
    <xf numFmtId="43" fontId="22" fillId="4" borderId="37" xfId="1" applyFont="1" applyFill="1" applyBorder="1" applyAlignment="1">
      <alignment horizontal="right"/>
    </xf>
    <xf numFmtId="43" fontId="23" fillId="4" borderId="81" xfId="1" applyFont="1" applyFill="1" applyBorder="1" applyAlignment="1">
      <alignment horizontal="right"/>
    </xf>
    <xf numFmtId="43" fontId="23" fillId="4" borderId="83" xfId="1" applyFont="1" applyFill="1" applyBorder="1" applyAlignment="1">
      <alignment horizontal="right"/>
    </xf>
    <xf numFmtId="43" fontId="23" fillId="4" borderId="84" xfId="1" applyFont="1" applyFill="1" applyBorder="1" applyAlignment="1">
      <alignment horizontal="right"/>
    </xf>
    <xf numFmtId="43" fontId="23" fillId="4" borderId="85" xfId="1" applyFont="1" applyFill="1" applyBorder="1" applyAlignment="1">
      <alignment horizontal="right"/>
    </xf>
    <xf numFmtId="43" fontId="23" fillId="4" borderId="86" xfId="1" applyFont="1" applyFill="1" applyBorder="1" applyAlignment="1">
      <alignment horizontal="right"/>
    </xf>
    <xf numFmtId="43" fontId="23" fillId="4" borderId="80" xfId="1" applyFont="1" applyFill="1" applyBorder="1" applyAlignment="1">
      <alignment horizontal="right"/>
    </xf>
    <xf numFmtId="43" fontId="24" fillId="4" borderId="13" xfId="1" applyFont="1" applyFill="1" applyBorder="1" applyAlignment="1">
      <alignment horizontal="right"/>
    </xf>
    <xf numFmtId="43" fontId="24" fillId="4" borderId="57" xfId="1" applyFont="1" applyFill="1" applyBorder="1" applyAlignment="1">
      <alignment horizontal="right"/>
    </xf>
    <xf numFmtId="43" fontId="24" fillId="4" borderId="63" xfId="1" applyFont="1" applyFill="1" applyBorder="1" applyAlignment="1">
      <alignment horizontal="right"/>
    </xf>
    <xf numFmtId="43" fontId="25" fillId="4" borderId="13" xfId="1" applyFont="1" applyFill="1" applyBorder="1" applyAlignment="1">
      <alignment horizontal="right"/>
    </xf>
    <xf numFmtId="43" fontId="25" fillId="4" borderId="57" xfId="1" applyFont="1" applyFill="1" applyBorder="1" applyAlignment="1">
      <alignment horizontal="right"/>
    </xf>
    <xf numFmtId="43" fontId="25" fillId="4" borderId="63" xfId="1" applyFont="1" applyFill="1" applyBorder="1" applyAlignment="1">
      <alignment horizontal="right"/>
    </xf>
    <xf numFmtId="43" fontId="22" fillId="4" borderId="91" xfId="1" applyFont="1" applyFill="1" applyBorder="1" applyAlignment="1">
      <alignment horizontal="right"/>
    </xf>
    <xf numFmtId="43" fontId="22" fillId="4" borderId="92" xfId="1" applyFont="1" applyFill="1" applyBorder="1" applyAlignment="1">
      <alignment horizontal="right"/>
    </xf>
    <xf numFmtId="43" fontId="22" fillId="4" borderId="93" xfId="1" applyFont="1" applyFill="1" applyBorder="1" applyAlignment="1">
      <alignment horizontal="right"/>
    </xf>
    <xf numFmtId="43" fontId="20" fillId="4" borderId="99" xfId="1" applyFont="1" applyFill="1" applyBorder="1" applyAlignment="1">
      <alignment horizontal="right"/>
    </xf>
    <xf numFmtId="43" fontId="20" fillId="4" borderId="100" xfId="1" applyFont="1" applyFill="1" applyBorder="1" applyAlignment="1">
      <alignment horizontal="right"/>
    </xf>
    <xf numFmtId="43" fontId="20" fillId="4" borderId="101" xfId="1" applyFont="1" applyFill="1" applyBorder="1" applyAlignment="1">
      <alignment horizontal="right"/>
    </xf>
    <xf numFmtId="43" fontId="23" fillId="4" borderId="104" xfId="1" applyFont="1" applyFill="1" applyBorder="1" applyAlignment="1">
      <alignment horizontal="right"/>
    </xf>
    <xf numFmtId="43" fontId="23" fillId="4" borderId="106" xfId="1" applyFont="1" applyFill="1" applyBorder="1" applyAlignment="1">
      <alignment horizontal="right"/>
    </xf>
    <xf numFmtId="43" fontId="23" fillId="4" borderId="107" xfId="1" applyFont="1" applyFill="1" applyBorder="1" applyAlignment="1">
      <alignment horizontal="right"/>
    </xf>
    <xf numFmtId="43" fontId="23" fillId="4" borderId="108" xfId="1" applyFont="1" applyFill="1" applyBorder="1" applyAlignment="1">
      <alignment horizontal="right"/>
    </xf>
    <xf numFmtId="43" fontId="23" fillId="4" borderId="109" xfId="1" applyFont="1" applyFill="1" applyBorder="1" applyAlignment="1">
      <alignment horizontal="right"/>
    </xf>
    <xf numFmtId="43" fontId="21" fillId="4" borderId="40" xfId="1" applyFont="1" applyFill="1" applyBorder="1" applyAlignment="1">
      <alignment horizontal="right"/>
    </xf>
    <xf numFmtId="43" fontId="21" fillId="4" borderId="2" xfId="1" applyFont="1" applyFill="1" applyBorder="1" applyAlignment="1">
      <alignment horizontal="right"/>
    </xf>
    <xf numFmtId="43" fontId="21" fillId="4" borderId="37" xfId="1" applyFont="1" applyFill="1" applyBorder="1" applyAlignment="1">
      <alignment horizontal="right"/>
    </xf>
    <xf numFmtId="43" fontId="21" fillId="4" borderId="39" xfId="1" applyFont="1" applyFill="1" applyBorder="1" applyAlignment="1">
      <alignment horizontal="right"/>
    </xf>
    <xf numFmtId="43" fontId="21" fillId="4" borderId="7" xfId="1" applyFont="1" applyFill="1" applyBorder="1" applyAlignment="1">
      <alignment horizontal="right"/>
    </xf>
    <xf numFmtId="43" fontId="21" fillId="4" borderId="36" xfId="1" applyFont="1" applyFill="1" applyBorder="1" applyAlignment="1">
      <alignment horizontal="right"/>
    </xf>
    <xf numFmtId="43" fontId="22" fillId="4" borderId="99" xfId="1" applyFont="1" applyFill="1" applyBorder="1" applyAlignment="1">
      <alignment horizontal="right"/>
    </xf>
    <xf numFmtId="43" fontId="22" fillId="4" borderId="100" xfId="1" applyFont="1" applyFill="1" applyBorder="1" applyAlignment="1">
      <alignment horizontal="right"/>
    </xf>
    <xf numFmtId="43" fontId="22" fillId="4" borderId="101" xfId="1" applyFont="1" applyFill="1" applyBorder="1" applyAlignment="1">
      <alignment horizontal="right"/>
    </xf>
    <xf numFmtId="43" fontId="22" fillId="4" borderId="68" xfId="1" applyFont="1" applyFill="1" applyBorder="1" applyAlignment="1">
      <alignment horizontal="right"/>
    </xf>
    <xf numFmtId="43" fontId="22" fillId="4" borderId="70" xfId="1" applyFont="1" applyFill="1" applyBorder="1" applyAlignment="1">
      <alignment horizontal="right"/>
    </xf>
    <xf numFmtId="43" fontId="22" fillId="4" borderId="75" xfId="1" applyFont="1" applyFill="1" applyBorder="1" applyAlignment="1">
      <alignment horizontal="right"/>
    </xf>
    <xf numFmtId="43" fontId="22" fillId="4" borderId="76" xfId="1" applyFont="1" applyFill="1" applyBorder="1" applyAlignment="1">
      <alignment horizontal="right"/>
    </xf>
    <xf numFmtId="43" fontId="22" fillId="4" borderId="78" xfId="1" applyFont="1" applyFill="1" applyBorder="1" applyAlignment="1">
      <alignment horizontal="right"/>
    </xf>
    <xf numFmtId="43" fontId="22" fillId="4" borderId="16" xfId="1" applyFont="1" applyFill="1" applyBorder="1" applyAlignment="1">
      <alignment horizontal="right"/>
    </xf>
    <xf numFmtId="43" fontId="21" fillId="6" borderId="24" xfId="1" applyFont="1" applyFill="1" applyBorder="1" applyAlignment="1">
      <alignment horizontal="center" vertical="center" wrapText="1"/>
    </xf>
    <xf numFmtId="43" fontId="21" fillId="6" borderId="25" xfId="1" applyFont="1" applyFill="1" applyBorder="1" applyAlignment="1">
      <alignment horizontal="center" vertical="center" wrapText="1"/>
    </xf>
    <xf numFmtId="43" fontId="20" fillId="6" borderId="1" xfId="1" applyFont="1" applyFill="1" applyBorder="1" applyAlignment="1">
      <alignment horizontal="right"/>
    </xf>
    <xf numFmtId="43" fontId="20" fillId="6" borderId="2" xfId="1" applyFont="1" applyFill="1" applyBorder="1" applyAlignment="1">
      <alignment horizontal="right"/>
    </xf>
    <xf numFmtId="43" fontId="22" fillId="6" borderId="7" xfId="1" applyFont="1" applyFill="1" applyBorder="1" applyAlignment="1">
      <alignment horizontal="right"/>
    </xf>
    <xf numFmtId="43" fontId="22" fillId="6" borderId="14" xfId="1" applyFont="1" applyFill="1" applyBorder="1" applyAlignment="1">
      <alignment horizontal="right"/>
    </xf>
    <xf numFmtId="43" fontId="20" fillId="6" borderId="50" xfId="1" applyFont="1" applyFill="1" applyBorder="1" applyAlignment="1">
      <alignment horizontal="right"/>
    </xf>
    <xf numFmtId="43" fontId="20" fillId="6" borderId="7" xfId="1" applyFont="1" applyFill="1" applyBorder="1" applyAlignment="1">
      <alignment horizontal="right"/>
    </xf>
    <xf numFmtId="43" fontId="20" fillId="6" borderId="92" xfId="1" applyFont="1" applyFill="1" applyBorder="1" applyAlignment="1">
      <alignment horizontal="right"/>
    </xf>
    <xf numFmtId="43" fontId="23" fillId="6" borderId="50" xfId="1" applyFont="1" applyFill="1" applyBorder="1" applyAlignment="1">
      <alignment horizontal="right"/>
    </xf>
    <xf numFmtId="43" fontId="20" fillId="6" borderId="9" xfId="1" applyFont="1" applyFill="1" applyBorder="1" applyAlignment="1">
      <alignment horizontal="right"/>
    </xf>
    <xf numFmtId="43" fontId="22" fillId="6" borderId="1" xfId="1" applyFont="1" applyFill="1" applyBorder="1" applyAlignment="1">
      <alignment horizontal="right"/>
    </xf>
    <xf numFmtId="43" fontId="22" fillId="6" borderId="2" xfId="1" applyFont="1" applyFill="1" applyBorder="1" applyAlignment="1">
      <alignment horizontal="right"/>
    </xf>
    <xf numFmtId="43" fontId="23" fillId="6" borderId="57" xfId="1" applyFont="1" applyFill="1" applyBorder="1" applyAlignment="1">
      <alignment horizontal="right"/>
    </xf>
    <xf numFmtId="43" fontId="24" fillId="6" borderId="57" xfId="1" applyFont="1" applyFill="1" applyBorder="1" applyAlignment="1">
      <alignment horizontal="right"/>
    </xf>
    <xf numFmtId="43" fontId="25" fillId="6" borderId="57" xfId="1" applyFont="1" applyFill="1" applyBorder="1" applyAlignment="1">
      <alignment horizontal="right"/>
    </xf>
    <xf numFmtId="43" fontId="22" fillId="6" borderId="92" xfId="1" applyFont="1" applyFill="1" applyBorder="1" applyAlignment="1">
      <alignment horizontal="right"/>
    </xf>
    <xf numFmtId="43" fontId="20" fillId="6" borderId="100" xfId="1" applyFont="1" applyFill="1" applyBorder="1" applyAlignment="1">
      <alignment horizontal="right"/>
    </xf>
    <xf numFmtId="43" fontId="20" fillId="6" borderId="116" xfId="1" applyFont="1" applyFill="1" applyBorder="1" applyAlignment="1">
      <alignment horizontal="right"/>
    </xf>
    <xf numFmtId="43" fontId="20" fillId="6" borderId="117" xfId="1" applyFont="1" applyFill="1" applyBorder="1" applyAlignment="1">
      <alignment horizontal="right"/>
    </xf>
    <xf numFmtId="43" fontId="22" fillId="6" borderId="104" xfId="1" applyFont="1" applyFill="1" applyBorder="1" applyAlignment="1">
      <alignment horizontal="right"/>
    </xf>
    <xf numFmtId="43" fontId="22" fillId="6" borderId="107" xfId="1" applyFont="1" applyFill="1" applyBorder="1" applyAlignment="1">
      <alignment horizontal="right"/>
    </xf>
    <xf numFmtId="43" fontId="22" fillId="6" borderId="44" xfId="1" applyFont="1" applyFill="1" applyBorder="1" applyAlignment="1">
      <alignment horizontal="right"/>
    </xf>
    <xf numFmtId="43" fontId="22" fillId="6" borderId="54" xfId="1" applyFont="1" applyFill="1" applyBorder="1" applyAlignment="1">
      <alignment horizontal="right"/>
    </xf>
    <xf numFmtId="43" fontId="22" fillId="6" borderId="13" xfId="1" applyFont="1" applyFill="1" applyBorder="1" applyAlignment="1">
      <alignment horizontal="right"/>
    </xf>
    <xf numFmtId="43" fontId="21" fillId="6" borderId="2" xfId="1" applyFont="1" applyFill="1" applyBorder="1" applyAlignment="1">
      <alignment horizontal="right"/>
    </xf>
    <xf numFmtId="43" fontId="21" fillId="6" borderId="7" xfId="1" applyFont="1" applyFill="1" applyBorder="1" applyAlignment="1">
      <alignment horizontal="right"/>
    </xf>
    <xf numFmtId="43" fontId="22" fillId="6" borderId="100" xfId="1" applyFont="1" applyFill="1" applyBorder="1" applyAlignment="1">
      <alignment horizontal="right"/>
    </xf>
    <xf numFmtId="43" fontId="21" fillId="12" borderId="74" xfId="1" applyFont="1" applyFill="1" applyBorder="1" applyAlignment="1">
      <alignment horizontal="center" vertical="center" wrapText="1"/>
    </xf>
    <xf numFmtId="43" fontId="21" fillId="12" borderId="75" xfId="1" applyFont="1" applyFill="1" applyBorder="1" applyAlignment="1">
      <alignment horizontal="center" vertical="center" wrapText="1"/>
    </xf>
    <xf numFmtId="43" fontId="21" fillId="12" borderId="76" xfId="1" applyFont="1" applyFill="1" applyBorder="1" applyAlignment="1">
      <alignment horizontal="center" vertical="center" wrapText="1"/>
    </xf>
    <xf numFmtId="43" fontId="20" fillId="12" borderId="11" xfId="1" applyFont="1" applyFill="1" applyBorder="1" applyAlignment="1">
      <alignment horizontal="right"/>
    </xf>
    <xf numFmtId="43" fontId="20" fillId="12" borderId="1" xfId="1" applyFont="1" applyFill="1" applyBorder="1" applyAlignment="1">
      <alignment horizontal="right"/>
    </xf>
    <xf numFmtId="43" fontId="20" fillId="12" borderId="19" xfId="1" applyFont="1" applyFill="1" applyBorder="1" applyAlignment="1">
      <alignment horizontal="right"/>
    </xf>
    <xf numFmtId="43" fontId="20" fillId="12" borderId="2" xfId="1" applyFont="1" applyFill="1" applyBorder="1" applyAlignment="1">
      <alignment horizontal="right"/>
    </xf>
    <xf numFmtId="43" fontId="22" fillId="12" borderId="55" xfId="1" applyFont="1" applyFill="1" applyBorder="1" applyAlignment="1">
      <alignment horizontal="right"/>
    </xf>
    <xf numFmtId="43" fontId="22" fillId="12" borderId="57" xfId="1" applyFont="1" applyFill="1" applyBorder="1" applyAlignment="1">
      <alignment horizontal="right"/>
    </xf>
    <xf numFmtId="43" fontId="22" fillId="12" borderId="31" xfId="1" applyFont="1" applyFill="1" applyBorder="1" applyAlignment="1">
      <alignment horizontal="right"/>
    </xf>
    <xf numFmtId="43" fontId="22" fillId="12" borderId="7" xfId="1" applyFont="1" applyFill="1" applyBorder="1" applyAlignment="1">
      <alignment horizontal="right"/>
    </xf>
    <xf numFmtId="43" fontId="20" fillId="12" borderId="21" xfId="1" applyFont="1" applyFill="1" applyBorder="1" applyAlignment="1">
      <alignment horizontal="right"/>
    </xf>
    <xf numFmtId="43" fontId="20" fillId="12" borderId="50" xfId="1" applyFont="1" applyFill="1" applyBorder="1" applyAlignment="1">
      <alignment horizontal="right"/>
    </xf>
    <xf numFmtId="43" fontId="20" fillId="12" borderId="31" xfId="1" applyFont="1" applyFill="1" applyBorder="1" applyAlignment="1">
      <alignment horizontal="right"/>
    </xf>
    <xf numFmtId="43" fontId="20" fillId="12" borderId="7" xfId="1" applyFont="1" applyFill="1" applyBorder="1" applyAlignment="1">
      <alignment horizontal="right"/>
    </xf>
    <xf numFmtId="43" fontId="22" fillId="12" borderId="81" xfId="1" applyFont="1" applyFill="1" applyBorder="1" applyAlignment="1">
      <alignment horizontal="right"/>
    </xf>
    <xf numFmtId="43" fontId="22" fillId="12" borderId="84" xfId="1" applyFont="1" applyFill="1" applyBorder="1" applyAlignment="1">
      <alignment horizontal="right"/>
    </xf>
    <xf numFmtId="43" fontId="20" fillId="12" borderId="89" xfId="1" applyFont="1" applyFill="1" applyBorder="1" applyAlignment="1">
      <alignment horizontal="right"/>
    </xf>
    <xf numFmtId="43" fontId="20" fillId="12" borderId="92" xfId="1" applyFont="1" applyFill="1" applyBorder="1" applyAlignment="1">
      <alignment horizontal="right"/>
    </xf>
    <xf numFmtId="43" fontId="22" fillId="12" borderId="111" xfId="1" applyFont="1" applyFill="1" applyBorder="1" applyAlignment="1">
      <alignment horizontal="right"/>
    </xf>
    <xf numFmtId="43" fontId="23" fillId="12" borderId="21" xfId="1" applyFont="1" applyFill="1" applyBorder="1" applyAlignment="1">
      <alignment horizontal="right"/>
    </xf>
    <xf numFmtId="43" fontId="23" fillId="12" borderId="50" xfId="1" applyFont="1" applyFill="1" applyBorder="1" applyAlignment="1">
      <alignment horizontal="right"/>
    </xf>
    <xf numFmtId="43" fontId="20" fillId="12" borderId="8" xfId="1" applyFont="1" applyFill="1" applyBorder="1" applyAlignment="1">
      <alignment horizontal="right"/>
    </xf>
    <xf numFmtId="43" fontId="20" fillId="12" borderId="9" xfId="1" applyFont="1" applyFill="1" applyBorder="1" applyAlignment="1">
      <alignment horizontal="right"/>
    </xf>
    <xf numFmtId="43" fontId="22" fillId="12" borderId="11" xfId="1" applyFont="1" applyFill="1" applyBorder="1" applyAlignment="1">
      <alignment horizontal="right"/>
    </xf>
    <xf numFmtId="43" fontId="22" fillId="12" borderId="1" xfId="1" applyFont="1" applyFill="1" applyBorder="1" applyAlignment="1">
      <alignment horizontal="right"/>
    </xf>
    <xf numFmtId="43" fontId="22" fillId="12" borderId="19" xfId="1" applyFont="1" applyFill="1" applyBorder="1" applyAlignment="1">
      <alignment horizontal="right"/>
    </xf>
    <xf numFmtId="43" fontId="22" fillId="12" borderId="2" xfId="1" applyFont="1" applyFill="1" applyBorder="1" applyAlignment="1">
      <alignment horizontal="right"/>
    </xf>
    <xf numFmtId="43" fontId="23" fillId="12" borderId="55" xfId="1" applyFont="1" applyFill="1" applyBorder="1" applyAlignment="1">
      <alignment horizontal="right"/>
    </xf>
    <xf numFmtId="43" fontId="23" fillId="12" borderId="57" xfId="1" applyFont="1" applyFill="1" applyBorder="1" applyAlignment="1">
      <alignment horizontal="right"/>
    </xf>
    <xf numFmtId="43" fontId="23" fillId="12" borderId="81" xfId="1" applyFont="1" applyFill="1" applyBorder="1" applyAlignment="1">
      <alignment horizontal="right"/>
    </xf>
    <xf numFmtId="43" fontId="23" fillId="12" borderId="84" xfId="1" applyFont="1" applyFill="1" applyBorder="1" applyAlignment="1">
      <alignment horizontal="right"/>
    </xf>
    <xf numFmtId="43" fontId="23" fillId="12" borderId="86" xfId="1" applyFont="1" applyFill="1" applyBorder="1" applyAlignment="1">
      <alignment horizontal="right"/>
    </xf>
    <xf numFmtId="43" fontId="24" fillId="12" borderId="55" xfId="1" applyFont="1" applyFill="1" applyBorder="1" applyAlignment="1">
      <alignment horizontal="right"/>
    </xf>
    <xf numFmtId="43" fontId="24" fillId="12" borderId="57" xfId="1" applyFont="1" applyFill="1" applyBorder="1" applyAlignment="1">
      <alignment horizontal="right"/>
    </xf>
    <xf numFmtId="43" fontId="22" fillId="12" borderId="92" xfId="1" applyFont="1" applyFill="1" applyBorder="1" applyAlignment="1">
      <alignment horizontal="right"/>
    </xf>
    <xf numFmtId="43" fontId="20" fillId="12" borderId="97" xfId="1" applyFont="1" applyFill="1" applyBorder="1" applyAlignment="1">
      <alignment horizontal="right"/>
    </xf>
    <xf numFmtId="43" fontId="20" fillId="12" borderId="100" xfId="1" applyFont="1" applyFill="1" applyBorder="1" applyAlignment="1">
      <alignment horizontal="right"/>
    </xf>
    <xf numFmtId="43" fontId="23" fillId="12" borderId="104" xfId="1" applyFont="1" applyFill="1" applyBorder="1" applyAlignment="1">
      <alignment horizontal="right"/>
    </xf>
    <xf numFmtId="43" fontId="23" fillId="12" borderId="107" xfId="1" applyFont="1" applyFill="1" applyBorder="1" applyAlignment="1">
      <alignment horizontal="right"/>
    </xf>
    <xf numFmtId="43" fontId="23" fillId="12" borderId="109" xfId="1" applyFont="1" applyFill="1" applyBorder="1" applyAlignment="1">
      <alignment horizontal="right"/>
    </xf>
    <xf numFmtId="43" fontId="21" fillId="12" borderId="19" xfId="1" applyFont="1" applyFill="1" applyBorder="1" applyAlignment="1">
      <alignment horizontal="right"/>
    </xf>
    <xf numFmtId="43" fontId="21" fillId="12" borderId="2" xfId="1" applyFont="1" applyFill="1" applyBorder="1" applyAlignment="1">
      <alignment horizontal="right"/>
    </xf>
    <xf numFmtId="43" fontId="25" fillId="12" borderId="55" xfId="1" applyFont="1" applyFill="1" applyBorder="1" applyAlignment="1">
      <alignment horizontal="right"/>
    </xf>
    <xf numFmtId="43" fontId="25" fillId="12" borderId="57" xfId="1" applyFont="1" applyFill="1" applyBorder="1" applyAlignment="1">
      <alignment horizontal="right"/>
    </xf>
    <xf numFmtId="43" fontId="21" fillId="12" borderId="31" xfId="1" applyFont="1" applyFill="1" applyBorder="1" applyAlignment="1">
      <alignment horizontal="right"/>
    </xf>
    <xf numFmtId="43" fontId="21" fillId="12" borderId="7" xfId="1" applyFont="1" applyFill="1" applyBorder="1" applyAlignment="1">
      <alignment horizontal="right"/>
    </xf>
    <xf numFmtId="43" fontId="22" fillId="12" borderId="100" xfId="1" applyFont="1" applyFill="1" applyBorder="1" applyAlignment="1">
      <alignment horizontal="right"/>
    </xf>
    <xf numFmtId="43" fontId="22" fillId="12" borderId="74" xfId="1" applyFont="1" applyFill="1" applyBorder="1" applyAlignment="1">
      <alignment horizontal="right"/>
    </xf>
    <xf numFmtId="43" fontId="22" fillId="12" borderId="75" xfId="1" applyFont="1" applyFill="1" applyBorder="1" applyAlignment="1">
      <alignment horizontal="right"/>
    </xf>
    <xf numFmtId="43" fontId="21" fillId="13" borderId="74" xfId="1" applyFont="1" applyFill="1" applyBorder="1" applyAlignment="1">
      <alignment horizontal="center" vertical="center" wrapText="1"/>
    </xf>
    <xf numFmtId="43" fontId="21" fillId="13" borderId="76" xfId="1" applyFont="1" applyFill="1" applyBorder="1" applyAlignment="1">
      <alignment horizontal="center" vertical="center" wrapText="1"/>
    </xf>
    <xf numFmtId="43" fontId="20" fillId="13" borderId="11" xfId="1" applyFont="1" applyFill="1" applyBorder="1" applyAlignment="1">
      <alignment horizontal="right"/>
    </xf>
    <xf numFmtId="43" fontId="20" fillId="13" borderId="5" xfId="1" applyFont="1" applyFill="1" applyBorder="1" applyAlignment="1">
      <alignment horizontal="right"/>
    </xf>
    <xf numFmtId="43" fontId="26" fillId="13" borderId="5" xfId="1" applyFont="1" applyFill="1" applyBorder="1" applyAlignment="1">
      <alignment horizontal="right"/>
    </xf>
    <xf numFmtId="43" fontId="20" fillId="13" borderId="19" xfId="1" applyFont="1" applyFill="1" applyBorder="1" applyAlignment="1">
      <alignment horizontal="right"/>
    </xf>
    <xf numFmtId="43" fontId="20" fillId="13" borderId="3" xfId="1" applyFont="1" applyFill="1" applyBorder="1" applyAlignment="1">
      <alignment horizontal="right"/>
    </xf>
    <xf numFmtId="43" fontId="26" fillId="13" borderId="3" xfId="1" applyFont="1" applyFill="1" applyBorder="1" applyAlignment="1">
      <alignment horizontal="right"/>
    </xf>
    <xf numFmtId="43" fontId="22" fillId="13" borderId="55" xfId="1" applyFont="1" applyFill="1" applyBorder="1" applyAlignment="1">
      <alignment horizontal="right"/>
    </xf>
    <xf numFmtId="43" fontId="22" fillId="13" borderId="57" xfId="1" applyFont="1" applyFill="1" applyBorder="1" applyAlignment="1">
      <alignment horizontal="right"/>
    </xf>
    <xf numFmtId="43" fontId="22" fillId="13" borderId="56" xfId="1" applyFont="1" applyFill="1" applyBorder="1" applyAlignment="1">
      <alignment horizontal="right"/>
    </xf>
    <xf numFmtId="43" fontId="31" fillId="13" borderId="56" xfId="1" applyFont="1" applyFill="1" applyBorder="1" applyAlignment="1">
      <alignment horizontal="right"/>
    </xf>
    <xf numFmtId="43" fontId="22" fillId="13" borderId="31" xfId="1" applyFont="1" applyFill="1" applyBorder="1" applyAlignment="1">
      <alignment horizontal="right"/>
    </xf>
    <xf numFmtId="43" fontId="22" fillId="13" borderId="7" xfId="1" applyFont="1" applyFill="1" applyBorder="1" applyAlignment="1">
      <alignment horizontal="right"/>
    </xf>
    <xf numFmtId="43" fontId="22" fillId="13" borderId="41" xfId="1" applyFont="1" applyFill="1" applyBorder="1" applyAlignment="1">
      <alignment horizontal="right"/>
    </xf>
    <xf numFmtId="43" fontId="31" fillId="13" borderId="41" xfId="1" applyFont="1" applyFill="1" applyBorder="1" applyAlignment="1">
      <alignment horizontal="right"/>
    </xf>
    <xf numFmtId="43" fontId="20" fillId="13" borderId="21" xfId="1" applyFont="1" applyFill="1" applyBorder="1" applyAlignment="1">
      <alignment horizontal="right"/>
    </xf>
    <xf numFmtId="43" fontId="20" fillId="13" borderId="4" xfId="1" applyFont="1" applyFill="1" applyBorder="1" applyAlignment="1">
      <alignment horizontal="right"/>
    </xf>
    <xf numFmtId="43" fontId="26" fillId="13" borderId="4" xfId="1" applyFont="1" applyFill="1" applyBorder="1" applyAlignment="1">
      <alignment horizontal="right"/>
    </xf>
    <xf numFmtId="43" fontId="20" fillId="13" borderId="31" xfId="1" applyFont="1" applyFill="1" applyBorder="1" applyAlignment="1">
      <alignment horizontal="right"/>
    </xf>
    <xf numFmtId="43" fontId="20" fillId="13" borderId="41" xfId="1" applyFont="1" applyFill="1" applyBorder="1" applyAlignment="1">
      <alignment horizontal="right"/>
    </xf>
    <xf numFmtId="43" fontId="26" fillId="13" borderId="41" xfId="1" applyFont="1" applyFill="1" applyBorder="1" applyAlignment="1">
      <alignment horizontal="right"/>
    </xf>
    <xf numFmtId="43" fontId="22" fillId="13" borderId="81" xfId="1" applyFont="1" applyFill="1" applyBorder="1" applyAlignment="1">
      <alignment horizontal="right"/>
    </xf>
    <xf numFmtId="43" fontId="22" fillId="13" borderId="84" xfId="1" applyFont="1" applyFill="1" applyBorder="1" applyAlignment="1">
      <alignment horizontal="right"/>
    </xf>
    <xf numFmtId="43" fontId="22" fillId="13" borderId="82" xfId="1" applyFont="1" applyFill="1" applyBorder="1" applyAlignment="1">
      <alignment horizontal="right"/>
    </xf>
    <xf numFmtId="43" fontId="31" fillId="13" borderId="82" xfId="1" applyFont="1" applyFill="1" applyBorder="1" applyAlignment="1">
      <alignment horizontal="right"/>
    </xf>
    <xf numFmtId="43" fontId="20" fillId="13" borderId="89" xfId="1" applyFont="1" applyFill="1" applyBorder="1" applyAlignment="1">
      <alignment horizontal="right"/>
    </xf>
    <xf numFmtId="43" fontId="20" fillId="13" borderId="90" xfId="1" applyFont="1" applyFill="1" applyBorder="1" applyAlignment="1">
      <alignment horizontal="right"/>
    </xf>
    <xf numFmtId="43" fontId="26" fillId="13" borderId="90" xfId="1" applyFont="1" applyFill="1" applyBorder="1" applyAlignment="1">
      <alignment horizontal="right"/>
    </xf>
    <xf numFmtId="43" fontId="22" fillId="13" borderId="111" xfId="1" applyFont="1" applyFill="1" applyBorder="1" applyAlignment="1">
      <alignment horizontal="right"/>
    </xf>
    <xf numFmtId="43" fontId="31" fillId="13" borderId="112" xfId="1" applyFont="1" applyFill="1" applyBorder="1" applyAlignment="1">
      <alignment horizontal="right"/>
    </xf>
    <xf numFmtId="43" fontId="23" fillId="13" borderId="21" xfId="1" applyFont="1" applyFill="1" applyBorder="1" applyAlignment="1">
      <alignment horizontal="right"/>
    </xf>
    <xf numFmtId="43" fontId="23" fillId="13" borderId="50" xfId="1" applyFont="1" applyFill="1" applyBorder="1" applyAlignment="1">
      <alignment horizontal="right"/>
    </xf>
    <xf numFmtId="43" fontId="22" fillId="13" borderId="4" xfId="1" applyFont="1" applyFill="1" applyBorder="1" applyAlignment="1">
      <alignment horizontal="right"/>
    </xf>
    <xf numFmtId="43" fontId="31" fillId="13" borderId="4" xfId="1" applyFont="1" applyFill="1" applyBorder="1" applyAlignment="1">
      <alignment horizontal="right"/>
    </xf>
    <xf numFmtId="43" fontId="20" fillId="13" borderId="8" xfId="1" applyFont="1" applyFill="1" applyBorder="1" applyAlignment="1">
      <alignment horizontal="right"/>
    </xf>
    <xf numFmtId="43" fontId="20" fillId="13" borderId="51" xfId="1" applyFont="1" applyFill="1" applyBorder="1" applyAlignment="1">
      <alignment horizontal="right"/>
    </xf>
    <xf numFmtId="43" fontId="26" fillId="13" borderId="51" xfId="1" applyFont="1" applyFill="1" applyBorder="1" applyAlignment="1">
      <alignment horizontal="right"/>
    </xf>
    <xf numFmtId="43" fontId="22" fillId="13" borderId="11" xfId="1" applyFont="1" applyFill="1" applyBorder="1" applyAlignment="1">
      <alignment horizontal="right"/>
    </xf>
    <xf numFmtId="43" fontId="22" fillId="13" borderId="1" xfId="1" applyFont="1" applyFill="1" applyBorder="1" applyAlignment="1">
      <alignment horizontal="right"/>
    </xf>
    <xf numFmtId="43" fontId="22" fillId="13" borderId="5" xfId="1" applyFont="1" applyFill="1" applyBorder="1" applyAlignment="1">
      <alignment horizontal="right"/>
    </xf>
    <xf numFmtId="43" fontId="31" fillId="13" borderId="5" xfId="1" applyFont="1" applyFill="1" applyBorder="1" applyAlignment="1">
      <alignment horizontal="right"/>
    </xf>
    <xf numFmtId="43" fontId="22" fillId="13" borderId="19" xfId="1" applyFont="1" applyFill="1" applyBorder="1" applyAlignment="1">
      <alignment horizontal="right"/>
    </xf>
    <xf numFmtId="43" fontId="22" fillId="13" borderId="2" xfId="1" applyFont="1" applyFill="1" applyBorder="1" applyAlignment="1">
      <alignment horizontal="right"/>
    </xf>
    <xf numFmtId="43" fontId="22" fillId="13" borderId="3" xfId="1" applyFont="1" applyFill="1" applyBorder="1" applyAlignment="1">
      <alignment horizontal="right"/>
    </xf>
    <xf numFmtId="43" fontId="31" fillId="13" borderId="3" xfId="1" applyFont="1" applyFill="1" applyBorder="1" applyAlignment="1">
      <alignment horizontal="right"/>
    </xf>
    <xf numFmtId="43" fontId="23" fillId="13" borderId="55" xfId="1" applyFont="1" applyFill="1" applyBorder="1" applyAlignment="1">
      <alignment horizontal="right"/>
    </xf>
    <xf numFmtId="43" fontId="23" fillId="13" borderId="57" xfId="1" applyFont="1" applyFill="1" applyBorder="1" applyAlignment="1">
      <alignment horizontal="right"/>
    </xf>
    <xf numFmtId="43" fontId="23" fillId="13" borderId="81" xfId="1" applyFont="1" applyFill="1" applyBorder="1" applyAlignment="1">
      <alignment horizontal="right"/>
    </xf>
    <xf numFmtId="43" fontId="23" fillId="13" borderId="84" xfId="1" applyFont="1" applyFill="1" applyBorder="1" applyAlignment="1">
      <alignment horizontal="right"/>
    </xf>
    <xf numFmtId="43" fontId="24" fillId="13" borderId="55" xfId="1" applyFont="1" applyFill="1" applyBorder="1" applyAlignment="1">
      <alignment horizontal="right"/>
    </xf>
    <xf numFmtId="43" fontId="24" fillId="13" borderId="57" xfId="1" applyFont="1" applyFill="1" applyBorder="1" applyAlignment="1">
      <alignment horizontal="right"/>
    </xf>
    <xf numFmtId="43" fontId="24" fillId="13" borderId="56" xfId="1" applyFont="1" applyFill="1" applyBorder="1" applyAlignment="1">
      <alignment horizontal="right"/>
    </xf>
    <xf numFmtId="43" fontId="32" fillId="13" borderId="56" xfId="1" applyFont="1" applyFill="1" applyBorder="1" applyAlignment="1">
      <alignment horizontal="right"/>
    </xf>
    <xf numFmtId="43" fontId="25" fillId="13" borderId="56" xfId="1" applyFont="1" applyFill="1" applyBorder="1" applyAlignment="1">
      <alignment horizontal="right"/>
    </xf>
    <xf numFmtId="43" fontId="33" fillId="13" borderId="56" xfId="1" applyFont="1" applyFill="1" applyBorder="1" applyAlignment="1">
      <alignment horizontal="right"/>
    </xf>
    <xf numFmtId="43" fontId="22" fillId="13" borderId="89" xfId="1" applyFont="1" applyFill="1" applyBorder="1" applyAlignment="1">
      <alignment horizontal="right"/>
    </xf>
    <xf numFmtId="43" fontId="22" fillId="13" borderId="92" xfId="1" applyFont="1" applyFill="1" applyBorder="1" applyAlignment="1">
      <alignment horizontal="right"/>
    </xf>
    <xf numFmtId="43" fontId="22" fillId="13" borderId="90" xfId="1" applyFont="1" applyFill="1" applyBorder="1" applyAlignment="1">
      <alignment horizontal="right"/>
    </xf>
    <xf numFmtId="43" fontId="31" fillId="13" borderId="90" xfId="1" applyFont="1" applyFill="1" applyBorder="1" applyAlignment="1">
      <alignment horizontal="right"/>
    </xf>
    <xf numFmtId="43" fontId="20" fillId="13" borderId="97" xfId="1" applyFont="1" applyFill="1" applyBorder="1" applyAlignment="1">
      <alignment horizontal="right"/>
    </xf>
    <xf numFmtId="43" fontId="20" fillId="13" borderId="98" xfId="1" applyFont="1" applyFill="1" applyBorder="1" applyAlignment="1">
      <alignment horizontal="right"/>
    </xf>
    <xf numFmtId="43" fontId="26" fillId="13" borderId="98" xfId="1" applyFont="1" applyFill="1" applyBorder="1" applyAlignment="1">
      <alignment horizontal="right"/>
    </xf>
    <xf numFmtId="43" fontId="23" fillId="13" borderId="104" xfId="1" applyFont="1" applyFill="1" applyBorder="1" applyAlignment="1">
      <alignment horizontal="right"/>
    </xf>
    <xf numFmtId="43" fontId="23" fillId="13" borderId="107" xfId="1" applyFont="1" applyFill="1" applyBorder="1" applyAlignment="1">
      <alignment horizontal="right"/>
    </xf>
    <xf numFmtId="43" fontId="31" fillId="13" borderId="105" xfId="1" applyFont="1" applyFill="1" applyBorder="1" applyAlignment="1">
      <alignment horizontal="right"/>
    </xf>
    <xf numFmtId="43" fontId="21" fillId="13" borderId="19" xfId="1" applyFont="1" applyFill="1" applyBorder="1" applyAlignment="1">
      <alignment horizontal="right"/>
    </xf>
    <xf numFmtId="43" fontId="21" fillId="13" borderId="3" xfId="1" applyFont="1" applyFill="1" applyBorder="1" applyAlignment="1">
      <alignment horizontal="right"/>
    </xf>
    <xf numFmtId="43" fontId="29" fillId="13" borderId="3" xfId="1" applyFont="1" applyFill="1" applyBorder="1" applyAlignment="1">
      <alignment horizontal="right"/>
    </xf>
    <xf numFmtId="43" fontId="25" fillId="13" borderId="55" xfId="1" applyFont="1" applyFill="1" applyBorder="1" applyAlignment="1">
      <alignment horizontal="right"/>
    </xf>
    <xf numFmtId="43" fontId="25" fillId="13" borderId="57" xfId="1" applyFont="1" applyFill="1" applyBorder="1" applyAlignment="1">
      <alignment horizontal="right"/>
    </xf>
    <xf numFmtId="43" fontId="21" fillId="13" borderId="31" xfId="1" applyFont="1" applyFill="1" applyBorder="1" applyAlignment="1">
      <alignment horizontal="right"/>
    </xf>
    <xf numFmtId="43" fontId="21" fillId="13" borderId="41" xfId="1" applyFont="1" applyFill="1" applyBorder="1" applyAlignment="1">
      <alignment horizontal="right"/>
    </xf>
    <xf numFmtId="43" fontId="29" fillId="13" borderId="41" xfId="1" applyFont="1" applyFill="1" applyBorder="1" applyAlignment="1">
      <alignment horizontal="right"/>
    </xf>
    <xf numFmtId="43" fontId="22" fillId="13" borderId="97" xfId="1" applyFont="1" applyFill="1" applyBorder="1" applyAlignment="1">
      <alignment horizontal="right"/>
    </xf>
    <xf numFmtId="43" fontId="22" fillId="13" borderId="100" xfId="1" applyFont="1" applyFill="1" applyBorder="1" applyAlignment="1">
      <alignment horizontal="right"/>
    </xf>
    <xf numFmtId="43" fontId="22" fillId="13" borderId="98" xfId="1" applyFont="1" applyFill="1" applyBorder="1" applyAlignment="1">
      <alignment horizontal="right"/>
    </xf>
    <xf numFmtId="43" fontId="31" fillId="13" borderId="98" xfId="1" applyFont="1" applyFill="1" applyBorder="1" applyAlignment="1">
      <alignment horizontal="right"/>
    </xf>
    <xf numFmtId="43" fontId="22" fillId="13" borderId="74" xfId="1" applyFont="1" applyFill="1" applyBorder="1" applyAlignment="1">
      <alignment horizontal="right"/>
    </xf>
    <xf numFmtId="43" fontId="22" fillId="13" borderId="75" xfId="1" applyFont="1" applyFill="1" applyBorder="1" applyAlignment="1">
      <alignment horizontal="right"/>
    </xf>
    <xf numFmtId="43" fontId="31" fillId="13" borderId="75" xfId="1" applyFont="1" applyFill="1" applyBorder="1" applyAlignment="1">
      <alignment horizontal="right"/>
    </xf>
    <xf numFmtId="43" fontId="31" fillId="13" borderId="57" xfId="1" applyFont="1" applyFill="1" applyBorder="1" applyAlignment="1">
      <alignment horizontal="right"/>
    </xf>
    <xf numFmtId="43" fontId="35" fillId="5" borderId="74" xfId="1" applyFont="1" applyFill="1" applyBorder="1" applyAlignment="1">
      <alignment horizontal="center" vertical="center" wrapText="1"/>
    </xf>
    <xf numFmtId="43" fontId="20" fillId="5" borderId="11" xfId="1" applyFont="1" applyFill="1" applyBorder="1" applyAlignment="1">
      <alignment horizontal="right"/>
    </xf>
    <xf numFmtId="43" fontId="20" fillId="5" borderId="19" xfId="1" applyFont="1" applyFill="1" applyBorder="1" applyAlignment="1">
      <alignment horizontal="right"/>
    </xf>
    <xf numFmtId="43" fontId="22" fillId="5" borderId="55" xfId="1" applyFont="1" applyFill="1" applyBorder="1" applyAlignment="1">
      <alignment horizontal="right"/>
    </xf>
    <xf numFmtId="43" fontId="22" fillId="5" borderId="57" xfId="1" applyFont="1" applyFill="1" applyBorder="1" applyAlignment="1">
      <alignment horizontal="right"/>
    </xf>
    <xf numFmtId="43" fontId="22" fillId="5" borderId="31" xfId="1" applyFont="1" applyFill="1" applyBorder="1" applyAlignment="1">
      <alignment horizontal="right"/>
    </xf>
    <xf numFmtId="43" fontId="22" fillId="5" borderId="7" xfId="1" applyFont="1" applyFill="1" applyBorder="1" applyAlignment="1">
      <alignment horizontal="right"/>
    </xf>
    <xf numFmtId="43" fontId="20" fillId="5" borderId="21" xfId="1" applyFont="1" applyFill="1" applyBorder="1" applyAlignment="1">
      <alignment horizontal="right"/>
    </xf>
    <xf numFmtId="43" fontId="20" fillId="5" borderId="31" xfId="1" applyFont="1" applyFill="1" applyBorder="1" applyAlignment="1">
      <alignment horizontal="right"/>
    </xf>
    <xf numFmtId="43" fontId="22" fillId="5" borderId="104" xfId="1" applyFont="1" applyFill="1" applyBorder="1" applyAlignment="1">
      <alignment horizontal="right"/>
    </xf>
    <xf numFmtId="43" fontId="22" fillId="5" borderId="107" xfId="1" applyFont="1" applyFill="1" applyBorder="1" applyAlignment="1">
      <alignment horizontal="right"/>
    </xf>
    <xf numFmtId="43" fontId="20" fillId="5" borderId="89" xfId="1" applyFont="1" applyFill="1" applyBorder="1" applyAlignment="1">
      <alignment horizontal="right"/>
    </xf>
    <xf numFmtId="43" fontId="22" fillId="5" borderId="81" xfId="1" applyFont="1" applyFill="1" applyBorder="1" applyAlignment="1">
      <alignment horizontal="right"/>
    </xf>
    <xf numFmtId="43" fontId="22" fillId="5" borderId="84" xfId="1" applyFont="1" applyFill="1" applyBorder="1" applyAlignment="1">
      <alignment horizontal="right"/>
    </xf>
    <xf numFmtId="43" fontId="22" fillId="5" borderId="111" xfId="1" applyFont="1" applyFill="1" applyBorder="1" applyAlignment="1">
      <alignment horizontal="right"/>
    </xf>
    <xf numFmtId="43" fontId="23" fillId="5" borderId="21" xfId="1" applyFont="1" applyFill="1" applyBorder="1" applyAlignment="1">
      <alignment horizontal="right"/>
    </xf>
    <xf numFmtId="43" fontId="23" fillId="5" borderId="50" xfId="1" applyFont="1" applyFill="1" applyBorder="1" applyAlignment="1">
      <alignment horizontal="right"/>
    </xf>
    <xf numFmtId="43" fontId="20" fillId="5" borderId="8" xfId="1" applyFont="1" applyFill="1" applyBorder="1" applyAlignment="1">
      <alignment horizontal="right"/>
    </xf>
    <xf numFmtId="43" fontId="22" fillId="5" borderId="11" xfId="1" applyFont="1" applyFill="1" applyBorder="1" applyAlignment="1">
      <alignment horizontal="right"/>
    </xf>
    <xf numFmtId="43" fontId="22" fillId="5" borderId="1" xfId="1" applyFont="1" applyFill="1" applyBorder="1" applyAlignment="1">
      <alignment horizontal="right"/>
    </xf>
    <xf numFmtId="43" fontId="22" fillId="5" borderId="19" xfId="1" applyFont="1" applyFill="1" applyBorder="1" applyAlignment="1">
      <alignment horizontal="right"/>
    </xf>
    <xf numFmtId="43" fontId="22" fillId="5" borderId="2" xfId="1" applyFont="1" applyFill="1" applyBorder="1" applyAlignment="1">
      <alignment horizontal="right"/>
    </xf>
    <xf numFmtId="43" fontId="23" fillId="5" borderId="55" xfId="1" applyFont="1" applyFill="1" applyBorder="1" applyAlignment="1">
      <alignment horizontal="right"/>
    </xf>
    <xf numFmtId="43" fontId="23" fillId="5" borderId="57" xfId="1" applyFont="1" applyFill="1" applyBorder="1" applyAlignment="1">
      <alignment horizontal="right"/>
    </xf>
    <xf numFmtId="43" fontId="23" fillId="5" borderId="81" xfId="1" applyFont="1" applyFill="1" applyBorder="1" applyAlignment="1">
      <alignment horizontal="right"/>
    </xf>
    <xf numFmtId="43" fontId="23" fillId="5" borderId="84" xfId="1" applyFont="1" applyFill="1" applyBorder="1" applyAlignment="1">
      <alignment horizontal="right"/>
    </xf>
    <xf numFmtId="43" fontId="24" fillId="5" borderId="55" xfId="1" applyFont="1" applyFill="1" applyBorder="1" applyAlignment="1">
      <alignment horizontal="right"/>
    </xf>
    <xf numFmtId="43" fontId="24" fillId="5" borderId="57" xfId="1" applyFont="1" applyFill="1" applyBorder="1" applyAlignment="1">
      <alignment horizontal="right"/>
    </xf>
    <xf numFmtId="43" fontId="22" fillId="5" borderId="89" xfId="1" applyFont="1" applyFill="1" applyBorder="1" applyAlignment="1">
      <alignment horizontal="right"/>
    </xf>
    <xf numFmtId="43" fontId="22" fillId="5" borderId="92" xfId="1" applyFont="1" applyFill="1" applyBorder="1" applyAlignment="1">
      <alignment horizontal="right"/>
    </xf>
    <xf numFmtId="43" fontId="20" fillId="5" borderId="97" xfId="1" applyFont="1" applyFill="1" applyBorder="1" applyAlignment="1">
      <alignment horizontal="right"/>
    </xf>
    <xf numFmtId="43" fontId="23" fillId="5" borderId="107" xfId="1" applyFont="1" applyFill="1" applyBorder="1" applyAlignment="1">
      <alignment horizontal="right"/>
    </xf>
    <xf numFmtId="43" fontId="23" fillId="5" borderId="104" xfId="1" applyFont="1" applyFill="1" applyBorder="1" applyAlignment="1">
      <alignment horizontal="right"/>
    </xf>
    <xf numFmtId="43" fontId="22" fillId="5" borderId="83" xfId="1" applyFont="1" applyFill="1" applyBorder="1" applyAlignment="1">
      <alignment horizontal="right"/>
    </xf>
    <xf numFmtId="43" fontId="21" fillId="5" borderId="19" xfId="1" applyFont="1" applyFill="1" applyBorder="1" applyAlignment="1">
      <alignment horizontal="right"/>
    </xf>
    <xf numFmtId="43" fontId="25" fillId="5" borderId="55" xfId="1" applyFont="1" applyFill="1" applyBorder="1" applyAlignment="1">
      <alignment horizontal="right"/>
    </xf>
    <xf numFmtId="43" fontId="25" fillId="5" borderId="57" xfId="1" applyFont="1" applyFill="1" applyBorder="1" applyAlignment="1">
      <alignment horizontal="right"/>
    </xf>
    <xf numFmtId="43" fontId="21" fillId="5" borderId="31" xfId="1" applyFont="1" applyFill="1" applyBorder="1" applyAlignment="1">
      <alignment horizontal="right"/>
    </xf>
    <xf numFmtId="43" fontId="22" fillId="5" borderId="97" xfId="1" applyFont="1" applyFill="1" applyBorder="1" applyAlignment="1">
      <alignment horizontal="right"/>
    </xf>
    <xf numFmtId="43" fontId="22" fillId="5" borderId="100" xfId="1" applyFont="1" applyFill="1" applyBorder="1" applyAlignment="1">
      <alignment horizontal="right"/>
    </xf>
    <xf numFmtId="43" fontId="22" fillId="5" borderId="75" xfId="1" applyFont="1" applyFill="1" applyBorder="1" applyAlignment="1">
      <alignment horizontal="right"/>
    </xf>
    <xf numFmtId="43" fontId="22" fillId="5" borderId="74" xfId="1" applyFont="1" applyFill="1" applyBorder="1" applyAlignment="1">
      <alignment horizontal="right"/>
    </xf>
    <xf numFmtId="43" fontId="22" fillId="10" borderId="55" xfId="1" applyFont="1" applyFill="1" applyBorder="1" applyAlignment="1">
      <alignment horizontal="right"/>
    </xf>
    <xf numFmtId="43" fontId="22" fillId="10" borderId="57" xfId="1" applyFont="1" applyFill="1" applyBorder="1" applyAlignment="1">
      <alignment horizontal="right"/>
    </xf>
    <xf numFmtId="43" fontId="22" fillId="10" borderId="56" xfId="1" applyFont="1" applyFill="1" applyBorder="1" applyAlignment="1">
      <alignment horizontal="right"/>
    </xf>
    <xf numFmtId="43" fontId="22" fillId="10" borderId="13" xfId="1" applyFont="1" applyFill="1" applyBorder="1" applyAlignment="1">
      <alignment horizontal="right"/>
    </xf>
    <xf numFmtId="43" fontId="35" fillId="0" borderId="129" xfId="1" applyFont="1" applyFill="1" applyBorder="1" applyAlignment="1">
      <alignment horizontal="center" vertical="center" wrapText="1"/>
    </xf>
    <xf numFmtId="0" fontId="18" fillId="0" borderId="130" xfId="0" applyFont="1" applyFill="1" applyBorder="1" applyAlignment="1">
      <alignment vertical="center"/>
    </xf>
    <xf numFmtId="43" fontId="20" fillId="0" borderId="131" xfId="1" applyFont="1" applyFill="1" applyBorder="1" applyAlignment="1">
      <alignment horizontal="right"/>
    </xf>
    <xf numFmtId="43" fontId="20" fillId="0" borderId="132" xfId="1" applyFont="1" applyFill="1" applyBorder="1" applyAlignment="1">
      <alignment horizontal="right"/>
    </xf>
    <xf numFmtId="43" fontId="22" fillId="0" borderId="133" xfId="1" applyFont="1" applyFill="1" applyBorder="1" applyAlignment="1">
      <alignment horizontal="right"/>
    </xf>
    <xf numFmtId="43" fontId="22" fillId="0" borderId="134" xfId="1" applyFont="1" applyFill="1" applyBorder="1" applyAlignment="1">
      <alignment horizontal="right"/>
    </xf>
    <xf numFmtId="43" fontId="20" fillId="0" borderId="135" xfId="1" applyFont="1" applyFill="1" applyBorder="1" applyAlignment="1">
      <alignment horizontal="right"/>
    </xf>
    <xf numFmtId="43" fontId="20" fillId="0" borderId="134" xfId="1" applyFont="1" applyFill="1" applyBorder="1" applyAlignment="1">
      <alignment horizontal="right"/>
    </xf>
    <xf numFmtId="43" fontId="22" fillId="0" borderId="136" xfId="1" applyFont="1" applyFill="1" applyBorder="1" applyAlignment="1">
      <alignment horizontal="right"/>
    </xf>
    <xf numFmtId="43" fontId="20" fillId="0" borderId="137" xfId="1" applyFont="1" applyFill="1" applyBorder="1" applyAlignment="1">
      <alignment horizontal="right"/>
    </xf>
    <xf numFmtId="43" fontId="22" fillId="0" borderId="138" xfId="1" applyFont="1" applyFill="1" applyBorder="1" applyAlignment="1">
      <alignment horizontal="right"/>
    </xf>
    <xf numFmtId="43" fontId="22" fillId="0" borderId="139" xfId="1" applyFont="1" applyFill="1" applyBorder="1" applyAlignment="1">
      <alignment horizontal="right"/>
    </xf>
    <xf numFmtId="43" fontId="23" fillId="0" borderId="135" xfId="1" applyFont="1" applyFill="1" applyBorder="1" applyAlignment="1">
      <alignment horizontal="right"/>
    </xf>
    <xf numFmtId="0" fontId="20" fillId="0" borderId="128" xfId="0" applyFont="1" applyFill="1" applyBorder="1" applyAlignment="1">
      <alignment horizontal="right"/>
    </xf>
    <xf numFmtId="43" fontId="20" fillId="0" borderId="140" xfId="1" applyFont="1" applyFill="1" applyBorder="1" applyAlignment="1">
      <alignment horizontal="right"/>
    </xf>
    <xf numFmtId="43" fontId="22" fillId="0" borderId="131" xfId="1" applyFont="1" applyFill="1" applyBorder="1" applyAlignment="1">
      <alignment horizontal="right"/>
    </xf>
    <xf numFmtId="43" fontId="22" fillId="0" borderId="132" xfId="1" applyFont="1" applyFill="1" applyBorder="1" applyAlignment="1">
      <alignment horizontal="right"/>
    </xf>
    <xf numFmtId="43" fontId="23" fillId="0" borderId="133" xfId="1" applyFont="1" applyFill="1" applyBorder="1" applyAlignment="1">
      <alignment horizontal="right"/>
    </xf>
    <xf numFmtId="43" fontId="23" fillId="0" borderId="138" xfId="1" applyFont="1" applyFill="1" applyBorder="1" applyAlignment="1">
      <alignment horizontal="right"/>
    </xf>
    <xf numFmtId="43" fontId="24" fillId="0" borderId="133" xfId="1" applyFont="1" applyFill="1" applyBorder="1" applyAlignment="1">
      <alignment horizontal="right"/>
    </xf>
    <xf numFmtId="43" fontId="22" fillId="0" borderId="137" xfId="1" applyFont="1" applyFill="1" applyBorder="1" applyAlignment="1">
      <alignment horizontal="right"/>
    </xf>
    <xf numFmtId="43" fontId="20" fillId="0" borderId="141" xfId="1" applyFont="1" applyFill="1" applyBorder="1" applyAlignment="1">
      <alignment horizontal="right"/>
    </xf>
    <xf numFmtId="43" fontId="23" fillId="0" borderId="136" xfId="1" applyFont="1" applyFill="1" applyBorder="1" applyAlignment="1">
      <alignment horizontal="right"/>
    </xf>
    <xf numFmtId="43" fontId="21" fillId="0" borderId="132" xfId="1" applyFont="1" applyFill="1" applyBorder="1" applyAlignment="1">
      <alignment horizontal="right"/>
    </xf>
    <xf numFmtId="43" fontId="25" fillId="0" borderId="133" xfId="1" applyFont="1" applyFill="1" applyBorder="1" applyAlignment="1">
      <alignment horizontal="right"/>
    </xf>
    <xf numFmtId="43" fontId="21" fillId="0" borderId="134" xfId="1" applyFont="1" applyFill="1" applyBorder="1" applyAlignment="1">
      <alignment horizontal="right"/>
    </xf>
    <xf numFmtId="43" fontId="22" fillId="0" borderId="141" xfId="1" applyFont="1" applyFill="1" applyBorder="1" applyAlignment="1">
      <alignment horizontal="right"/>
    </xf>
    <xf numFmtId="43" fontId="22" fillId="0" borderId="129" xfId="1" applyFont="1" applyFill="1" applyBorder="1" applyAlignment="1">
      <alignment horizontal="right"/>
    </xf>
    <xf numFmtId="4" fontId="20" fillId="0" borderId="131" xfId="0" applyNumberFormat="1" applyFont="1" applyFill="1" applyBorder="1" applyAlignment="1">
      <alignment horizontal="right"/>
    </xf>
    <xf numFmtId="43" fontId="20" fillId="0" borderId="142" xfId="0" applyNumberFormat="1" applyFont="1" applyFill="1" applyBorder="1" applyAlignment="1">
      <alignment horizontal="right"/>
    </xf>
    <xf numFmtId="43" fontId="35" fillId="13" borderId="77" xfId="1" applyFont="1" applyFill="1" applyBorder="1" applyAlignment="1">
      <alignment horizontal="center" vertical="center" wrapText="1"/>
    </xf>
    <xf numFmtId="43" fontId="35" fillId="5" borderId="129" xfId="1" applyFont="1" applyFill="1" applyBorder="1" applyAlignment="1">
      <alignment horizontal="center" vertical="center" wrapText="1"/>
    </xf>
    <xf numFmtId="43" fontId="20" fillId="5" borderId="131" xfId="1" applyFont="1" applyFill="1" applyBorder="1" applyAlignment="1">
      <alignment horizontal="right"/>
    </xf>
    <xf numFmtId="43" fontId="20" fillId="5" borderId="132" xfId="1" applyFont="1" applyFill="1" applyBorder="1" applyAlignment="1">
      <alignment horizontal="right"/>
    </xf>
    <xf numFmtId="43" fontId="22" fillId="5" borderId="133" xfId="1" applyFont="1" applyFill="1" applyBorder="1" applyAlignment="1">
      <alignment horizontal="right"/>
    </xf>
    <xf numFmtId="43" fontId="23" fillId="5" borderId="148" xfId="1" applyFont="1" applyFill="1" applyBorder="1" applyAlignment="1">
      <alignment horizontal="right"/>
    </xf>
    <xf numFmtId="43" fontId="22" fillId="5" borderId="134" xfId="1" applyFont="1" applyFill="1" applyBorder="1" applyAlignment="1">
      <alignment horizontal="right"/>
    </xf>
    <xf numFmtId="43" fontId="23" fillId="5" borderId="149" xfId="1" applyFont="1" applyFill="1" applyBorder="1" applyAlignment="1">
      <alignment horizontal="right"/>
    </xf>
    <xf numFmtId="43" fontId="20" fillId="5" borderId="135" xfId="1" applyFont="1" applyFill="1" applyBorder="1" applyAlignment="1">
      <alignment horizontal="right"/>
    </xf>
    <xf numFmtId="43" fontId="20" fillId="5" borderId="134" xfId="1" applyFont="1" applyFill="1" applyBorder="1" applyAlignment="1">
      <alignment horizontal="right"/>
    </xf>
    <xf numFmtId="43" fontId="22" fillId="5" borderId="148" xfId="1" applyFont="1" applyFill="1" applyBorder="1" applyAlignment="1">
      <alignment horizontal="right"/>
    </xf>
    <xf numFmtId="43" fontId="22" fillId="5" borderId="136" xfId="1" applyFont="1" applyFill="1" applyBorder="1" applyAlignment="1">
      <alignment horizontal="right"/>
    </xf>
    <xf numFmtId="43" fontId="23" fillId="5" borderId="151" xfId="1" applyFont="1" applyFill="1" applyBorder="1" applyAlignment="1">
      <alignment horizontal="right"/>
    </xf>
    <xf numFmtId="43" fontId="20" fillId="5" borderId="137" xfId="1" applyFont="1" applyFill="1" applyBorder="1" applyAlignment="1">
      <alignment horizontal="right"/>
    </xf>
    <xf numFmtId="43" fontId="22" fillId="5" borderId="138" xfId="1" applyFont="1" applyFill="1" applyBorder="1" applyAlignment="1">
      <alignment horizontal="right"/>
    </xf>
    <xf numFmtId="43" fontId="23" fillId="5" borderId="152" xfId="1" applyFont="1" applyFill="1" applyBorder="1" applyAlignment="1">
      <alignment horizontal="right"/>
    </xf>
    <xf numFmtId="43" fontId="22" fillId="5" borderId="139" xfId="1" applyFont="1" applyFill="1" applyBorder="1" applyAlignment="1">
      <alignment horizontal="right"/>
    </xf>
    <xf numFmtId="43" fontId="23" fillId="5" borderId="135" xfId="1" applyFont="1" applyFill="1" applyBorder="1" applyAlignment="1">
      <alignment horizontal="right"/>
    </xf>
    <xf numFmtId="43" fontId="23" fillId="5" borderId="150" xfId="1" applyFont="1" applyFill="1" applyBorder="1" applyAlignment="1">
      <alignment horizontal="right"/>
    </xf>
    <xf numFmtId="43" fontId="20" fillId="5" borderId="140" xfId="1" applyFont="1" applyFill="1" applyBorder="1" applyAlignment="1">
      <alignment horizontal="right"/>
    </xf>
    <xf numFmtId="43" fontId="22" fillId="5" borderId="131" xfId="1" applyFont="1" applyFill="1" applyBorder="1" applyAlignment="1">
      <alignment horizontal="right"/>
    </xf>
    <xf numFmtId="43" fontId="23" fillId="5" borderId="146" xfId="1" applyFont="1" applyFill="1" applyBorder="1" applyAlignment="1">
      <alignment horizontal="right"/>
    </xf>
    <xf numFmtId="43" fontId="22" fillId="5" borderId="132" xfId="1" applyFont="1" applyFill="1" applyBorder="1" applyAlignment="1">
      <alignment horizontal="right"/>
    </xf>
    <xf numFmtId="43" fontId="23" fillId="5" borderId="147" xfId="1" applyFont="1" applyFill="1" applyBorder="1" applyAlignment="1">
      <alignment horizontal="right"/>
    </xf>
    <xf numFmtId="43" fontId="23" fillId="5" borderId="133" xfId="1" applyFont="1" applyFill="1" applyBorder="1" applyAlignment="1">
      <alignment horizontal="right"/>
    </xf>
    <xf numFmtId="43" fontId="22" fillId="5" borderId="155" xfId="1" applyFont="1" applyFill="1" applyBorder="1" applyAlignment="1">
      <alignment horizontal="right"/>
    </xf>
    <xf numFmtId="43" fontId="31" fillId="5" borderId="156" xfId="1" applyFont="1" applyFill="1" applyBorder="1" applyAlignment="1">
      <alignment horizontal="right"/>
    </xf>
    <xf numFmtId="43" fontId="23" fillId="5" borderId="138" xfId="1" applyFont="1" applyFill="1" applyBorder="1" applyAlignment="1">
      <alignment horizontal="right"/>
    </xf>
    <xf numFmtId="43" fontId="24" fillId="5" borderId="133" xfId="1" applyFont="1" applyFill="1" applyBorder="1" applyAlignment="1">
      <alignment horizontal="right"/>
    </xf>
    <xf numFmtId="43" fontId="37" fillId="5" borderId="148" xfId="1" applyFont="1" applyFill="1" applyBorder="1" applyAlignment="1">
      <alignment horizontal="right"/>
    </xf>
    <xf numFmtId="43" fontId="38" fillId="5" borderId="148" xfId="1" applyFont="1" applyFill="1" applyBorder="1" applyAlignment="1">
      <alignment horizontal="right"/>
    </xf>
    <xf numFmtId="43" fontId="22" fillId="5" borderId="137" xfId="1" applyFont="1" applyFill="1" applyBorder="1" applyAlignment="1">
      <alignment horizontal="right"/>
    </xf>
    <xf numFmtId="43" fontId="23" fillId="5" borderId="122" xfId="1" applyFont="1" applyFill="1" applyBorder="1" applyAlignment="1">
      <alignment horizontal="right"/>
    </xf>
    <xf numFmtId="43" fontId="20" fillId="5" borderId="141" xfId="1" applyFont="1" applyFill="1" applyBorder="1" applyAlignment="1">
      <alignment horizontal="right"/>
    </xf>
    <xf numFmtId="43" fontId="23" fillId="5" borderId="136" xfId="1" applyFont="1" applyFill="1" applyBorder="1" applyAlignment="1">
      <alignment horizontal="right"/>
    </xf>
    <xf numFmtId="43" fontId="23" fillId="5" borderId="158" xfId="1" applyFont="1" applyFill="1" applyBorder="1" applyAlignment="1">
      <alignment horizontal="right"/>
    </xf>
    <xf numFmtId="43" fontId="23" fillId="5" borderId="159" xfId="1" applyFont="1" applyFill="1" applyBorder="1" applyAlignment="1">
      <alignment horizontal="right"/>
    </xf>
    <xf numFmtId="43" fontId="21" fillId="5" borderId="132" xfId="1" applyFont="1" applyFill="1" applyBorder="1" applyAlignment="1">
      <alignment horizontal="right"/>
    </xf>
    <xf numFmtId="43" fontId="25" fillId="5" borderId="133" xfId="1" applyFont="1" applyFill="1" applyBorder="1" applyAlignment="1">
      <alignment horizontal="right"/>
    </xf>
    <xf numFmtId="43" fontId="21" fillId="5" borderId="134" xfId="1" applyFont="1" applyFill="1" applyBorder="1" applyAlignment="1">
      <alignment horizontal="right"/>
    </xf>
    <xf numFmtId="43" fontId="22" fillId="5" borderId="141" xfId="1" applyFont="1" applyFill="1" applyBorder="1" applyAlignment="1">
      <alignment horizontal="right"/>
    </xf>
    <xf numFmtId="43" fontId="23" fillId="5" borderId="157" xfId="1" applyFont="1" applyFill="1" applyBorder="1" applyAlignment="1">
      <alignment horizontal="right"/>
    </xf>
    <xf numFmtId="43" fontId="22" fillId="5" borderId="129" xfId="1" applyFont="1" applyFill="1" applyBorder="1" applyAlignment="1">
      <alignment horizontal="right"/>
    </xf>
    <xf numFmtId="43" fontId="23" fillId="5" borderId="144" xfId="1" applyFont="1" applyFill="1" applyBorder="1" applyAlignment="1">
      <alignment horizontal="right"/>
    </xf>
    <xf numFmtId="43" fontId="23" fillId="0" borderId="148" xfId="1" applyFont="1" applyFill="1" applyBorder="1" applyAlignment="1">
      <alignment horizontal="right"/>
    </xf>
    <xf numFmtId="43" fontId="23" fillId="0" borderId="144" xfId="1" applyFont="1" applyFill="1" applyBorder="1" applyAlignment="1">
      <alignment horizontal="right"/>
    </xf>
    <xf numFmtId="43" fontId="23" fillId="0" borderId="149" xfId="1" applyFont="1" applyFill="1" applyBorder="1" applyAlignment="1">
      <alignment horizontal="right"/>
    </xf>
    <xf numFmtId="43" fontId="23" fillId="0" borderId="152" xfId="1" applyFont="1" applyFill="1" applyBorder="1" applyAlignment="1">
      <alignment horizontal="right"/>
    </xf>
    <xf numFmtId="43" fontId="21" fillId="13" borderId="129" xfId="1" applyFont="1" applyFill="1" applyBorder="1" applyAlignment="1">
      <alignment horizontal="center" vertical="center" wrapText="1"/>
    </xf>
    <xf numFmtId="43" fontId="20" fillId="13" borderId="131" xfId="1" applyFont="1" applyFill="1" applyBorder="1" applyAlignment="1">
      <alignment horizontal="right"/>
    </xf>
    <xf numFmtId="43" fontId="20" fillId="13" borderId="132" xfId="1" applyFont="1" applyFill="1" applyBorder="1" applyAlignment="1">
      <alignment horizontal="right"/>
    </xf>
    <xf numFmtId="43" fontId="22" fillId="13" borderId="133" xfId="1" applyFont="1" applyFill="1" applyBorder="1" applyAlignment="1">
      <alignment horizontal="right"/>
    </xf>
    <xf numFmtId="43" fontId="23" fillId="13" borderId="148" xfId="1" applyFont="1" applyFill="1" applyBorder="1" applyAlignment="1">
      <alignment horizontal="right"/>
    </xf>
    <xf numFmtId="43" fontId="22" fillId="13" borderId="134" xfId="1" applyFont="1" applyFill="1" applyBorder="1" applyAlignment="1">
      <alignment horizontal="right"/>
    </xf>
    <xf numFmtId="43" fontId="23" fillId="13" borderId="149" xfId="1" applyFont="1" applyFill="1" applyBorder="1" applyAlignment="1">
      <alignment horizontal="right"/>
    </xf>
    <xf numFmtId="43" fontId="20" fillId="13" borderId="135" xfId="1" applyFont="1" applyFill="1" applyBorder="1" applyAlignment="1">
      <alignment horizontal="right"/>
    </xf>
    <xf numFmtId="43" fontId="20" fillId="13" borderId="134" xfId="1" applyFont="1" applyFill="1" applyBorder="1" applyAlignment="1">
      <alignment horizontal="right"/>
    </xf>
    <xf numFmtId="43" fontId="22" fillId="13" borderId="138" xfId="1" applyFont="1" applyFill="1" applyBorder="1" applyAlignment="1">
      <alignment horizontal="right"/>
    </xf>
    <xf numFmtId="43" fontId="23" fillId="13" borderId="152" xfId="1" applyFont="1" applyFill="1" applyBorder="1" applyAlignment="1">
      <alignment horizontal="right"/>
    </xf>
    <xf numFmtId="43" fontId="20" fillId="13" borderId="137" xfId="1" applyFont="1" applyFill="1" applyBorder="1" applyAlignment="1">
      <alignment horizontal="right"/>
    </xf>
    <xf numFmtId="43" fontId="22" fillId="13" borderId="139" xfId="1" applyFont="1" applyFill="1" applyBorder="1" applyAlignment="1">
      <alignment horizontal="right"/>
    </xf>
    <xf numFmtId="43" fontId="23" fillId="13" borderId="153" xfId="1" applyFont="1" applyFill="1" applyBorder="1" applyAlignment="1">
      <alignment horizontal="right"/>
    </xf>
    <xf numFmtId="43" fontId="23" fillId="13" borderId="135" xfId="1" applyFont="1" applyFill="1" applyBorder="1" applyAlignment="1">
      <alignment horizontal="right"/>
    </xf>
    <xf numFmtId="43" fontId="23" fillId="13" borderId="150" xfId="1" applyFont="1" applyFill="1" applyBorder="1" applyAlignment="1">
      <alignment horizontal="right"/>
    </xf>
    <xf numFmtId="43" fontId="20" fillId="13" borderId="140" xfId="1" applyFont="1" applyFill="1" applyBorder="1" applyAlignment="1">
      <alignment horizontal="right"/>
    </xf>
    <xf numFmtId="43" fontId="22" fillId="13" borderId="131" xfId="1" applyFont="1" applyFill="1" applyBorder="1" applyAlignment="1">
      <alignment horizontal="right"/>
    </xf>
    <xf numFmtId="43" fontId="23" fillId="13" borderId="146" xfId="1" applyFont="1" applyFill="1" applyBorder="1" applyAlignment="1">
      <alignment horizontal="right"/>
    </xf>
    <xf numFmtId="43" fontId="22" fillId="13" borderId="132" xfId="1" applyFont="1" applyFill="1" applyBorder="1" applyAlignment="1">
      <alignment horizontal="right"/>
    </xf>
    <xf numFmtId="43" fontId="23" fillId="13" borderId="147" xfId="1" applyFont="1" applyFill="1" applyBorder="1" applyAlignment="1">
      <alignment horizontal="right"/>
    </xf>
    <xf numFmtId="43" fontId="23" fillId="13" borderId="133" xfId="1" applyFont="1" applyFill="1" applyBorder="1" applyAlignment="1">
      <alignment horizontal="right"/>
    </xf>
    <xf numFmtId="43" fontId="23" fillId="13" borderId="138" xfId="1" applyFont="1" applyFill="1" applyBorder="1" applyAlignment="1">
      <alignment horizontal="right"/>
    </xf>
    <xf numFmtId="43" fontId="24" fillId="13" borderId="133" xfId="1" applyFont="1" applyFill="1" applyBorder="1" applyAlignment="1">
      <alignment horizontal="right"/>
    </xf>
    <xf numFmtId="43" fontId="37" fillId="13" borderId="148" xfId="1" applyFont="1" applyFill="1" applyBorder="1" applyAlignment="1">
      <alignment horizontal="right"/>
    </xf>
    <xf numFmtId="43" fontId="38" fillId="13" borderId="148" xfId="1" applyFont="1" applyFill="1" applyBorder="1" applyAlignment="1">
      <alignment horizontal="right"/>
    </xf>
    <xf numFmtId="43" fontId="22" fillId="13" borderId="137" xfId="1" applyFont="1" applyFill="1" applyBorder="1" applyAlignment="1">
      <alignment horizontal="right"/>
    </xf>
    <xf numFmtId="43" fontId="23" fillId="13" borderId="122" xfId="1" applyFont="1" applyFill="1" applyBorder="1" applyAlignment="1">
      <alignment horizontal="right"/>
    </xf>
    <xf numFmtId="43" fontId="20" fillId="13" borderId="141" xfId="1" applyFont="1" applyFill="1" applyBorder="1" applyAlignment="1">
      <alignment horizontal="right"/>
    </xf>
    <xf numFmtId="43" fontId="23" fillId="13" borderId="136" xfId="1" applyFont="1" applyFill="1" applyBorder="1" applyAlignment="1">
      <alignment horizontal="right"/>
    </xf>
    <xf numFmtId="43" fontId="23" fillId="13" borderId="151" xfId="1" applyFont="1" applyFill="1" applyBorder="1" applyAlignment="1">
      <alignment horizontal="right"/>
    </xf>
    <xf numFmtId="43" fontId="21" fillId="13" borderId="132" xfId="1" applyFont="1" applyFill="1" applyBorder="1" applyAlignment="1">
      <alignment horizontal="right"/>
    </xf>
    <xf numFmtId="43" fontId="25" fillId="13" borderId="133" xfId="1" applyFont="1" applyFill="1" applyBorder="1" applyAlignment="1">
      <alignment horizontal="right"/>
    </xf>
    <xf numFmtId="43" fontId="21" fillId="13" borderId="134" xfId="1" applyFont="1" applyFill="1" applyBorder="1" applyAlignment="1">
      <alignment horizontal="right"/>
    </xf>
    <xf numFmtId="43" fontId="22" fillId="13" borderId="141" xfId="1" applyFont="1" applyFill="1" applyBorder="1" applyAlignment="1">
      <alignment horizontal="right"/>
    </xf>
    <xf numFmtId="43" fontId="23" fillId="13" borderId="157" xfId="1" applyFont="1" applyFill="1" applyBorder="1" applyAlignment="1">
      <alignment horizontal="right"/>
    </xf>
    <xf numFmtId="43" fontId="22" fillId="13" borderId="129" xfId="1" applyFont="1" applyFill="1" applyBorder="1" applyAlignment="1">
      <alignment horizontal="right"/>
    </xf>
    <xf numFmtId="43" fontId="23" fillId="13" borderId="144" xfId="1" applyFont="1" applyFill="1" applyBorder="1" applyAlignment="1">
      <alignment horizontal="right"/>
    </xf>
    <xf numFmtId="43" fontId="21" fillId="12" borderId="129" xfId="1" applyFont="1" applyFill="1" applyBorder="1" applyAlignment="1">
      <alignment horizontal="center" vertical="center" wrapText="1"/>
    </xf>
    <xf numFmtId="43" fontId="20" fillId="12" borderId="131" xfId="1" applyFont="1" applyFill="1" applyBorder="1" applyAlignment="1">
      <alignment horizontal="right"/>
    </xf>
    <xf numFmtId="43" fontId="20" fillId="12" borderId="132" xfId="1" applyFont="1" applyFill="1" applyBorder="1" applyAlignment="1">
      <alignment horizontal="right"/>
    </xf>
    <xf numFmtId="43" fontId="22" fillId="12" borderId="133" xfId="1" applyFont="1" applyFill="1" applyBorder="1" applyAlignment="1">
      <alignment horizontal="right"/>
    </xf>
    <xf numFmtId="43" fontId="22" fillId="12" borderId="148" xfId="1" applyFont="1" applyFill="1" applyBorder="1" applyAlignment="1">
      <alignment horizontal="right"/>
    </xf>
    <xf numFmtId="43" fontId="22" fillId="12" borderId="134" xfId="1" applyFont="1" applyFill="1" applyBorder="1" applyAlignment="1">
      <alignment horizontal="right"/>
    </xf>
    <xf numFmtId="43" fontId="22" fillId="12" borderId="149" xfId="1" applyFont="1" applyFill="1" applyBorder="1" applyAlignment="1">
      <alignment horizontal="right"/>
    </xf>
    <xf numFmtId="43" fontId="20" fillId="12" borderId="135" xfId="1" applyFont="1" applyFill="1" applyBorder="1" applyAlignment="1">
      <alignment horizontal="right"/>
    </xf>
    <xf numFmtId="43" fontId="20" fillId="12" borderId="134" xfId="1" applyFont="1" applyFill="1" applyBorder="1" applyAlignment="1">
      <alignment horizontal="right"/>
    </xf>
    <xf numFmtId="43" fontId="22" fillId="12" borderId="138" xfId="1" applyFont="1" applyFill="1" applyBorder="1" applyAlignment="1">
      <alignment horizontal="right"/>
    </xf>
    <xf numFmtId="43" fontId="22" fillId="12" borderId="152" xfId="1" applyFont="1" applyFill="1" applyBorder="1" applyAlignment="1">
      <alignment horizontal="right"/>
    </xf>
    <xf numFmtId="43" fontId="20" fillId="12" borderId="137" xfId="1" applyFont="1" applyFill="1" applyBorder="1" applyAlignment="1">
      <alignment horizontal="right"/>
    </xf>
    <xf numFmtId="43" fontId="22" fillId="12" borderId="139" xfId="1" applyFont="1" applyFill="1" applyBorder="1" applyAlignment="1">
      <alignment horizontal="right"/>
    </xf>
    <xf numFmtId="43" fontId="23" fillId="12" borderId="135" xfId="1" applyFont="1" applyFill="1" applyBorder="1" applyAlignment="1">
      <alignment horizontal="right"/>
    </xf>
    <xf numFmtId="43" fontId="23" fillId="12" borderId="150" xfId="1" applyFont="1" applyFill="1" applyBorder="1" applyAlignment="1">
      <alignment horizontal="right"/>
    </xf>
    <xf numFmtId="43" fontId="20" fillId="12" borderId="140" xfId="1" applyFont="1" applyFill="1" applyBorder="1" applyAlignment="1">
      <alignment horizontal="right"/>
    </xf>
    <xf numFmtId="43" fontId="22" fillId="12" borderId="131" xfId="1" applyFont="1" applyFill="1" applyBorder="1" applyAlignment="1">
      <alignment horizontal="right"/>
    </xf>
    <xf numFmtId="43" fontId="22" fillId="12" borderId="146" xfId="1" applyFont="1" applyFill="1" applyBorder="1" applyAlignment="1">
      <alignment horizontal="right"/>
    </xf>
    <xf numFmtId="43" fontId="22" fillId="12" borderId="132" xfId="1" applyFont="1" applyFill="1" applyBorder="1" applyAlignment="1">
      <alignment horizontal="right"/>
    </xf>
    <xf numFmtId="43" fontId="22" fillId="12" borderId="147" xfId="1" applyFont="1" applyFill="1" applyBorder="1" applyAlignment="1">
      <alignment horizontal="right"/>
    </xf>
    <xf numFmtId="43" fontId="23" fillId="12" borderId="133" xfId="1" applyFont="1" applyFill="1" applyBorder="1" applyAlignment="1">
      <alignment horizontal="right"/>
    </xf>
    <xf numFmtId="43" fontId="23" fillId="12" borderId="148" xfId="1" applyFont="1" applyFill="1" applyBorder="1" applyAlignment="1">
      <alignment horizontal="right"/>
    </xf>
    <xf numFmtId="43" fontId="23" fillId="12" borderId="138" xfId="1" applyFont="1" applyFill="1" applyBorder="1" applyAlignment="1">
      <alignment horizontal="right"/>
    </xf>
    <xf numFmtId="43" fontId="23" fillId="12" borderId="152" xfId="1" applyFont="1" applyFill="1" applyBorder="1" applyAlignment="1">
      <alignment horizontal="right"/>
    </xf>
    <xf numFmtId="43" fontId="24" fillId="12" borderId="133" xfId="1" applyFont="1" applyFill="1" applyBorder="1" applyAlignment="1">
      <alignment horizontal="right"/>
    </xf>
    <xf numFmtId="43" fontId="24" fillId="12" borderId="148" xfId="1" applyFont="1" applyFill="1" applyBorder="1" applyAlignment="1">
      <alignment horizontal="right"/>
    </xf>
    <xf numFmtId="43" fontId="22" fillId="12" borderId="122" xfId="1" applyFont="1" applyFill="1" applyBorder="1" applyAlignment="1">
      <alignment horizontal="right"/>
    </xf>
    <xf numFmtId="43" fontId="20" fillId="12" borderId="141" xfId="1" applyFont="1" applyFill="1" applyBorder="1" applyAlignment="1">
      <alignment horizontal="right"/>
    </xf>
    <xf numFmtId="43" fontId="23" fillId="12" borderId="136" xfId="1" applyFont="1" applyFill="1" applyBorder="1" applyAlignment="1">
      <alignment horizontal="right"/>
    </xf>
    <xf numFmtId="43" fontId="23" fillId="12" borderId="151" xfId="1" applyFont="1" applyFill="1" applyBorder="1" applyAlignment="1">
      <alignment horizontal="right"/>
    </xf>
    <xf numFmtId="43" fontId="22" fillId="12" borderId="159" xfId="1" applyFont="1" applyFill="1" applyBorder="1" applyAlignment="1">
      <alignment horizontal="right"/>
    </xf>
    <xf numFmtId="43" fontId="21" fillId="12" borderId="132" xfId="1" applyFont="1" applyFill="1" applyBorder="1" applyAlignment="1">
      <alignment horizontal="right"/>
    </xf>
    <xf numFmtId="43" fontId="25" fillId="12" borderId="133" xfId="1" applyFont="1" applyFill="1" applyBorder="1" applyAlignment="1">
      <alignment horizontal="right"/>
    </xf>
    <xf numFmtId="43" fontId="25" fillId="12" borderId="148" xfId="1" applyFont="1" applyFill="1" applyBorder="1" applyAlignment="1">
      <alignment horizontal="right"/>
    </xf>
    <xf numFmtId="43" fontId="21" fillId="12" borderId="134" xfId="1" applyFont="1" applyFill="1" applyBorder="1" applyAlignment="1">
      <alignment horizontal="right"/>
    </xf>
    <xf numFmtId="43" fontId="22" fillId="12" borderId="157" xfId="1" applyFont="1" applyFill="1" applyBorder="1" applyAlignment="1">
      <alignment horizontal="right"/>
    </xf>
    <xf numFmtId="43" fontId="22" fillId="12" borderId="129" xfId="1" applyFont="1" applyFill="1" applyBorder="1" applyAlignment="1">
      <alignment horizontal="right"/>
    </xf>
    <xf numFmtId="43" fontId="22" fillId="12" borderId="144" xfId="1" applyFont="1" applyFill="1" applyBorder="1" applyAlignment="1">
      <alignment horizontal="right"/>
    </xf>
    <xf numFmtId="43" fontId="22" fillId="0" borderId="148" xfId="1" applyFont="1" applyFill="1" applyBorder="1" applyAlignment="1">
      <alignment horizontal="right"/>
    </xf>
    <xf numFmtId="43" fontId="22" fillId="0" borderId="144" xfId="1" applyFont="1" applyFill="1" applyBorder="1" applyAlignment="1">
      <alignment horizontal="right"/>
    </xf>
    <xf numFmtId="43" fontId="22" fillId="0" borderId="152" xfId="1" applyFont="1" applyFill="1" applyBorder="1" applyAlignment="1">
      <alignment horizontal="right"/>
    </xf>
    <xf numFmtId="43" fontId="22" fillId="4" borderId="56" xfId="1" applyFont="1" applyFill="1" applyBorder="1" applyAlignment="1">
      <alignment horizontal="right"/>
    </xf>
    <xf numFmtId="43" fontId="22" fillId="4" borderId="41" xfId="1" applyFont="1" applyFill="1" applyBorder="1" applyAlignment="1">
      <alignment horizontal="right"/>
    </xf>
    <xf numFmtId="43" fontId="22" fillId="4" borderId="14" xfId="1" applyFont="1" applyFill="1" applyBorder="1" applyAlignment="1">
      <alignment horizontal="right"/>
    </xf>
    <xf numFmtId="43" fontId="22" fillId="4" borderId="82" xfId="1" applyFont="1" applyFill="1" applyBorder="1" applyAlignment="1">
      <alignment horizontal="right"/>
    </xf>
    <xf numFmtId="43" fontId="23" fillId="4" borderId="4" xfId="1" applyFont="1" applyFill="1" applyBorder="1" applyAlignment="1">
      <alignment horizontal="right"/>
    </xf>
    <xf numFmtId="43" fontId="23" fillId="4" borderId="56" xfId="1" applyFont="1" applyFill="1" applyBorder="1" applyAlignment="1">
      <alignment horizontal="right"/>
    </xf>
    <xf numFmtId="43" fontId="22" fillId="4" borderId="5" xfId="1" applyFont="1" applyFill="1" applyBorder="1" applyAlignment="1">
      <alignment horizontal="right"/>
    </xf>
    <xf numFmtId="43" fontId="22" fillId="4" borderId="3" xfId="1" applyFont="1" applyFill="1" applyBorder="1" applyAlignment="1">
      <alignment horizontal="right"/>
    </xf>
    <xf numFmtId="43" fontId="23" fillId="4" borderId="82" xfId="1" applyFont="1" applyFill="1" applyBorder="1" applyAlignment="1">
      <alignment horizontal="right"/>
    </xf>
    <xf numFmtId="43" fontId="24" fillId="4" borderId="56" xfId="1" applyFont="1" applyFill="1" applyBorder="1" applyAlignment="1">
      <alignment horizontal="right"/>
    </xf>
    <xf numFmtId="43" fontId="25" fillId="4" borderId="56" xfId="1" applyFont="1" applyFill="1" applyBorder="1" applyAlignment="1">
      <alignment horizontal="right"/>
    </xf>
    <xf numFmtId="43" fontId="22" fillId="4" borderId="90" xfId="1" applyFont="1" applyFill="1" applyBorder="1" applyAlignment="1">
      <alignment horizontal="right"/>
    </xf>
    <xf numFmtId="43" fontId="23" fillId="4" borderId="105" xfId="1" applyFont="1" applyFill="1" applyBorder="1" applyAlignment="1">
      <alignment horizontal="right"/>
    </xf>
    <xf numFmtId="43" fontId="22" fillId="4" borderId="98" xfId="1" applyFont="1" applyFill="1" applyBorder="1" applyAlignment="1">
      <alignment horizontal="right"/>
    </xf>
    <xf numFmtId="43" fontId="22" fillId="4" borderId="77" xfId="1" applyFont="1" applyFill="1" applyBorder="1" applyAlignment="1">
      <alignment horizontal="right"/>
    </xf>
    <xf numFmtId="43" fontId="21" fillId="6" borderId="142" xfId="1" applyFont="1" applyFill="1" applyBorder="1" applyAlignment="1">
      <alignment horizontal="center" vertical="center" wrapText="1"/>
    </xf>
    <xf numFmtId="43" fontId="20" fillId="6" borderId="131" xfId="1" applyFont="1" applyFill="1" applyBorder="1" applyAlignment="1">
      <alignment horizontal="right"/>
    </xf>
    <xf numFmtId="43" fontId="20" fillId="6" borderId="132" xfId="1" applyFont="1" applyFill="1" applyBorder="1" applyAlignment="1">
      <alignment horizontal="right"/>
    </xf>
    <xf numFmtId="43" fontId="22" fillId="6" borderId="133" xfId="1" applyFont="1" applyFill="1" applyBorder="1" applyAlignment="1">
      <alignment horizontal="right"/>
    </xf>
    <xf numFmtId="43" fontId="22" fillId="6" borderId="148" xfId="1" applyFont="1" applyFill="1" applyBorder="1" applyAlignment="1">
      <alignment horizontal="right"/>
    </xf>
    <xf numFmtId="43" fontId="22" fillId="6" borderId="134" xfId="1" applyFont="1" applyFill="1" applyBorder="1" applyAlignment="1">
      <alignment horizontal="right"/>
    </xf>
    <xf numFmtId="43" fontId="22" fillId="6" borderId="143" xfId="1" applyFont="1" applyFill="1" applyBorder="1" applyAlignment="1">
      <alignment horizontal="right"/>
    </xf>
    <xf numFmtId="43" fontId="20" fillId="6" borderId="135" xfId="1" applyFont="1" applyFill="1" applyBorder="1" applyAlignment="1">
      <alignment horizontal="right"/>
    </xf>
    <xf numFmtId="43" fontId="20" fillId="6" borderId="134" xfId="1" applyFont="1" applyFill="1" applyBorder="1" applyAlignment="1">
      <alignment horizontal="right"/>
    </xf>
    <xf numFmtId="43" fontId="22" fillId="6" borderId="138" xfId="1" applyFont="1" applyFill="1" applyBorder="1" applyAlignment="1">
      <alignment horizontal="right"/>
    </xf>
    <xf numFmtId="43" fontId="22" fillId="6" borderId="152" xfId="1" applyFont="1" applyFill="1" applyBorder="1" applyAlignment="1">
      <alignment horizontal="right"/>
    </xf>
    <xf numFmtId="43" fontId="20" fillId="6" borderId="137" xfId="1" applyFont="1" applyFill="1" applyBorder="1" applyAlignment="1">
      <alignment horizontal="right"/>
    </xf>
    <xf numFmtId="43" fontId="22" fillId="6" borderId="139" xfId="1" applyFont="1" applyFill="1" applyBorder="1" applyAlignment="1">
      <alignment horizontal="right"/>
    </xf>
    <xf numFmtId="43" fontId="23" fillId="6" borderId="135" xfId="1" applyFont="1" applyFill="1" applyBorder="1" applyAlignment="1">
      <alignment horizontal="right"/>
    </xf>
    <xf numFmtId="43" fontId="23" fillId="6" borderId="150" xfId="1" applyFont="1" applyFill="1" applyBorder="1" applyAlignment="1">
      <alignment horizontal="right"/>
    </xf>
    <xf numFmtId="43" fontId="20" fillId="6" borderId="140" xfId="1" applyFont="1" applyFill="1" applyBorder="1" applyAlignment="1">
      <alignment horizontal="right"/>
    </xf>
    <xf numFmtId="43" fontId="23" fillId="6" borderId="133" xfId="1" applyFont="1" applyFill="1" applyBorder="1" applyAlignment="1">
      <alignment horizontal="right"/>
    </xf>
    <xf numFmtId="43" fontId="23" fillId="6" borderId="148" xfId="1" applyFont="1" applyFill="1" applyBorder="1" applyAlignment="1">
      <alignment horizontal="right"/>
    </xf>
    <xf numFmtId="43" fontId="22" fillId="6" borderId="131" xfId="1" applyFont="1" applyFill="1" applyBorder="1" applyAlignment="1">
      <alignment horizontal="right"/>
    </xf>
    <xf numFmtId="43" fontId="22" fillId="6" borderId="146" xfId="1" applyFont="1" applyFill="1" applyBorder="1" applyAlignment="1">
      <alignment horizontal="right"/>
    </xf>
    <xf numFmtId="43" fontId="22" fillId="6" borderId="132" xfId="1" applyFont="1" applyFill="1" applyBorder="1" applyAlignment="1">
      <alignment horizontal="right"/>
    </xf>
    <xf numFmtId="43" fontId="22" fillId="6" borderId="147" xfId="1" applyFont="1" applyFill="1" applyBorder="1" applyAlignment="1">
      <alignment horizontal="right"/>
    </xf>
    <xf numFmtId="43" fontId="23" fillId="6" borderId="138" xfId="1" applyFont="1" applyFill="1" applyBorder="1" applyAlignment="1">
      <alignment horizontal="right"/>
    </xf>
    <xf numFmtId="43" fontId="23" fillId="6" borderId="152" xfId="1" applyFont="1" applyFill="1" applyBorder="1" applyAlignment="1">
      <alignment horizontal="right"/>
    </xf>
    <xf numFmtId="43" fontId="24" fillId="6" borderId="133" xfId="1" applyFont="1" applyFill="1" applyBorder="1" applyAlignment="1">
      <alignment horizontal="right"/>
    </xf>
    <xf numFmtId="43" fontId="24" fillId="6" borderId="148" xfId="1" applyFont="1" applyFill="1" applyBorder="1" applyAlignment="1">
      <alignment horizontal="right"/>
    </xf>
    <xf numFmtId="43" fontId="25" fillId="6" borderId="133" xfId="1" applyFont="1" applyFill="1" applyBorder="1" applyAlignment="1">
      <alignment horizontal="right"/>
    </xf>
    <xf numFmtId="43" fontId="25" fillId="6" borderId="148" xfId="1" applyFont="1" applyFill="1" applyBorder="1" applyAlignment="1">
      <alignment horizontal="right"/>
    </xf>
    <xf numFmtId="43" fontId="22" fillId="6" borderId="137" xfId="1" applyFont="1" applyFill="1" applyBorder="1" applyAlignment="1">
      <alignment horizontal="right"/>
    </xf>
    <xf numFmtId="43" fontId="22" fillId="6" borderId="122" xfId="1" applyFont="1" applyFill="1" applyBorder="1" applyAlignment="1">
      <alignment horizontal="right"/>
    </xf>
    <xf numFmtId="43" fontId="20" fillId="6" borderId="141" xfId="1" applyFont="1" applyFill="1" applyBorder="1" applyAlignment="1">
      <alignment horizontal="right"/>
    </xf>
    <xf numFmtId="43" fontId="22" fillId="6" borderId="149" xfId="1" applyFont="1" applyFill="1" applyBorder="1" applyAlignment="1">
      <alignment horizontal="right"/>
    </xf>
    <xf numFmtId="43" fontId="23" fillId="6" borderId="136" xfId="1" applyFont="1" applyFill="1" applyBorder="1" applyAlignment="1">
      <alignment horizontal="right"/>
    </xf>
    <xf numFmtId="43" fontId="23" fillId="6" borderId="151" xfId="1" applyFont="1" applyFill="1" applyBorder="1" applyAlignment="1">
      <alignment horizontal="right"/>
    </xf>
    <xf numFmtId="43" fontId="20" fillId="6" borderId="163" xfId="1" applyFont="1" applyFill="1" applyBorder="1" applyAlignment="1">
      <alignment horizontal="right"/>
    </xf>
    <xf numFmtId="43" fontId="22" fillId="6" borderId="136" xfId="1" applyFont="1" applyFill="1" applyBorder="1" applyAlignment="1">
      <alignment horizontal="right"/>
    </xf>
    <xf numFmtId="43" fontId="22" fillId="6" borderId="151" xfId="1" applyFont="1" applyFill="1" applyBorder="1" applyAlignment="1">
      <alignment horizontal="right"/>
    </xf>
    <xf numFmtId="43" fontId="22" fillId="6" borderId="165" xfId="1" applyFont="1" applyFill="1" applyBorder="1" applyAlignment="1">
      <alignment horizontal="right"/>
    </xf>
    <xf numFmtId="43" fontId="22" fillId="6" borderId="166" xfId="1" applyFont="1" applyFill="1" applyBorder="1" applyAlignment="1">
      <alignment horizontal="right"/>
    </xf>
    <xf numFmtId="43" fontId="22" fillId="6" borderId="128" xfId="1" applyFont="1" applyFill="1" applyBorder="1" applyAlignment="1">
      <alignment horizontal="right"/>
    </xf>
    <xf numFmtId="43" fontId="22" fillId="6" borderId="159" xfId="1" applyFont="1" applyFill="1" applyBorder="1" applyAlignment="1">
      <alignment horizontal="right"/>
    </xf>
    <xf numFmtId="43" fontId="21" fillId="6" borderId="132" xfId="1" applyFont="1" applyFill="1" applyBorder="1" applyAlignment="1">
      <alignment horizontal="right"/>
    </xf>
    <xf numFmtId="43" fontId="21" fillId="6" borderId="134" xfId="1" applyFont="1" applyFill="1" applyBorder="1" applyAlignment="1">
      <alignment horizontal="right"/>
    </xf>
    <xf numFmtId="43" fontId="22" fillId="6" borderId="141" xfId="1" applyFont="1" applyFill="1" applyBorder="1" applyAlignment="1">
      <alignment horizontal="right"/>
    </xf>
    <xf numFmtId="43" fontId="22" fillId="6" borderId="157" xfId="1" applyFont="1" applyFill="1" applyBorder="1" applyAlignment="1">
      <alignment horizontal="right"/>
    </xf>
    <xf numFmtId="43" fontId="22" fillId="6" borderId="129" xfId="1" applyFont="1" applyFill="1" applyBorder="1" applyAlignment="1">
      <alignment horizontal="right"/>
    </xf>
    <xf numFmtId="43" fontId="22" fillId="6" borderId="167" xfId="1" applyFont="1" applyFill="1" applyBorder="1" applyAlignment="1">
      <alignment horizontal="right"/>
    </xf>
    <xf numFmtId="0" fontId="18" fillId="0" borderId="145" xfId="0" applyFont="1" applyFill="1" applyBorder="1" applyAlignment="1">
      <alignment vertical="center"/>
    </xf>
    <xf numFmtId="0" fontId="19" fillId="0" borderId="145" xfId="0" applyFont="1" applyFill="1" applyBorder="1" applyAlignment="1">
      <alignment vertical="center"/>
    </xf>
    <xf numFmtId="43" fontId="22" fillId="0" borderId="153" xfId="1" applyFont="1" applyFill="1" applyBorder="1" applyAlignment="1">
      <alignment horizontal="right"/>
    </xf>
    <xf numFmtId="43" fontId="23" fillId="0" borderId="153" xfId="1" applyFont="1" applyFill="1" applyBorder="1" applyAlignment="1">
      <alignment horizontal="right"/>
    </xf>
    <xf numFmtId="0" fontId="18" fillId="0" borderId="4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3" fontId="26" fillId="0" borderId="0" xfId="1" applyFont="1" applyFill="1" applyBorder="1" applyAlignment="1">
      <alignment horizontal="right"/>
    </xf>
    <xf numFmtId="0" fontId="34" fillId="0" borderId="6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43" fontId="23" fillId="0" borderId="10" xfId="1" applyFont="1" applyFill="1" applyBorder="1" applyAlignment="1">
      <alignment horizontal="right"/>
    </xf>
    <xf numFmtId="43" fontId="22" fillId="0" borderId="66" xfId="1" applyFont="1" applyFill="1" applyBorder="1" applyAlignment="1">
      <alignment horizontal="right"/>
    </xf>
    <xf numFmtId="43" fontId="22" fillId="0" borderId="73" xfId="1" applyFont="1" applyFill="1" applyBorder="1" applyAlignment="1">
      <alignment horizontal="right"/>
    </xf>
    <xf numFmtId="43" fontId="22" fillId="0" borderId="50" xfId="1" applyFont="1" applyFill="1" applyBorder="1" applyAlignment="1">
      <alignment horizontal="right"/>
    </xf>
    <xf numFmtId="43" fontId="22" fillId="0" borderId="150" xfId="1" applyFont="1" applyFill="1" applyBorder="1" applyAlignment="1">
      <alignment horizontal="right"/>
    </xf>
    <xf numFmtId="43" fontId="22" fillId="0" borderId="135" xfId="1" applyFont="1" applyFill="1" applyBorder="1" applyAlignment="1">
      <alignment horizontal="right"/>
    </xf>
    <xf numFmtId="43" fontId="22" fillId="0" borderId="21" xfId="1" applyFont="1" applyFill="1" applyBorder="1" applyAlignment="1">
      <alignment horizontal="right"/>
    </xf>
    <xf numFmtId="43" fontId="23" fillId="0" borderId="150" xfId="1" applyFont="1" applyFill="1" applyBorder="1" applyAlignment="1">
      <alignment horizontal="right"/>
    </xf>
    <xf numFmtId="43" fontId="22" fillId="0" borderId="69" xfId="1" applyFont="1" applyFill="1" applyBorder="1" applyAlignment="1">
      <alignment horizontal="right"/>
    </xf>
    <xf numFmtId="0" fontId="18" fillId="10" borderId="55" xfId="0" applyFont="1" applyFill="1" applyBorder="1" applyAlignment="1">
      <alignment horizontal="center"/>
    </xf>
    <xf numFmtId="0" fontId="18" fillId="10" borderId="56" xfId="0" applyFont="1" applyFill="1" applyBorder="1"/>
    <xf numFmtId="43" fontId="23" fillId="10" borderId="63" xfId="1" applyFont="1" applyFill="1" applyBorder="1" applyAlignment="1">
      <alignment horizontal="right"/>
    </xf>
    <xf numFmtId="43" fontId="23" fillId="10" borderId="133" xfId="1" applyFont="1" applyFill="1" applyBorder="1" applyAlignment="1">
      <alignment horizontal="right"/>
    </xf>
    <xf numFmtId="43" fontId="31" fillId="10" borderId="55" xfId="1" applyFont="1" applyFill="1" applyBorder="1" applyAlignment="1">
      <alignment horizontal="right"/>
    </xf>
    <xf numFmtId="43" fontId="22" fillId="10" borderId="148" xfId="1" applyFont="1" applyFill="1" applyBorder="1" applyAlignment="1">
      <alignment horizontal="right"/>
    </xf>
    <xf numFmtId="43" fontId="22" fillId="10" borderId="133" xfId="1" applyFont="1" applyFill="1" applyBorder="1" applyAlignment="1">
      <alignment horizontal="right"/>
    </xf>
    <xf numFmtId="43" fontId="23" fillId="10" borderId="148" xfId="1" applyFont="1" applyFill="1" applyBorder="1" applyAlignment="1">
      <alignment horizontal="right"/>
    </xf>
    <xf numFmtId="43" fontId="23" fillId="10" borderId="58" xfId="1" applyFont="1" applyFill="1" applyBorder="1" applyAlignment="1">
      <alignment horizontal="right"/>
    </xf>
    <xf numFmtId="43" fontId="22" fillId="10" borderId="15" xfId="1" applyFont="1" applyFill="1" applyBorder="1" applyAlignment="1">
      <alignment horizontal="right"/>
    </xf>
    <xf numFmtId="43" fontId="22" fillId="10" borderId="16" xfId="1" applyFont="1" applyFill="1" applyBorder="1" applyAlignment="1">
      <alignment horizontal="right"/>
    </xf>
    <xf numFmtId="0" fontId="18" fillId="10" borderId="16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77" xfId="0" applyFont="1" applyFill="1" applyBorder="1"/>
    <xf numFmtId="43" fontId="20" fillId="0" borderId="70" xfId="1" applyFont="1" applyFill="1" applyBorder="1" applyAlignment="1">
      <alignment horizontal="right"/>
    </xf>
    <xf numFmtId="43" fontId="20" fillId="0" borderId="75" xfId="1" applyFont="1" applyFill="1" applyBorder="1" applyAlignment="1">
      <alignment horizontal="right"/>
    </xf>
    <xf numFmtId="43" fontId="20" fillId="0" borderId="78" xfId="1" applyFont="1" applyFill="1" applyBorder="1" applyAlignment="1">
      <alignment horizontal="right"/>
    </xf>
    <xf numFmtId="43" fontId="20" fillId="0" borderId="74" xfId="1" applyFont="1" applyFill="1" applyBorder="1" applyAlignment="1">
      <alignment horizontal="right"/>
    </xf>
    <xf numFmtId="43" fontId="20" fillId="0" borderId="77" xfId="1" applyFont="1" applyFill="1" applyBorder="1" applyAlignment="1">
      <alignment horizontal="right"/>
    </xf>
    <xf numFmtId="43" fontId="20" fillId="0" borderId="129" xfId="1" applyFont="1" applyFill="1" applyBorder="1" applyAlignment="1">
      <alignment horizontal="right"/>
    </xf>
    <xf numFmtId="43" fontId="26" fillId="0" borderId="77" xfId="1" applyFont="1" applyFill="1" applyBorder="1" applyAlignment="1">
      <alignment horizontal="right"/>
    </xf>
    <xf numFmtId="0" fontId="5" fillId="0" borderId="68" xfId="0" applyFont="1" applyFill="1" applyBorder="1" applyAlignment="1">
      <alignment horizontal="center"/>
    </xf>
    <xf numFmtId="43" fontId="25" fillId="4" borderId="75" xfId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right"/>
    </xf>
    <xf numFmtId="43" fontId="22" fillId="4" borderId="50" xfId="1" applyFont="1" applyFill="1" applyBorder="1" applyAlignment="1">
      <alignment horizontal="right"/>
    </xf>
    <xf numFmtId="0" fontId="22" fillId="0" borderId="14" xfId="0" applyFont="1" applyFill="1" applyBorder="1" applyAlignment="1">
      <alignment horizontal="right"/>
    </xf>
    <xf numFmtId="43" fontId="22" fillId="4" borderId="9" xfId="1" applyFont="1" applyFill="1" applyBorder="1" applyAlignment="1">
      <alignment horizontal="right"/>
    </xf>
    <xf numFmtId="43" fontId="25" fillId="4" borderId="2" xfId="1" applyFont="1" applyFill="1" applyBorder="1" applyAlignment="1">
      <alignment horizontal="right"/>
    </xf>
    <xf numFmtId="43" fontId="25" fillId="4" borderId="7" xfId="1" applyFont="1" applyFill="1" applyBorder="1" applyAlignment="1">
      <alignment horizontal="right"/>
    </xf>
    <xf numFmtId="4" fontId="22" fillId="0" borderId="1" xfId="0" applyNumberFormat="1" applyFont="1" applyFill="1" applyBorder="1" applyAlignment="1">
      <alignment horizontal="right"/>
    </xf>
    <xf numFmtId="43" fontId="22" fillId="0" borderId="24" xfId="0" applyNumberFormat="1" applyFont="1" applyFill="1" applyBorder="1" applyAlignment="1">
      <alignment horizontal="right"/>
    </xf>
    <xf numFmtId="43" fontId="22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right"/>
    </xf>
    <xf numFmtId="43" fontId="25" fillId="0" borderId="75" xfId="1" applyFont="1" applyFill="1" applyBorder="1" applyAlignment="1">
      <alignment horizontal="center" vertical="center" wrapText="1"/>
    </xf>
    <xf numFmtId="43" fontId="25" fillId="4" borderId="78" xfId="1" applyFont="1" applyFill="1" applyBorder="1" applyAlignment="1">
      <alignment horizontal="center" vertical="center" wrapText="1"/>
    </xf>
    <xf numFmtId="43" fontId="22" fillId="0" borderId="25" xfId="0" applyNumberFormat="1" applyFont="1" applyFill="1" applyBorder="1" applyAlignment="1">
      <alignment horizontal="right"/>
    </xf>
    <xf numFmtId="43" fontId="25" fillId="0" borderId="78" xfId="1" applyFont="1" applyFill="1" applyBorder="1" applyAlignment="1">
      <alignment horizontal="center" vertical="center" wrapText="1"/>
    </xf>
    <xf numFmtId="0" fontId="3" fillId="0" borderId="0" xfId="0" applyFont="1" applyFill="1" applyAlignment="1"/>
    <xf numFmtId="43" fontId="25" fillId="4" borderId="35" xfId="1" applyFont="1" applyFill="1" applyBorder="1" applyAlignment="1">
      <alignment horizontal="center" vertical="center" wrapText="1"/>
    </xf>
    <xf numFmtId="43" fontId="22" fillId="4" borderId="4" xfId="1" applyFont="1" applyFill="1" applyBorder="1" applyAlignment="1">
      <alignment horizontal="right"/>
    </xf>
    <xf numFmtId="43" fontId="22" fillId="4" borderId="51" xfId="1" applyFont="1" applyFill="1" applyBorder="1" applyAlignment="1">
      <alignment horizontal="right"/>
    </xf>
    <xf numFmtId="43" fontId="25" fillId="4" borderId="3" xfId="1" applyFont="1" applyFill="1" applyBorder="1" applyAlignment="1">
      <alignment horizontal="right"/>
    </xf>
    <xf numFmtId="43" fontId="25" fillId="4" borderId="41" xfId="1" applyFont="1" applyFill="1" applyBorder="1" applyAlignment="1">
      <alignment horizontal="right"/>
    </xf>
    <xf numFmtId="4" fontId="22" fillId="0" borderId="5" xfId="0" applyNumberFormat="1" applyFont="1" applyFill="1" applyBorder="1" applyAlignment="1">
      <alignment horizontal="right"/>
    </xf>
    <xf numFmtId="43" fontId="22" fillId="0" borderId="42" xfId="0" applyNumberFormat="1" applyFont="1" applyFill="1" applyBorder="1" applyAlignment="1">
      <alignment horizontal="right"/>
    </xf>
    <xf numFmtId="43" fontId="25" fillId="0" borderId="48" xfId="1" applyFont="1" applyFill="1" applyBorder="1" applyAlignment="1">
      <alignment horizontal="center" vertical="center" wrapText="1"/>
    </xf>
    <xf numFmtId="43" fontId="25" fillId="6" borderId="25" xfId="1" applyFont="1" applyFill="1" applyBorder="1" applyAlignment="1">
      <alignment horizontal="center" vertical="center" wrapText="1"/>
    </xf>
    <xf numFmtId="43" fontId="22" fillId="6" borderId="50" xfId="1" applyFont="1" applyFill="1" applyBorder="1" applyAlignment="1">
      <alignment horizontal="right"/>
    </xf>
    <xf numFmtId="43" fontId="22" fillId="6" borderId="9" xfId="1" applyFont="1" applyFill="1" applyBorder="1" applyAlignment="1">
      <alignment horizontal="right"/>
    </xf>
    <xf numFmtId="43" fontId="22" fillId="6" borderId="117" xfId="1" applyFont="1" applyFill="1" applyBorder="1" applyAlignment="1">
      <alignment horizontal="right"/>
    </xf>
    <xf numFmtId="43" fontId="25" fillId="6" borderId="2" xfId="1" applyFont="1" applyFill="1" applyBorder="1" applyAlignment="1">
      <alignment horizontal="right"/>
    </xf>
    <xf numFmtId="43" fontId="25" fillId="6" borderId="7" xfId="1" applyFont="1" applyFill="1" applyBorder="1" applyAlignment="1">
      <alignment horizontal="right"/>
    </xf>
    <xf numFmtId="43" fontId="22" fillId="0" borderId="26" xfId="0" applyNumberFormat="1" applyFont="1" applyFill="1" applyBorder="1" applyAlignment="1">
      <alignment horizontal="right"/>
    </xf>
    <xf numFmtId="43" fontId="25" fillId="0" borderId="25" xfId="1" applyFont="1" applyFill="1" applyBorder="1" applyAlignment="1">
      <alignment horizontal="center" vertical="center" wrapText="1"/>
    </xf>
    <xf numFmtId="4" fontId="23" fillId="0" borderId="1" xfId="1" applyNumberFormat="1" applyFont="1" applyFill="1" applyBorder="1" applyAlignment="1">
      <alignment horizontal="right"/>
    </xf>
    <xf numFmtId="43" fontId="25" fillId="6" borderId="160" xfId="1" applyFont="1" applyFill="1" applyBorder="1" applyAlignment="1">
      <alignment horizontal="center" vertical="center" wrapText="1"/>
    </xf>
    <xf numFmtId="43" fontId="22" fillId="6" borderId="150" xfId="1" applyFont="1" applyFill="1" applyBorder="1" applyAlignment="1">
      <alignment horizontal="right"/>
    </xf>
    <xf numFmtId="0" fontId="22" fillId="0" borderId="143" xfId="0" applyFont="1" applyFill="1" applyBorder="1" applyAlignment="1">
      <alignment horizontal="right"/>
    </xf>
    <xf numFmtId="43" fontId="22" fillId="6" borderId="154" xfId="1" applyFont="1" applyFill="1" applyBorder="1" applyAlignment="1">
      <alignment horizontal="right"/>
    </xf>
    <xf numFmtId="43" fontId="22" fillId="6" borderId="164" xfId="1" applyFont="1" applyFill="1" applyBorder="1" applyAlignment="1">
      <alignment horizontal="right"/>
    </xf>
    <xf numFmtId="43" fontId="25" fillId="6" borderId="147" xfId="1" applyFont="1" applyFill="1" applyBorder="1" applyAlignment="1">
      <alignment horizontal="right"/>
    </xf>
    <xf numFmtId="43" fontId="25" fillId="6" borderId="149" xfId="1" applyFont="1" applyFill="1" applyBorder="1" applyAlignment="1">
      <alignment horizontal="right"/>
    </xf>
    <xf numFmtId="4" fontId="22" fillId="0" borderId="146" xfId="0" applyNumberFormat="1" applyFont="1" applyFill="1" applyBorder="1" applyAlignment="1">
      <alignment horizontal="right"/>
    </xf>
    <xf numFmtId="43" fontId="22" fillId="0" borderId="160" xfId="0" applyNumberFormat="1" applyFont="1" applyFill="1" applyBorder="1" applyAlignment="1">
      <alignment horizontal="right"/>
    </xf>
    <xf numFmtId="43" fontId="25" fillId="0" borderId="42" xfId="1" applyFont="1" applyFill="1" applyBorder="1" applyAlignment="1">
      <alignment horizontal="center" vertical="center" wrapText="1"/>
    </xf>
    <xf numFmtId="43" fontId="22" fillId="0" borderId="0" xfId="1" applyFont="1" applyFill="1" applyAlignment="1">
      <alignment horizontal="right"/>
    </xf>
    <xf numFmtId="43" fontId="25" fillId="12" borderId="75" xfId="1" applyFont="1" applyFill="1" applyBorder="1" applyAlignment="1">
      <alignment horizontal="center" vertical="center" wrapText="1"/>
    </xf>
    <xf numFmtId="43" fontId="22" fillId="12" borderId="50" xfId="1" applyFont="1" applyFill="1" applyBorder="1" applyAlignment="1">
      <alignment horizontal="right"/>
    </xf>
    <xf numFmtId="43" fontId="22" fillId="12" borderId="9" xfId="1" applyFont="1" applyFill="1" applyBorder="1" applyAlignment="1">
      <alignment horizontal="right"/>
    </xf>
    <xf numFmtId="43" fontId="22" fillId="12" borderId="21" xfId="1" applyFont="1" applyFill="1" applyBorder="1" applyAlignment="1">
      <alignment horizontal="right"/>
    </xf>
    <xf numFmtId="43" fontId="22" fillId="12" borderId="8" xfId="1" applyFont="1" applyFill="1" applyBorder="1" applyAlignment="1">
      <alignment horizontal="right"/>
    </xf>
    <xf numFmtId="43" fontId="22" fillId="12" borderId="89" xfId="1" applyFont="1" applyFill="1" applyBorder="1" applyAlignment="1">
      <alignment horizontal="right"/>
    </xf>
    <xf numFmtId="43" fontId="25" fillId="12" borderId="2" xfId="1" applyFont="1" applyFill="1" applyBorder="1" applyAlignment="1">
      <alignment horizontal="right"/>
    </xf>
    <xf numFmtId="43" fontId="25" fillId="12" borderId="7" xfId="1" applyFont="1" applyFill="1" applyBorder="1" applyAlignment="1">
      <alignment horizontal="right"/>
    </xf>
    <xf numFmtId="43" fontId="25" fillId="12" borderId="144" xfId="1" applyFont="1" applyFill="1" applyBorder="1" applyAlignment="1">
      <alignment horizontal="center" vertical="center" wrapText="1"/>
    </xf>
    <xf numFmtId="43" fontId="22" fillId="12" borderId="150" xfId="1" applyFont="1" applyFill="1" applyBorder="1" applyAlignment="1">
      <alignment horizontal="right"/>
    </xf>
    <xf numFmtId="43" fontId="22" fillId="12" borderId="154" xfId="1" applyFont="1" applyFill="1" applyBorder="1" applyAlignment="1">
      <alignment horizontal="right"/>
    </xf>
    <xf numFmtId="43" fontId="25" fillId="12" borderId="147" xfId="1" applyFont="1" applyFill="1" applyBorder="1" applyAlignment="1">
      <alignment horizontal="right"/>
    </xf>
    <xf numFmtId="43" fontId="25" fillId="12" borderId="149" xfId="1" applyFont="1" applyFill="1" applyBorder="1" applyAlignment="1">
      <alignment horizontal="right"/>
    </xf>
    <xf numFmtId="43" fontId="25" fillId="0" borderId="76" xfId="1" applyFont="1" applyFill="1" applyBorder="1" applyAlignment="1">
      <alignment horizontal="center" vertical="center" wrapText="1"/>
    </xf>
    <xf numFmtId="43" fontId="25" fillId="13" borderId="75" xfId="1" applyFont="1" applyFill="1" applyBorder="1" applyAlignment="1">
      <alignment horizontal="center" vertical="center" wrapText="1"/>
    </xf>
    <xf numFmtId="43" fontId="22" fillId="13" borderId="50" xfId="1" applyFont="1" applyFill="1" applyBorder="1" applyAlignment="1">
      <alignment horizontal="right"/>
    </xf>
    <xf numFmtId="43" fontId="22" fillId="13" borderId="9" xfId="1" applyFont="1" applyFill="1" applyBorder="1" applyAlignment="1">
      <alignment horizontal="right"/>
    </xf>
    <xf numFmtId="43" fontId="25" fillId="13" borderId="2" xfId="1" applyFont="1" applyFill="1" applyBorder="1" applyAlignment="1">
      <alignment horizontal="right"/>
    </xf>
    <xf numFmtId="43" fontId="25" fillId="13" borderId="7" xfId="1" applyFont="1" applyFill="1" applyBorder="1" applyAlignment="1">
      <alignment horizontal="right"/>
    </xf>
    <xf numFmtId="43" fontId="23" fillId="0" borderId="0" xfId="1" applyFont="1" applyFill="1" applyAlignment="1">
      <alignment horizontal="right"/>
    </xf>
    <xf numFmtId="43" fontId="38" fillId="13" borderId="144" xfId="1" applyFont="1" applyFill="1" applyBorder="1" applyAlignment="1">
      <alignment horizontal="center" vertical="center" wrapText="1"/>
    </xf>
    <xf numFmtId="0" fontId="23" fillId="0" borderId="143" xfId="0" applyFont="1" applyFill="1" applyBorder="1" applyAlignment="1">
      <alignment horizontal="right"/>
    </xf>
    <xf numFmtId="43" fontId="23" fillId="13" borderId="154" xfId="1" applyFont="1" applyFill="1" applyBorder="1" applyAlignment="1">
      <alignment horizontal="right"/>
    </xf>
    <xf numFmtId="43" fontId="38" fillId="13" borderId="147" xfId="1" applyFont="1" applyFill="1" applyBorder="1" applyAlignment="1">
      <alignment horizontal="right"/>
    </xf>
    <xf numFmtId="43" fontId="38" fillId="13" borderId="149" xfId="1" applyFont="1" applyFill="1" applyBorder="1" applyAlignment="1">
      <alignment horizontal="right"/>
    </xf>
    <xf numFmtId="4" fontId="23" fillId="0" borderId="146" xfId="0" applyNumberFormat="1" applyFont="1" applyFill="1" applyBorder="1" applyAlignment="1">
      <alignment horizontal="right"/>
    </xf>
    <xf numFmtId="43" fontId="23" fillId="0" borderId="16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right"/>
    </xf>
    <xf numFmtId="43" fontId="38" fillId="0" borderId="76" xfId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right"/>
    </xf>
    <xf numFmtId="43" fontId="38" fillId="5" borderId="74" xfId="1" applyFont="1" applyFill="1" applyBorder="1" applyAlignment="1">
      <alignment horizontal="center" vertical="center" wrapText="1"/>
    </xf>
    <xf numFmtId="43" fontId="38" fillId="5" borderId="75" xfId="1" applyFont="1" applyFill="1" applyBorder="1" applyAlignment="1">
      <alignment horizontal="center" vertical="center" wrapText="1"/>
    </xf>
    <xf numFmtId="43" fontId="38" fillId="5" borderId="144" xfId="1" applyFont="1" applyFill="1" applyBorder="1" applyAlignment="1">
      <alignment horizontal="center" vertical="center" wrapText="1"/>
    </xf>
    <xf numFmtId="43" fontId="22" fillId="5" borderId="21" xfId="1" applyFont="1" applyFill="1" applyBorder="1" applyAlignment="1">
      <alignment horizontal="right"/>
    </xf>
    <xf numFmtId="43" fontId="22" fillId="5" borderId="50" xfId="1" applyFont="1" applyFill="1" applyBorder="1" applyAlignment="1">
      <alignment horizontal="right"/>
    </xf>
    <xf numFmtId="0" fontId="22" fillId="0" borderId="13" xfId="0" applyFont="1" applyFill="1" applyBorder="1" applyAlignment="1">
      <alignment horizontal="right"/>
    </xf>
    <xf numFmtId="43" fontId="22" fillId="5" borderId="8" xfId="1" applyFont="1" applyFill="1" applyBorder="1" applyAlignment="1">
      <alignment horizontal="right"/>
    </xf>
    <xf numFmtId="43" fontId="22" fillId="5" borderId="9" xfId="1" applyFont="1" applyFill="1" applyBorder="1" applyAlignment="1">
      <alignment horizontal="right"/>
    </xf>
    <xf numFmtId="43" fontId="23" fillId="5" borderId="154" xfId="1" applyFont="1" applyFill="1" applyBorder="1" applyAlignment="1">
      <alignment horizontal="right"/>
    </xf>
    <xf numFmtId="43" fontId="25" fillId="5" borderId="19" xfId="1" applyFont="1" applyFill="1" applyBorder="1" applyAlignment="1">
      <alignment horizontal="right"/>
    </xf>
    <xf numFmtId="43" fontId="25" fillId="5" borderId="2" xfId="1" applyFont="1" applyFill="1" applyBorder="1" applyAlignment="1">
      <alignment horizontal="right"/>
    </xf>
    <xf numFmtId="43" fontId="38" fillId="5" borderId="147" xfId="1" applyFont="1" applyFill="1" applyBorder="1" applyAlignment="1">
      <alignment horizontal="right"/>
    </xf>
    <xf numFmtId="43" fontId="25" fillId="5" borderId="31" xfId="1" applyFont="1" applyFill="1" applyBorder="1" applyAlignment="1">
      <alignment horizontal="right"/>
    </xf>
    <xf numFmtId="43" fontId="25" fillId="5" borderId="7" xfId="1" applyFont="1" applyFill="1" applyBorder="1" applyAlignment="1">
      <alignment horizontal="right"/>
    </xf>
    <xf numFmtId="43" fontId="38" fillId="5" borderId="149" xfId="1" applyFont="1" applyFill="1" applyBorder="1" applyAlignment="1">
      <alignment horizontal="right"/>
    </xf>
    <xf numFmtId="4" fontId="22" fillId="0" borderId="11" xfId="0" applyNumberFormat="1" applyFont="1" applyFill="1" applyBorder="1" applyAlignment="1">
      <alignment horizontal="right"/>
    </xf>
    <xf numFmtId="43" fontId="38" fillId="0" borderId="74" xfId="1" applyFont="1" applyFill="1" applyBorder="1" applyAlignment="1">
      <alignment horizontal="center" vertical="center" wrapText="1"/>
    </xf>
    <xf numFmtId="43" fontId="38" fillId="0" borderId="75" xfId="1" applyFont="1" applyFill="1" applyBorder="1" applyAlignment="1">
      <alignment horizontal="center" vertical="center" wrapText="1"/>
    </xf>
    <xf numFmtId="43" fontId="38" fillId="0" borderId="77" xfId="1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right"/>
    </xf>
    <xf numFmtId="43" fontId="38" fillId="0" borderId="23" xfId="1" applyFont="1" applyFill="1" applyBorder="1" applyAlignment="1">
      <alignment horizontal="right"/>
    </xf>
    <xf numFmtId="43" fontId="38" fillId="0" borderId="22" xfId="1" applyFont="1" applyFill="1" applyBorder="1" applyAlignment="1">
      <alignment horizontal="right"/>
    </xf>
    <xf numFmtId="4" fontId="23" fillId="0" borderId="12" xfId="0" applyNumberFormat="1" applyFont="1" applyFill="1" applyBorder="1" applyAlignment="1">
      <alignment horizontal="right"/>
    </xf>
    <xf numFmtId="43" fontId="23" fillId="0" borderId="26" xfId="0" applyNumberFormat="1" applyFont="1" applyFill="1" applyBorder="1" applyAlignment="1">
      <alignment horizontal="right"/>
    </xf>
    <xf numFmtId="4" fontId="22" fillId="0" borderId="20" xfId="0" applyNumberFormat="1" applyFont="1" applyFill="1" applyBorder="1" applyAlignment="1">
      <alignment horizontal="right"/>
    </xf>
    <xf numFmtId="43" fontId="22" fillId="0" borderId="29" xfId="0" applyNumberFormat="1" applyFont="1" applyFill="1" applyBorder="1" applyAlignment="1">
      <alignment horizontal="right"/>
    </xf>
    <xf numFmtId="43" fontId="22" fillId="11" borderId="34" xfId="1" applyFont="1" applyFill="1" applyBorder="1" applyAlignment="1">
      <alignment horizontal="right"/>
    </xf>
    <xf numFmtId="43" fontId="22" fillId="11" borderId="20" xfId="1" applyFont="1" applyFill="1" applyBorder="1" applyAlignment="1">
      <alignment horizontal="right"/>
    </xf>
    <xf numFmtId="43" fontId="22" fillId="11" borderId="15" xfId="1" applyFont="1" applyFill="1" applyBorder="1" applyAlignment="1">
      <alignment horizontal="right"/>
    </xf>
    <xf numFmtId="43" fontId="22" fillId="11" borderId="87" xfId="1" applyFont="1" applyFill="1" applyBorder="1" applyAlignment="1">
      <alignment horizontal="right"/>
    </xf>
    <xf numFmtId="43" fontId="22" fillId="11" borderId="114" xfId="1" applyFont="1" applyFill="1" applyBorder="1" applyAlignment="1">
      <alignment horizontal="right"/>
    </xf>
    <xf numFmtId="43" fontId="23" fillId="11" borderId="18" xfId="1" applyFont="1" applyFill="1" applyBorder="1" applyAlignment="1">
      <alignment horizontal="right"/>
    </xf>
    <xf numFmtId="43" fontId="22" fillId="11" borderId="16" xfId="1" applyFont="1" applyFill="1" applyBorder="1" applyAlignment="1">
      <alignment horizontal="right"/>
    </xf>
    <xf numFmtId="0" fontId="22" fillId="11" borderId="15" xfId="0" applyFont="1" applyFill="1" applyBorder="1" applyAlignment="1">
      <alignment horizontal="right"/>
    </xf>
    <xf numFmtId="43" fontId="22" fillId="11" borderId="47" xfId="1" applyFont="1" applyFill="1" applyBorder="1" applyAlignment="1">
      <alignment horizontal="right"/>
    </xf>
    <xf numFmtId="43" fontId="22" fillId="11" borderId="53" xfId="1" applyFont="1" applyFill="1" applyBorder="1" applyAlignment="1">
      <alignment horizontal="right"/>
    </xf>
    <xf numFmtId="43" fontId="23" fillId="11" borderId="15" xfId="1" applyFont="1" applyFill="1" applyBorder="1" applyAlignment="1">
      <alignment horizontal="right"/>
    </xf>
    <xf numFmtId="43" fontId="22" fillId="11" borderId="45" xfId="1" applyFont="1" applyFill="1" applyBorder="1" applyAlignment="1">
      <alignment horizontal="right"/>
    </xf>
    <xf numFmtId="43" fontId="23" fillId="11" borderId="87" xfId="1" applyFont="1" applyFill="1" applyBorder="1" applyAlignment="1">
      <alignment horizontal="right"/>
    </xf>
    <xf numFmtId="43" fontId="22" fillId="11" borderId="96" xfId="1" applyFont="1" applyFill="1" applyBorder="1" applyAlignment="1">
      <alignment horizontal="right"/>
    </xf>
    <xf numFmtId="43" fontId="24" fillId="11" borderId="15" xfId="1" applyFont="1" applyFill="1" applyBorder="1" applyAlignment="1">
      <alignment horizontal="right"/>
    </xf>
    <xf numFmtId="43" fontId="25" fillId="11" borderId="15" xfId="1" applyFont="1" applyFill="1" applyBorder="1" applyAlignment="1">
      <alignment horizontal="right"/>
    </xf>
    <xf numFmtId="43" fontId="22" fillId="11" borderId="18" xfId="1" applyFont="1" applyFill="1" applyBorder="1" applyAlignment="1">
      <alignment horizontal="right"/>
    </xf>
    <xf numFmtId="43" fontId="23" fillId="11" borderId="110" xfId="1" applyFont="1" applyFill="1" applyBorder="1" applyAlignment="1">
      <alignment horizontal="right"/>
    </xf>
    <xf numFmtId="43" fontId="22" fillId="11" borderId="95" xfId="1" applyFont="1" applyFill="1" applyBorder="1" applyAlignment="1">
      <alignment horizontal="right"/>
    </xf>
    <xf numFmtId="43" fontId="22" fillId="11" borderId="48" xfId="1" applyFont="1" applyFill="1" applyBorder="1" applyAlignment="1">
      <alignment horizontal="right"/>
    </xf>
    <xf numFmtId="43" fontId="28" fillId="0" borderId="35" xfId="1" applyFont="1" applyFill="1" applyBorder="1" applyAlignment="1">
      <alignment vertical="center" wrapText="1"/>
    </xf>
    <xf numFmtId="43" fontId="28" fillId="0" borderId="14" xfId="1" applyFont="1" applyFill="1" applyBorder="1" applyAlignment="1">
      <alignment vertical="center" wrapText="1"/>
    </xf>
    <xf numFmtId="43" fontId="28" fillId="0" borderId="15" xfId="1" applyFont="1" applyFill="1" applyBorder="1" applyAlignment="1">
      <alignment vertical="center" wrapText="1"/>
    </xf>
    <xf numFmtId="164" fontId="2" fillId="4" borderId="61" xfId="1" applyNumberFormat="1" applyFont="1" applyFill="1" applyBorder="1"/>
    <xf numFmtId="164" fontId="2" fillId="4" borderId="53" xfId="1" applyNumberFormat="1" applyFont="1" applyFill="1" applyBorder="1"/>
    <xf numFmtId="164" fontId="2" fillId="4" borderId="59" xfId="1" applyNumberFormat="1" applyFont="1" applyFill="1" applyBorder="1"/>
    <xf numFmtId="43" fontId="3" fillId="4" borderId="63" xfId="1" applyFont="1" applyFill="1" applyBorder="1"/>
    <xf numFmtId="43" fontId="3" fillId="4" borderId="57" xfId="1" applyFont="1" applyFill="1" applyBorder="1"/>
    <xf numFmtId="164" fontId="3" fillId="4" borderId="16" xfId="1" applyNumberFormat="1" applyFont="1" applyFill="1" applyBorder="1"/>
    <xf numFmtId="164" fontId="2" fillId="4" borderId="69" xfId="1" applyNumberFormat="1" applyFont="1" applyFill="1" applyBorder="1"/>
    <xf numFmtId="164" fontId="2" fillId="4" borderId="16" xfId="1" applyNumberFormat="1" applyFont="1" applyFill="1" applyBorder="1"/>
    <xf numFmtId="43" fontId="3" fillId="4" borderId="58" xfId="1" applyFont="1" applyFill="1" applyBorder="1"/>
    <xf numFmtId="43" fontId="5" fillId="4" borderId="45" xfId="0" applyNumberFormat="1" applyFont="1" applyFill="1" applyBorder="1"/>
    <xf numFmtId="43" fontId="18" fillId="4" borderId="20" xfId="0" applyNumberFormat="1" applyFont="1" applyFill="1" applyBorder="1"/>
    <xf numFmtId="164" fontId="2" fillId="4" borderId="52" xfId="1" applyNumberFormat="1" applyFont="1" applyFill="1" applyBorder="1"/>
    <xf numFmtId="164" fontId="2" fillId="4" borderId="71" xfId="1" applyNumberFormat="1" applyFont="1" applyFill="1" applyBorder="1"/>
    <xf numFmtId="43" fontId="5" fillId="4" borderId="29" xfId="0" applyNumberFormat="1" applyFont="1" applyFill="1" applyBorder="1"/>
    <xf numFmtId="43" fontId="5" fillId="4" borderId="48" xfId="0" applyNumberFormat="1" applyFont="1" applyFill="1" applyBorder="1"/>
    <xf numFmtId="43" fontId="19" fillId="4" borderId="34" xfId="0" applyNumberFormat="1" applyFont="1" applyFill="1" applyBorder="1"/>
    <xf numFmtId="43" fontId="3" fillId="4" borderId="15" xfId="1" applyFont="1" applyFill="1" applyBorder="1"/>
    <xf numFmtId="43" fontId="39" fillId="9" borderId="125" xfId="1" applyFont="1" applyFill="1" applyBorder="1" applyAlignment="1">
      <alignment horizontal="center" vertical="center" wrapText="1"/>
    </xf>
    <xf numFmtId="43" fontId="39" fillId="9" borderId="122" xfId="1" applyFont="1" applyFill="1" applyBorder="1" applyAlignment="1">
      <alignment horizontal="center" vertical="center" wrapText="1"/>
    </xf>
    <xf numFmtId="43" fontId="39" fillId="9" borderId="124" xfId="1" applyFont="1" applyFill="1" applyBorder="1" applyAlignment="1">
      <alignment horizontal="center" vertical="center"/>
    </xf>
    <xf numFmtId="43" fontId="7" fillId="9" borderId="124" xfId="1" applyFont="1" applyFill="1" applyBorder="1" applyAlignment="1">
      <alignment horizontal="center" vertical="center"/>
    </xf>
    <xf numFmtId="43" fontId="5" fillId="9" borderId="61" xfId="0" applyNumberFormat="1" applyFont="1" applyFill="1" applyBorder="1"/>
    <xf numFmtId="43" fontId="5" fillId="9" borderId="62" xfId="0" applyNumberFormat="1" applyFont="1" applyFill="1" applyBorder="1"/>
    <xf numFmtId="164" fontId="2" fillId="9" borderId="61" xfId="1" applyNumberFormat="1" applyFont="1" applyFill="1" applyBorder="1"/>
    <xf numFmtId="0" fontId="5" fillId="9" borderId="61" xfId="0" applyFont="1" applyFill="1" applyBorder="1"/>
    <xf numFmtId="0" fontId="5" fillId="9" borderId="62" xfId="0" applyFont="1" applyFill="1" applyBorder="1"/>
    <xf numFmtId="43" fontId="5" fillId="9" borderId="53" xfId="0" applyNumberFormat="1" applyFont="1" applyFill="1" applyBorder="1"/>
    <xf numFmtId="164" fontId="2" fillId="9" borderId="53" xfId="1" applyNumberFormat="1" applyFont="1" applyFill="1" applyBorder="1"/>
    <xf numFmtId="0" fontId="5" fillId="9" borderId="53" xfId="0" applyFont="1" applyFill="1" applyBorder="1"/>
    <xf numFmtId="0" fontId="5" fillId="9" borderId="6" xfId="0" applyFont="1" applyFill="1" applyBorder="1"/>
    <xf numFmtId="164" fontId="2" fillId="9" borderId="59" xfId="1" applyNumberFormat="1" applyFont="1" applyFill="1" applyBorder="1"/>
    <xf numFmtId="0" fontId="5" fillId="9" borderId="59" xfId="0" applyFont="1" applyFill="1" applyBorder="1"/>
    <xf numFmtId="0" fontId="5" fillId="9" borderId="60" xfId="0" applyFont="1" applyFill="1" applyBorder="1"/>
    <xf numFmtId="43" fontId="3" fillId="9" borderId="57" xfId="1" applyFont="1" applyFill="1" applyBorder="1"/>
    <xf numFmtId="164" fontId="3" fillId="9" borderId="16" xfId="1" applyNumberFormat="1" applyFont="1" applyFill="1" applyBorder="1"/>
    <xf numFmtId="43" fontId="3" fillId="9" borderId="56" xfId="1" applyFont="1" applyFill="1" applyBorder="1"/>
    <xf numFmtId="43" fontId="18" fillId="9" borderId="62" xfId="0" applyNumberFormat="1" applyFont="1" applyFill="1" applyBorder="1"/>
    <xf numFmtId="0" fontId="18" fillId="9" borderId="61" xfId="0" applyFont="1" applyFill="1" applyBorder="1"/>
    <xf numFmtId="0" fontId="18" fillId="9" borderId="62" xfId="0" applyFont="1" applyFill="1" applyBorder="1"/>
    <xf numFmtId="164" fontId="2" fillId="9" borderId="69" xfId="1" applyNumberFormat="1" applyFont="1" applyFill="1" applyBorder="1"/>
    <xf numFmtId="43" fontId="5" fillId="9" borderId="6" xfId="0" applyNumberFormat="1" applyFont="1" applyFill="1" applyBorder="1"/>
    <xf numFmtId="164" fontId="2" fillId="9" borderId="16" xfId="1" applyNumberFormat="1" applyFont="1" applyFill="1" applyBorder="1"/>
    <xf numFmtId="0" fontId="18" fillId="9" borderId="53" xfId="0" applyFont="1" applyFill="1" applyBorder="1"/>
    <xf numFmtId="0" fontId="18" fillId="9" borderId="6" xfId="0" applyFont="1" applyFill="1" applyBorder="1"/>
    <xf numFmtId="43" fontId="18" fillId="9" borderId="6" xfId="0" applyNumberFormat="1" applyFont="1" applyFill="1" applyBorder="1"/>
    <xf numFmtId="164" fontId="2" fillId="9" borderId="52" xfId="1" applyNumberFormat="1" applyFont="1" applyFill="1" applyBorder="1"/>
    <xf numFmtId="164" fontId="2" fillId="9" borderId="71" xfId="1" applyNumberFormat="1" applyFont="1" applyFill="1" applyBorder="1"/>
    <xf numFmtId="43" fontId="18" fillId="9" borderId="53" xfId="0" applyNumberFormat="1" applyFont="1" applyFill="1" applyBorder="1"/>
    <xf numFmtId="43" fontId="5" fillId="9" borderId="65" xfId="0" applyNumberFormat="1" applyFont="1" applyFill="1" applyBorder="1"/>
    <xf numFmtId="0" fontId="5" fillId="9" borderId="71" xfId="0" applyFont="1" applyFill="1" applyBorder="1"/>
    <xf numFmtId="0" fontId="5" fillId="9" borderId="65" xfId="0" applyFont="1" applyFill="1" applyBorder="1"/>
    <xf numFmtId="43" fontId="5" fillId="9" borderId="68" xfId="0" applyNumberFormat="1" applyFont="1" applyFill="1" applyBorder="1"/>
    <xf numFmtId="43" fontId="19" fillId="9" borderId="27" xfId="0" applyNumberFormat="1" applyFont="1" applyFill="1" applyBorder="1"/>
    <xf numFmtId="0" fontId="19" fillId="9" borderId="52" xfId="0" applyFont="1" applyFill="1" applyBorder="1"/>
    <xf numFmtId="0" fontId="19" fillId="9" borderId="27" xfId="0" applyFont="1" applyFill="1" applyBorder="1"/>
    <xf numFmtId="43" fontId="5" fillId="9" borderId="52" xfId="0" applyNumberFormat="1" applyFont="1" applyFill="1" applyBorder="1"/>
    <xf numFmtId="43" fontId="19" fillId="9" borderId="62" xfId="0" applyNumberFormat="1" applyFont="1" applyFill="1" applyBorder="1"/>
    <xf numFmtId="0" fontId="19" fillId="9" borderId="61" xfId="0" applyFont="1" applyFill="1" applyBorder="1"/>
    <xf numFmtId="0" fontId="19" fillId="9" borderId="62" xfId="0" applyFont="1" applyFill="1" applyBorder="1"/>
    <xf numFmtId="0" fontId="5" fillId="6" borderId="6" xfId="0" applyFont="1" applyFill="1" applyBorder="1"/>
    <xf numFmtId="43" fontId="39" fillId="7" borderId="122" xfId="1" applyFont="1" applyFill="1" applyBorder="1" applyAlignment="1">
      <alignment horizontal="center" vertical="center" wrapText="1"/>
    </xf>
    <xf numFmtId="43" fontId="39" fillId="7" borderId="124" xfId="1" applyFont="1" applyFill="1" applyBorder="1" applyAlignment="1">
      <alignment horizontal="center" vertical="center"/>
    </xf>
    <xf numFmtId="43" fontId="5" fillId="7" borderId="62" xfId="0" applyNumberFormat="1" applyFont="1" applyFill="1" applyBorder="1"/>
    <xf numFmtId="43" fontId="5" fillId="7" borderId="61" xfId="0" applyNumberFormat="1" applyFont="1" applyFill="1" applyBorder="1" applyAlignment="1">
      <alignment vertical="center"/>
    </xf>
    <xf numFmtId="164" fontId="2" fillId="7" borderId="61" xfId="1" applyNumberFormat="1" applyFont="1" applyFill="1" applyBorder="1"/>
    <xf numFmtId="43" fontId="5" fillId="7" borderId="61" xfId="0" applyNumberFormat="1" applyFont="1" applyFill="1" applyBorder="1"/>
    <xf numFmtId="0" fontId="5" fillId="7" borderId="61" xfId="0" applyFont="1" applyFill="1" applyBorder="1"/>
    <xf numFmtId="0" fontId="5" fillId="7" borderId="34" xfId="0" applyFont="1" applyFill="1" applyBorder="1"/>
    <xf numFmtId="43" fontId="5" fillId="7" borderId="53" xfId="0" applyNumberFormat="1" applyFont="1" applyFill="1" applyBorder="1" applyAlignment="1">
      <alignment vertical="center"/>
    </xf>
    <xf numFmtId="164" fontId="2" fillId="7" borderId="53" xfId="1" applyNumberFormat="1" applyFont="1" applyFill="1" applyBorder="1"/>
    <xf numFmtId="43" fontId="5" fillId="7" borderId="53" xfId="0" applyNumberFormat="1" applyFont="1" applyFill="1" applyBorder="1"/>
    <xf numFmtId="0" fontId="5" fillId="7" borderId="53" xfId="0" applyFont="1" applyFill="1" applyBorder="1"/>
    <xf numFmtId="0" fontId="5" fillId="7" borderId="20" xfId="0" applyFont="1" applyFill="1" applyBorder="1"/>
    <xf numFmtId="164" fontId="2" fillId="7" borderId="59" xfId="1" applyNumberFormat="1" applyFont="1" applyFill="1" applyBorder="1"/>
    <xf numFmtId="0" fontId="5" fillId="7" borderId="59" xfId="0" applyFont="1" applyFill="1" applyBorder="1"/>
    <xf numFmtId="0" fontId="5" fillId="7" borderId="28" xfId="0" applyFont="1" applyFill="1" applyBorder="1"/>
    <xf numFmtId="43" fontId="3" fillId="7" borderId="55" xfId="1" applyFont="1" applyFill="1" applyBorder="1"/>
    <xf numFmtId="43" fontId="3" fillId="7" borderId="57" xfId="1" applyFont="1" applyFill="1" applyBorder="1"/>
    <xf numFmtId="164" fontId="3" fillId="7" borderId="16" xfId="1" applyNumberFormat="1" applyFont="1" applyFill="1" applyBorder="1"/>
    <xf numFmtId="43" fontId="3" fillId="7" borderId="58" xfId="1" applyFont="1" applyFill="1" applyBorder="1"/>
    <xf numFmtId="43" fontId="18" fillId="7" borderId="62" xfId="0" applyNumberFormat="1" applyFont="1" applyFill="1" applyBorder="1"/>
    <xf numFmtId="0" fontId="18" fillId="7" borderId="62" xfId="0" applyFont="1" applyFill="1" applyBorder="1"/>
    <xf numFmtId="0" fontId="18" fillId="7" borderId="61" xfId="0" applyFont="1" applyFill="1" applyBorder="1"/>
    <xf numFmtId="0" fontId="18" fillId="7" borderId="34" xfId="0" applyFont="1" applyFill="1" applyBorder="1"/>
    <xf numFmtId="0" fontId="5" fillId="7" borderId="6" xfId="0" applyFont="1" applyFill="1" applyBorder="1"/>
    <xf numFmtId="164" fontId="2" fillId="7" borderId="69" xfId="1" applyNumberFormat="1" applyFont="1" applyFill="1" applyBorder="1"/>
    <xf numFmtId="43" fontId="5" fillId="7" borderId="6" xfId="0" applyNumberFormat="1" applyFont="1" applyFill="1" applyBorder="1"/>
    <xf numFmtId="164" fontId="2" fillId="7" borderId="16" xfId="1" applyNumberFormat="1" applyFont="1" applyFill="1" applyBorder="1"/>
    <xf numFmtId="43" fontId="19" fillId="7" borderId="53" xfId="0" applyNumberFormat="1" applyFont="1" applyFill="1" applyBorder="1"/>
    <xf numFmtId="43" fontId="5" fillId="7" borderId="52" xfId="0" applyNumberFormat="1" applyFont="1" applyFill="1" applyBorder="1"/>
    <xf numFmtId="0" fontId="5" fillId="7" borderId="62" xfId="0" applyFont="1" applyFill="1" applyBorder="1"/>
    <xf numFmtId="43" fontId="5" fillId="7" borderId="16" xfId="0" applyNumberFormat="1" applyFont="1" applyFill="1" applyBorder="1"/>
    <xf numFmtId="43" fontId="9" fillId="7" borderId="57" xfId="1" applyFont="1" applyFill="1" applyBorder="1"/>
    <xf numFmtId="43" fontId="9" fillId="7" borderId="58" xfId="1" applyFont="1" applyFill="1" applyBorder="1"/>
    <xf numFmtId="0" fontId="18" fillId="7" borderId="53" xfId="0" applyFont="1" applyFill="1" applyBorder="1"/>
    <xf numFmtId="0" fontId="18" fillId="7" borderId="6" xfId="0" applyFont="1" applyFill="1" applyBorder="1"/>
    <xf numFmtId="0" fontId="18" fillId="7" borderId="20" xfId="0" applyFont="1" applyFill="1" applyBorder="1"/>
    <xf numFmtId="43" fontId="18" fillId="7" borderId="6" xfId="0" applyNumberFormat="1" applyFont="1" applyFill="1" applyBorder="1"/>
    <xf numFmtId="43" fontId="18" fillId="7" borderId="53" xfId="0" applyNumberFormat="1" applyFont="1" applyFill="1" applyBorder="1"/>
    <xf numFmtId="164" fontId="2" fillId="7" borderId="52" xfId="1" applyNumberFormat="1" applyFont="1" applyFill="1" applyBorder="1"/>
    <xf numFmtId="164" fontId="2" fillId="7" borderId="71" xfId="1" applyNumberFormat="1" applyFont="1" applyFill="1" applyBorder="1"/>
    <xf numFmtId="0" fontId="5" fillId="7" borderId="71" xfId="0" applyFont="1" applyFill="1" applyBorder="1"/>
    <xf numFmtId="43" fontId="5" fillId="7" borderId="65" xfId="0" applyNumberFormat="1" applyFont="1" applyFill="1" applyBorder="1"/>
    <xf numFmtId="0" fontId="5" fillId="7" borderId="29" xfId="0" applyFont="1" applyFill="1" applyBorder="1"/>
    <xf numFmtId="0" fontId="19" fillId="7" borderId="52" xfId="0" applyFont="1" applyFill="1" applyBorder="1"/>
    <xf numFmtId="43" fontId="19" fillId="7" borderId="27" xfId="0" applyNumberFormat="1" applyFont="1" applyFill="1" applyBorder="1"/>
    <xf numFmtId="0" fontId="19" fillId="7" borderId="27" xfId="0" applyFont="1" applyFill="1" applyBorder="1"/>
    <xf numFmtId="0" fontId="19" fillId="7" borderId="45" xfId="0" applyFont="1" applyFill="1" applyBorder="1"/>
    <xf numFmtId="0" fontId="19" fillId="7" borderId="61" xfId="0" applyFont="1" applyFill="1" applyBorder="1"/>
    <xf numFmtId="43" fontId="19" fillId="7" borderId="62" xfId="0" applyNumberFormat="1" applyFont="1" applyFill="1" applyBorder="1"/>
    <xf numFmtId="0" fontId="19" fillId="7" borderId="62" xfId="0" applyFont="1" applyFill="1" applyBorder="1"/>
    <xf numFmtId="0" fontId="19" fillId="7" borderId="34" xfId="0" applyFont="1" applyFill="1" applyBorder="1"/>
    <xf numFmtId="43" fontId="19" fillId="7" borderId="17" xfId="0" applyNumberFormat="1" applyFont="1" applyFill="1" applyBorder="1"/>
    <xf numFmtId="43" fontId="5" fillId="13" borderId="34" xfId="0" applyNumberFormat="1" applyFont="1" applyFill="1" applyBorder="1"/>
    <xf numFmtId="0" fontId="5" fillId="13" borderId="34" xfId="0" applyFont="1" applyFill="1" applyBorder="1"/>
    <xf numFmtId="0" fontId="5" fillId="13" borderId="20" xfId="0" applyFont="1" applyFill="1" applyBorder="1"/>
    <xf numFmtId="43" fontId="3" fillId="13" borderId="58" xfId="1" applyFont="1" applyFill="1" applyBorder="1"/>
    <xf numFmtId="0" fontId="18" fillId="13" borderId="20" xfId="0" applyFont="1" applyFill="1" applyBorder="1"/>
    <xf numFmtId="0" fontId="5" fillId="13" borderId="29" xfId="0" applyFont="1" applyFill="1" applyBorder="1"/>
    <xf numFmtId="0" fontId="19" fillId="13" borderId="45" xfId="0" applyFont="1" applyFill="1" applyBorder="1"/>
    <xf numFmtId="0" fontId="19" fillId="13" borderId="34" xfId="0" applyFont="1" applyFill="1" applyBorder="1"/>
    <xf numFmtId="0" fontId="5" fillId="0" borderId="28" xfId="0" applyFont="1" applyFill="1" applyBorder="1"/>
    <xf numFmtId="0" fontId="18" fillId="0" borderId="34" xfId="0" applyFont="1" applyFill="1" applyBorder="1"/>
    <xf numFmtId="43" fontId="7" fillId="9" borderId="121" xfId="1" applyFont="1" applyFill="1" applyBorder="1" applyAlignment="1">
      <alignment vertical="center" wrapText="1"/>
    </xf>
    <xf numFmtId="43" fontId="7" fillId="9" borderId="103" xfId="1" applyFont="1" applyFill="1" applyBorder="1" applyAlignment="1">
      <alignment vertical="center"/>
    </xf>
    <xf numFmtId="43" fontId="7" fillId="9" borderId="103" xfId="1" applyFont="1" applyFill="1" applyBorder="1" applyAlignment="1">
      <alignment vertical="center" wrapText="1"/>
    </xf>
    <xf numFmtId="43" fontId="7" fillId="9" borderId="123" xfId="1" applyFont="1" applyFill="1" applyBorder="1" applyAlignment="1">
      <alignment vertical="center" wrapText="1"/>
    </xf>
    <xf numFmtId="43" fontId="7" fillId="9" borderId="115" xfId="1" applyFont="1" applyFill="1" applyBorder="1" applyAlignment="1">
      <alignment vertical="center"/>
    </xf>
    <xf numFmtId="43" fontId="7" fillId="9" borderId="115" xfId="1" applyFont="1" applyFill="1" applyBorder="1" applyAlignment="1">
      <alignment vertical="center" wrapText="1"/>
    </xf>
    <xf numFmtId="43" fontId="3" fillId="4" borderId="56" xfId="1" applyFont="1" applyFill="1" applyBorder="1"/>
    <xf numFmtId="43" fontId="39" fillId="9" borderId="94" xfId="1" applyFont="1" applyFill="1" applyBorder="1" applyAlignment="1">
      <alignment horizontal="center" vertical="center" wrapText="1"/>
    </xf>
    <xf numFmtId="43" fontId="39" fillId="9" borderId="169" xfId="1" applyFont="1" applyFill="1" applyBorder="1" applyAlignment="1">
      <alignment horizontal="center" vertical="center"/>
    </xf>
    <xf numFmtId="43" fontId="3" fillId="9" borderId="55" xfId="1" applyFont="1" applyFill="1" applyBorder="1"/>
    <xf numFmtId="43" fontId="5" fillId="9" borderId="32" xfId="0" applyNumberFormat="1" applyFont="1" applyFill="1" applyBorder="1"/>
    <xf numFmtId="43" fontId="18" fillId="9" borderId="32" xfId="0" applyNumberFormat="1" applyFont="1" applyFill="1" applyBorder="1"/>
    <xf numFmtId="43" fontId="5" fillId="9" borderId="72" xfId="0" applyNumberFormat="1" applyFont="1" applyFill="1" applyBorder="1"/>
    <xf numFmtId="43" fontId="5" fillId="9" borderId="39" xfId="0" applyNumberFormat="1" applyFont="1" applyFill="1" applyBorder="1"/>
    <xf numFmtId="43" fontId="19" fillId="9" borderId="30" xfId="0" applyNumberFormat="1" applyFont="1" applyFill="1" applyBorder="1"/>
    <xf numFmtId="43" fontId="19" fillId="9" borderId="39" xfId="0" applyNumberFormat="1" applyFont="1" applyFill="1" applyBorder="1"/>
    <xf numFmtId="43" fontId="5" fillId="7" borderId="39" xfId="0" applyNumberFormat="1" applyFont="1" applyFill="1" applyBorder="1"/>
    <xf numFmtId="43" fontId="18" fillId="7" borderId="39" xfId="0" applyNumberFormat="1" applyFont="1" applyFill="1" applyBorder="1"/>
    <xf numFmtId="43" fontId="5" fillId="7" borderId="32" xfId="0" applyNumberFormat="1" applyFont="1" applyFill="1" applyBorder="1"/>
    <xf numFmtId="43" fontId="18" fillId="7" borderId="32" xfId="0" applyNumberFormat="1" applyFont="1" applyFill="1" applyBorder="1"/>
    <xf numFmtId="0" fontId="5" fillId="7" borderId="32" xfId="0" applyFont="1" applyFill="1" applyBorder="1"/>
    <xf numFmtId="43" fontId="9" fillId="0" borderId="15" xfId="1" applyFont="1" applyFill="1" applyBorder="1"/>
    <xf numFmtId="43" fontId="13" fillId="0" borderId="15" xfId="1" applyFont="1" applyFill="1" applyBorder="1" applyAlignment="1">
      <alignment horizontal="center"/>
    </xf>
    <xf numFmtId="43" fontId="12" fillId="0" borderId="15" xfId="1" applyFont="1" applyFill="1" applyBorder="1" applyAlignment="1">
      <alignment horizontal="center"/>
    </xf>
    <xf numFmtId="43" fontId="5" fillId="13" borderId="61" xfId="0" applyNumberFormat="1" applyFont="1" applyFill="1" applyBorder="1"/>
    <xf numFmtId="43" fontId="3" fillId="13" borderId="16" xfId="1" applyFont="1" applyFill="1" applyBorder="1"/>
    <xf numFmtId="0" fontId="5" fillId="13" borderId="53" xfId="0" applyFont="1" applyFill="1" applyBorder="1"/>
    <xf numFmtId="43" fontId="5" fillId="13" borderId="53" xfId="0" applyNumberFormat="1" applyFont="1" applyFill="1" applyBorder="1"/>
    <xf numFmtId="0" fontId="18" fillId="13" borderId="53" xfId="0" applyFont="1" applyFill="1" applyBorder="1"/>
    <xf numFmtId="43" fontId="18" fillId="13" borderId="53" xfId="0" applyNumberFormat="1" applyFont="1" applyFill="1" applyBorder="1"/>
    <xf numFmtId="0" fontId="5" fillId="13" borderId="71" xfId="0" applyFont="1" applyFill="1" applyBorder="1"/>
    <xf numFmtId="0" fontId="5" fillId="13" borderId="61" xfId="0" applyFont="1" applyFill="1" applyBorder="1"/>
    <xf numFmtId="0" fontId="19" fillId="13" borderId="52" xfId="0" applyFont="1" applyFill="1" applyBorder="1"/>
    <xf numFmtId="0" fontId="19" fillId="13" borderId="61" xfId="0" applyFont="1" applyFill="1" applyBorder="1"/>
    <xf numFmtId="0" fontId="5" fillId="13" borderId="62" xfId="0" applyFont="1" applyFill="1" applyBorder="1"/>
    <xf numFmtId="0" fontId="5" fillId="13" borderId="6" xfId="0" applyFont="1" applyFill="1" applyBorder="1"/>
    <xf numFmtId="0" fontId="5" fillId="13" borderId="60" xfId="0" applyFont="1" applyFill="1" applyBorder="1"/>
    <xf numFmtId="43" fontId="3" fillId="13" borderId="56" xfId="1" applyFont="1" applyFill="1" applyBorder="1"/>
    <xf numFmtId="0" fontId="18" fillId="13" borderId="62" xfId="0" applyFont="1" applyFill="1" applyBorder="1"/>
    <xf numFmtId="43" fontId="5" fillId="13" borderId="6" xfId="0" applyNumberFormat="1" applyFont="1" applyFill="1" applyBorder="1"/>
    <xf numFmtId="43" fontId="5" fillId="13" borderId="62" xfId="0" applyNumberFormat="1" applyFont="1" applyFill="1" applyBorder="1"/>
    <xf numFmtId="0" fontId="18" fillId="13" borderId="6" xfId="0" applyFont="1" applyFill="1" applyBorder="1"/>
    <xf numFmtId="43" fontId="18" fillId="13" borderId="6" xfId="0" applyNumberFormat="1" applyFont="1" applyFill="1" applyBorder="1"/>
    <xf numFmtId="0" fontId="5" fillId="13" borderId="65" xfId="0" applyFont="1" applyFill="1" applyBorder="1"/>
    <xf numFmtId="0" fontId="19" fillId="13" borderId="27" xfId="0" applyFont="1" applyFill="1" applyBorder="1"/>
    <xf numFmtId="0" fontId="19" fillId="13" borderId="62" xfId="0" applyFont="1" applyFill="1" applyBorder="1"/>
    <xf numFmtId="43" fontId="3" fillId="0" borderId="15" xfId="1" applyFont="1" applyBorder="1"/>
    <xf numFmtId="43" fontId="3" fillId="3" borderId="15" xfId="1" applyFont="1" applyFill="1" applyBorder="1"/>
    <xf numFmtId="43" fontId="28" fillId="0" borderId="13" xfId="1" applyFont="1" applyFill="1" applyBorder="1" applyAlignment="1">
      <alignment vertical="center" wrapText="1"/>
    </xf>
    <xf numFmtId="43" fontId="9" fillId="0" borderId="16" xfId="1" applyFont="1" applyFill="1" applyBorder="1"/>
    <xf numFmtId="43" fontId="13" fillId="0" borderId="16" xfId="1" applyFont="1" applyFill="1" applyBorder="1" applyAlignment="1">
      <alignment horizontal="center"/>
    </xf>
    <xf numFmtId="43" fontId="12" fillId="0" borderId="16" xfId="1" applyFont="1" applyFill="1" applyBorder="1" applyAlignment="1">
      <alignment horizontal="center"/>
    </xf>
    <xf numFmtId="0" fontId="5" fillId="0" borderId="66" xfId="0" applyFont="1" applyFill="1" applyBorder="1"/>
    <xf numFmtId="43" fontId="28" fillId="0" borderId="70" xfId="1" applyFont="1" applyFill="1" applyBorder="1" applyAlignment="1">
      <alignment vertical="center" wrapText="1"/>
    </xf>
    <xf numFmtId="43" fontId="28" fillId="0" borderId="48" xfId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43" fontId="5" fillId="9" borderId="10" xfId="0" applyNumberFormat="1" applyFont="1" applyFill="1" applyBorder="1"/>
    <xf numFmtId="0" fontId="5" fillId="9" borderId="12" xfId="0" applyFont="1" applyFill="1" applyBorder="1"/>
    <xf numFmtId="0" fontId="5" fillId="9" borderId="26" xfId="0" applyFont="1" applyFill="1" applyBorder="1"/>
    <xf numFmtId="43" fontId="8" fillId="0" borderId="1" xfId="1" applyFont="1" applyFill="1" applyBorder="1"/>
    <xf numFmtId="43" fontId="3" fillId="0" borderId="54" xfId="1" applyFont="1" applyBorder="1"/>
    <xf numFmtId="43" fontId="3" fillId="0" borderId="67" xfId="1" applyFont="1" applyFill="1" applyBorder="1"/>
    <xf numFmtId="43" fontId="3" fillId="0" borderId="168" xfId="1" applyFont="1" applyFill="1" applyBorder="1"/>
    <xf numFmtId="0" fontId="19" fillId="0" borderId="74" xfId="0" applyFont="1" applyBorder="1" applyAlignment="1">
      <alignment horizontal="center"/>
    </xf>
    <xf numFmtId="0" fontId="66" fillId="0" borderId="92" xfId="0" applyFont="1" applyFill="1" applyBorder="1"/>
    <xf numFmtId="43" fontId="2" fillId="0" borderId="92" xfId="1" applyFont="1" applyFill="1" applyBorder="1"/>
    <xf numFmtId="43" fontId="8" fillId="0" borderId="92" xfId="1" applyFont="1" applyFill="1" applyBorder="1"/>
    <xf numFmtId="164" fontId="2" fillId="0" borderId="92" xfId="1" applyNumberFormat="1" applyFont="1" applyFill="1" applyBorder="1"/>
    <xf numFmtId="0" fontId="5" fillId="0" borderId="92" xfId="0" applyFont="1" applyFill="1" applyBorder="1"/>
    <xf numFmtId="43" fontId="5" fillId="0" borderId="92" xfId="0" applyNumberFormat="1" applyFont="1" applyFill="1" applyBorder="1"/>
    <xf numFmtId="43" fontId="5" fillId="0" borderId="92" xfId="0" applyNumberFormat="1" applyFont="1" applyFill="1" applyBorder="1" applyAlignment="1">
      <alignment vertical="center"/>
    </xf>
    <xf numFmtId="0" fontId="5" fillId="0" borderId="94" xfId="0" applyFont="1" applyFill="1" applyBorder="1" applyAlignment="1">
      <alignment horizontal="center"/>
    </xf>
    <xf numFmtId="0" fontId="66" fillId="0" borderId="1" xfId="0" applyFont="1" applyFill="1" applyBorder="1"/>
    <xf numFmtId="164" fontId="2" fillId="0" borderId="1" xfId="1" applyNumberFormat="1" applyFont="1" applyFill="1" applyBorder="1"/>
    <xf numFmtId="0" fontId="5" fillId="0" borderId="1" xfId="0" applyFont="1" applyFill="1" applyBorder="1"/>
    <xf numFmtId="43" fontId="5" fillId="0" borderId="1" xfId="0" applyNumberFormat="1" applyFont="1" applyFill="1" applyBorder="1"/>
    <xf numFmtId="43" fontId="5" fillId="0" borderId="1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/>
    </xf>
    <xf numFmtId="0" fontId="18" fillId="0" borderId="175" xfId="0" applyFont="1" applyFill="1" applyBorder="1" applyAlignment="1">
      <alignment horizontal="center"/>
    </xf>
    <xf numFmtId="43" fontId="3" fillId="0" borderId="14" xfId="1" applyFont="1" applyFill="1" applyBorder="1"/>
    <xf numFmtId="0" fontId="67" fillId="0" borderId="46" xfId="0" applyFont="1" applyFill="1" applyBorder="1"/>
    <xf numFmtId="43" fontId="3" fillId="0" borderId="47" xfId="1" applyFont="1" applyFill="1" applyBorder="1"/>
    <xf numFmtId="43" fontId="3" fillId="0" borderId="64" xfId="1" applyFont="1" applyFill="1" applyBorder="1"/>
    <xf numFmtId="43" fontId="3" fillId="0" borderId="44" xfId="1" applyFont="1" applyFill="1" applyBorder="1"/>
    <xf numFmtId="0" fontId="18" fillId="0" borderId="0" xfId="0" applyFont="1" applyFill="1" applyBorder="1" applyAlignment="1">
      <alignment horizontal="center"/>
    </xf>
    <xf numFmtId="4" fontId="67" fillId="0" borderId="0" xfId="0" applyNumberFormat="1" applyFont="1" applyFill="1" applyBorder="1"/>
    <xf numFmtId="164" fontId="2" fillId="0" borderId="0" xfId="1" applyNumberFormat="1" applyFont="1" applyFill="1" applyBorder="1"/>
    <xf numFmtId="49" fontId="0" fillId="0" borderId="0" xfId="0" applyNumberFormat="1" applyFill="1" applyBorder="1"/>
    <xf numFmtId="0" fontId="5" fillId="0" borderId="44" xfId="0" applyFont="1" applyFill="1" applyBorder="1" applyAlignment="1">
      <alignment horizontal="center"/>
    </xf>
    <xf numFmtId="0" fontId="66" fillId="0" borderId="46" xfId="0" applyFont="1" applyFill="1" applyBorder="1"/>
    <xf numFmtId="164" fontId="2" fillId="0" borderId="43" xfId="1" applyNumberFormat="1" applyFont="1" applyBorder="1"/>
    <xf numFmtId="164" fontId="2" fillId="0" borderId="67" xfId="1" applyNumberFormat="1" applyFont="1" applyFill="1" applyBorder="1"/>
    <xf numFmtId="164" fontId="2" fillId="4" borderId="67" xfId="1" applyNumberFormat="1" applyFont="1" applyFill="1" applyBorder="1"/>
    <xf numFmtId="164" fontId="2" fillId="9" borderId="67" xfId="1" applyNumberFormat="1" applyFont="1" applyFill="1" applyBorder="1"/>
    <xf numFmtId="43" fontId="5" fillId="7" borderId="27" xfId="0" applyNumberFormat="1" applyFont="1" applyFill="1" applyBorder="1"/>
    <xf numFmtId="164" fontId="2" fillId="7" borderId="67" xfId="1" applyNumberFormat="1" applyFont="1" applyFill="1" applyBorder="1"/>
    <xf numFmtId="0" fontId="5" fillId="0" borderId="67" xfId="0" applyFont="1" applyFill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66" fillId="0" borderId="42" xfId="0" applyFont="1" applyBorder="1"/>
    <xf numFmtId="43" fontId="2" fillId="0" borderId="25" xfId="1" applyFont="1" applyBorder="1"/>
    <xf numFmtId="0" fontId="5" fillId="7" borderId="72" xfId="0" applyFont="1" applyFill="1" applyBorder="1"/>
    <xf numFmtId="43" fontId="19" fillId="7" borderId="35" xfId="0" applyNumberFormat="1" applyFont="1" applyFill="1" applyBorder="1"/>
    <xf numFmtId="43" fontId="18" fillId="7" borderId="65" xfId="0" applyNumberFormat="1" applyFont="1" applyFill="1" applyBorder="1"/>
    <xf numFmtId="0" fontId="5" fillId="7" borderId="65" xfId="0" applyFont="1" applyFill="1" applyBorder="1"/>
    <xf numFmtId="0" fontId="5" fillId="0" borderId="71" xfId="0" applyFont="1" applyBorder="1" applyAlignment="1">
      <alignment horizontal="center"/>
    </xf>
    <xf numFmtId="0" fontId="67" fillId="0" borderId="13" xfId="0" applyFont="1" applyFill="1" applyBorder="1"/>
    <xf numFmtId="0" fontId="67" fillId="14" borderId="13" xfId="0" applyFont="1" applyFill="1" applyBorder="1"/>
    <xf numFmtId="43" fontId="3" fillId="14" borderId="57" xfId="1" applyFont="1" applyFill="1" applyBorder="1"/>
    <xf numFmtId="43" fontId="3" fillId="14" borderId="58" xfId="1" applyFont="1" applyFill="1" applyBorder="1"/>
    <xf numFmtId="164" fontId="3" fillId="14" borderId="13" xfId="1" applyNumberFormat="1" applyFont="1" applyFill="1" applyBorder="1"/>
    <xf numFmtId="164" fontId="3" fillId="14" borderId="16" xfId="1" applyNumberFormat="1" applyFont="1" applyFill="1" applyBorder="1"/>
    <xf numFmtId="43" fontId="3" fillId="14" borderId="63" xfId="1" applyFont="1" applyFill="1" applyBorder="1"/>
    <xf numFmtId="43" fontId="3" fillId="14" borderId="56" xfId="1" applyFont="1" applyFill="1" applyBorder="1"/>
    <xf numFmtId="43" fontId="3" fillId="14" borderId="55" xfId="1" applyFont="1" applyFill="1" applyBorder="1"/>
    <xf numFmtId="43" fontId="3" fillId="14" borderId="16" xfId="1" applyFont="1" applyFill="1" applyBorder="1"/>
    <xf numFmtId="43" fontId="3" fillId="14" borderId="15" xfId="1" applyFont="1" applyFill="1" applyBorder="1"/>
    <xf numFmtId="0" fontId="67" fillId="15" borderId="13" xfId="0" applyFont="1" applyFill="1" applyBorder="1"/>
    <xf numFmtId="43" fontId="3" fillId="15" borderId="57" xfId="1" applyFont="1" applyFill="1" applyBorder="1"/>
    <xf numFmtId="43" fontId="3" fillId="15" borderId="58" xfId="1" applyFont="1" applyFill="1" applyBorder="1"/>
    <xf numFmtId="43" fontId="3" fillId="15" borderId="63" xfId="1" applyFont="1" applyFill="1" applyBorder="1"/>
    <xf numFmtId="43" fontId="3" fillId="15" borderId="56" xfId="1" applyFont="1" applyFill="1" applyBorder="1"/>
    <xf numFmtId="43" fontId="3" fillId="15" borderId="55" xfId="1" applyFont="1" applyFill="1" applyBorder="1"/>
    <xf numFmtId="43" fontId="3" fillId="15" borderId="16" xfId="1" applyFont="1" applyFill="1" applyBorder="1"/>
    <xf numFmtId="43" fontId="3" fillId="15" borderId="15" xfId="1" applyFont="1" applyFill="1" applyBorder="1"/>
    <xf numFmtId="164" fontId="3" fillId="15" borderId="13" xfId="1" applyNumberFormat="1" applyFont="1" applyFill="1" applyBorder="1"/>
    <xf numFmtId="164" fontId="3" fillId="15" borderId="16" xfId="1" applyNumberFormat="1" applyFont="1" applyFill="1" applyBorder="1"/>
    <xf numFmtId="0" fontId="18" fillId="0" borderId="32" xfId="0" applyFont="1" applyFill="1" applyBorder="1" applyAlignment="1">
      <alignment horizontal="center"/>
    </xf>
    <xf numFmtId="43" fontId="2" fillId="0" borderId="49" xfId="1" applyFont="1" applyFill="1" applyBorder="1"/>
    <xf numFmtId="164" fontId="2" fillId="0" borderId="66" xfId="1" applyNumberFormat="1" applyFont="1" applyFill="1" applyBorder="1"/>
    <xf numFmtId="0" fontId="0" fillId="0" borderId="0" xfId="0" applyFont="1" applyFill="1"/>
    <xf numFmtId="0" fontId="67" fillId="0" borderId="84" xfId="0" applyFont="1" applyFill="1" applyBorder="1"/>
    <xf numFmtId="43" fontId="3" fillId="0" borderId="84" xfId="1" applyFont="1" applyFill="1" applyBorder="1"/>
    <xf numFmtId="164" fontId="3" fillId="0" borderId="84" xfId="1" applyNumberFormat="1" applyFont="1" applyFill="1" applyBorder="1"/>
    <xf numFmtId="43" fontId="5" fillId="0" borderId="84" xfId="0" applyNumberFormat="1" applyFont="1" applyFill="1" applyBorder="1"/>
    <xf numFmtId="0" fontId="18" fillId="0" borderId="86" xfId="0" applyFont="1" applyFill="1" applyBorder="1" applyAlignment="1">
      <alignment horizontal="center"/>
    </xf>
    <xf numFmtId="0" fontId="66" fillId="0" borderId="118" xfId="0" applyFont="1" applyFill="1" applyBorder="1"/>
    <xf numFmtId="43" fontId="2" fillId="0" borderId="118" xfId="1" applyFont="1" applyFill="1" applyBorder="1"/>
    <xf numFmtId="164" fontId="2" fillId="0" borderId="118" xfId="1" applyNumberFormat="1" applyFont="1" applyFill="1" applyBorder="1"/>
    <xf numFmtId="0" fontId="18" fillId="0" borderId="118" xfId="0" applyFont="1" applyFill="1" applyBorder="1"/>
    <xf numFmtId="43" fontId="18" fillId="0" borderId="118" xfId="0" applyNumberFormat="1" applyFont="1" applyFill="1" applyBorder="1"/>
    <xf numFmtId="43" fontId="5" fillId="0" borderId="118" xfId="0" applyNumberFormat="1" applyFont="1" applyFill="1" applyBorder="1"/>
    <xf numFmtId="43" fontId="3" fillId="0" borderId="118" xfId="1" applyFont="1" applyFill="1" applyBorder="1"/>
    <xf numFmtId="0" fontId="18" fillId="0" borderId="120" xfId="0" applyFont="1" applyFill="1" applyBorder="1" applyAlignment="1">
      <alignment horizontal="center"/>
    </xf>
    <xf numFmtId="0" fontId="18" fillId="0" borderId="116" xfId="0" applyFont="1" applyFill="1" applyBorder="1" applyAlignment="1">
      <alignment horizontal="center"/>
    </xf>
    <xf numFmtId="0" fontId="67" fillId="0" borderId="117" xfId="0" applyFont="1" applyFill="1" applyBorder="1"/>
    <xf numFmtId="43" fontId="3" fillId="0" borderId="117" xfId="1" applyFont="1" applyFill="1" applyBorder="1"/>
    <xf numFmtId="164" fontId="3" fillId="0" borderId="117" xfId="1" applyNumberFormat="1" applyFont="1" applyFill="1" applyBorder="1"/>
    <xf numFmtId="43" fontId="5" fillId="0" borderId="117" xfId="0" applyNumberFormat="1" applyFont="1" applyFill="1" applyBorder="1"/>
    <xf numFmtId="0" fontId="18" fillId="0" borderId="176" xfId="0" applyFont="1" applyFill="1" applyBorder="1" applyAlignment="1">
      <alignment horizontal="center"/>
    </xf>
    <xf numFmtId="43" fontId="5" fillId="4" borderId="28" xfId="0" applyNumberFormat="1" applyFont="1" applyFill="1" applyBorder="1"/>
    <xf numFmtId="43" fontId="18" fillId="4" borderId="34" xfId="0" applyNumberFormat="1" applyFont="1" applyFill="1" applyBorder="1"/>
    <xf numFmtId="0" fontId="5" fillId="0" borderId="93" xfId="0" applyFont="1" applyFill="1" applyBorder="1"/>
    <xf numFmtId="0" fontId="5" fillId="0" borderId="33" xfId="0" applyFont="1" applyFill="1" applyBorder="1"/>
    <xf numFmtId="43" fontId="7" fillId="0" borderId="71" xfId="1" applyFont="1" applyFill="1" applyBorder="1" applyAlignment="1">
      <alignment horizontal="center" vertical="center"/>
    </xf>
    <xf numFmtId="164" fontId="2" fillId="0" borderId="94" xfId="1" applyNumberFormat="1" applyFont="1" applyFill="1" applyBorder="1"/>
    <xf numFmtId="164" fontId="2" fillId="0" borderId="12" xfId="1" applyNumberFormat="1" applyFont="1" applyFill="1" applyBorder="1"/>
    <xf numFmtId="0" fontId="18" fillId="0" borderId="66" xfId="0" applyFont="1" applyFill="1" applyBorder="1" applyAlignment="1">
      <alignment horizontal="center"/>
    </xf>
    <xf numFmtId="164" fontId="2" fillId="0" borderId="18" xfId="1" applyNumberFormat="1" applyFont="1" applyFill="1" applyBorder="1"/>
    <xf numFmtId="43" fontId="3" fillId="0" borderId="85" xfId="1" applyFont="1" applyFill="1" applyBorder="1"/>
    <xf numFmtId="0" fontId="18" fillId="0" borderId="119" xfId="0" applyFont="1" applyFill="1" applyBorder="1"/>
    <xf numFmtId="43" fontId="3" fillId="0" borderId="177" xfId="1" applyFont="1" applyFill="1" applyBorder="1"/>
    <xf numFmtId="164" fontId="3" fillId="0" borderId="86" xfId="1" applyNumberFormat="1" applyFont="1" applyFill="1" applyBorder="1"/>
    <xf numFmtId="164" fontId="2" fillId="0" borderId="120" xfId="1" applyNumberFormat="1" applyFont="1" applyFill="1" applyBorder="1"/>
    <xf numFmtId="164" fontId="3" fillId="0" borderId="176" xfId="1" applyNumberFormat="1" applyFont="1" applyFill="1" applyBorder="1"/>
    <xf numFmtId="43" fontId="3" fillId="0" borderId="54" xfId="1" applyFont="1" applyFill="1" applyBorder="1"/>
    <xf numFmtId="43" fontId="3" fillId="0" borderId="46" xfId="1" applyFont="1" applyFill="1" applyBorder="1"/>
    <xf numFmtId="0" fontId="18" fillId="0" borderId="19" xfId="0" applyFont="1" applyFill="1" applyBorder="1" applyAlignment="1">
      <alignment horizontal="center"/>
    </xf>
    <xf numFmtId="0" fontId="67" fillId="0" borderId="2" xfId="0" applyFont="1" applyFill="1" applyBorder="1"/>
    <xf numFmtId="43" fontId="3" fillId="0" borderId="2" xfId="1" applyFont="1" applyFill="1" applyBorder="1"/>
    <xf numFmtId="164" fontId="2" fillId="0" borderId="2" xfId="1" applyNumberFormat="1" applyFont="1" applyFill="1" applyBorder="1"/>
    <xf numFmtId="164" fontId="2" fillId="0" borderId="23" xfId="1" applyNumberFormat="1" applyFont="1" applyFill="1" applyBorder="1"/>
    <xf numFmtId="43" fontId="3" fillId="0" borderId="37" xfId="1" applyFont="1" applyFill="1" applyBorder="1"/>
    <xf numFmtId="0" fontId="19" fillId="7" borderId="55" xfId="0" applyFont="1" applyFill="1" applyBorder="1" applyAlignment="1">
      <alignment horizontal="center"/>
    </xf>
    <xf numFmtId="0" fontId="68" fillId="7" borderId="56" xfId="0" applyFont="1" applyFill="1" applyBorder="1"/>
    <xf numFmtId="43" fontId="2" fillId="7" borderId="57" xfId="1" applyFont="1" applyFill="1" applyBorder="1"/>
    <xf numFmtId="164" fontId="2" fillId="7" borderId="13" xfId="1" applyNumberFormat="1" applyFont="1" applyFill="1" applyBorder="1"/>
    <xf numFmtId="0" fontId="19" fillId="7" borderId="14" xfId="0" applyFont="1" applyFill="1" applyBorder="1"/>
    <xf numFmtId="0" fontId="19" fillId="7" borderId="15" xfId="0" applyFont="1" applyFill="1" applyBorder="1"/>
    <xf numFmtId="0" fontId="19" fillId="7" borderId="16" xfId="0" applyFont="1" applyFill="1" applyBorder="1"/>
    <xf numFmtId="43" fontId="5" fillId="7" borderId="16" xfId="0" applyNumberFormat="1" applyFont="1" applyFill="1" applyBorder="1" applyAlignment="1">
      <alignment vertical="center"/>
    </xf>
    <xf numFmtId="43" fontId="18" fillId="7" borderId="14" xfId="0" applyNumberFormat="1" applyFont="1" applyFill="1" applyBorder="1"/>
    <xf numFmtId="43" fontId="19" fillId="7" borderId="16" xfId="0" applyNumberFormat="1" applyFont="1" applyFill="1" applyBorder="1"/>
    <xf numFmtId="43" fontId="5" fillId="7" borderId="15" xfId="0" applyNumberFormat="1" applyFont="1" applyFill="1" applyBorder="1"/>
    <xf numFmtId="43" fontId="9" fillId="0" borderId="55" xfId="1" applyFont="1" applyFill="1" applyBorder="1"/>
    <xf numFmtId="43" fontId="72" fillId="0" borderId="57" xfId="1" applyFont="1" applyFill="1" applyBorder="1"/>
    <xf numFmtId="164" fontId="72" fillId="0" borderId="13" xfId="1" applyNumberFormat="1" applyFont="1" applyFill="1" applyBorder="1"/>
    <xf numFmtId="164" fontId="72" fillId="0" borderId="16" xfId="1" applyNumberFormat="1" applyFont="1" applyFill="1" applyBorder="1"/>
    <xf numFmtId="43" fontId="72" fillId="0" borderId="15" xfId="1" applyFont="1" applyFill="1" applyBorder="1"/>
    <xf numFmtId="43" fontId="72" fillId="0" borderId="63" xfId="1" applyFont="1" applyFill="1" applyBorder="1"/>
    <xf numFmtId="43" fontId="72" fillId="0" borderId="56" xfId="1" applyFont="1" applyFill="1" applyBorder="1"/>
    <xf numFmtId="43" fontId="72" fillId="0" borderId="55" xfId="1" applyFont="1" applyFill="1" applyBorder="1"/>
    <xf numFmtId="43" fontId="72" fillId="0" borderId="58" xfId="1" applyFont="1" applyFill="1" applyBorder="1"/>
    <xf numFmtId="43" fontId="72" fillId="0" borderId="16" xfId="1" applyFont="1" applyFill="1" applyBorder="1"/>
    <xf numFmtId="0" fontId="71" fillId="0" borderId="40" xfId="0" applyFont="1" applyFill="1" applyBorder="1" applyAlignment="1">
      <alignment horizontal="center"/>
    </xf>
    <xf numFmtId="4" fontId="72" fillId="0" borderId="0" xfId="1" applyNumberFormat="1" applyFont="1" applyFill="1" applyBorder="1"/>
    <xf numFmtId="4" fontId="59" fillId="0" borderId="0" xfId="0" applyNumberFormat="1" applyFont="1" applyFill="1"/>
    <xf numFmtId="49" fontId="59" fillId="0" borderId="0" xfId="0" applyNumberFormat="1" applyFont="1" applyFill="1"/>
    <xf numFmtId="0" fontId="59" fillId="0" borderId="0" xfId="0" applyFont="1" applyFill="1"/>
    <xf numFmtId="43" fontId="5" fillId="0" borderId="15" xfId="0" applyNumberFormat="1" applyFont="1" applyFill="1" applyBorder="1"/>
    <xf numFmtId="164" fontId="3" fillId="0" borderId="66" xfId="1" applyNumberFormat="1" applyFont="1" applyFill="1" applyBorder="1"/>
    <xf numFmtId="43" fontId="13" fillId="0" borderId="55" xfId="1" applyFont="1" applyFill="1" applyBorder="1" applyAlignment="1">
      <alignment horizontal="center"/>
    </xf>
    <xf numFmtId="43" fontId="3" fillId="0" borderId="48" xfId="1" applyFont="1" applyFill="1" applyBorder="1"/>
    <xf numFmtId="0" fontId="19" fillId="0" borderId="55" xfId="0" applyFont="1" applyFill="1" applyBorder="1" applyAlignment="1">
      <alignment horizontal="center"/>
    </xf>
    <xf numFmtId="0" fontId="68" fillId="0" borderId="56" xfId="0" applyFont="1" applyFill="1" applyBorder="1"/>
    <xf numFmtId="43" fontId="18" fillId="0" borderId="32" xfId="0" applyNumberFormat="1" applyFont="1" applyFill="1" applyBorder="1"/>
    <xf numFmtId="43" fontId="12" fillId="0" borderId="63" xfId="1" applyFont="1" applyFill="1" applyBorder="1" applyAlignment="1">
      <alignment horizontal="center"/>
    </xf>
    <xf numFmtId="43" fontId="12" fillId="0" borderId="56" xfId="1" applyFont="1" applyFill="1" applyBorder="1" applyAlignment="1">
      <alignment horizontal="center"/>
    </xf>
    <xf numFmtId="43" fontId="12" fillId="0" borderId="55" xfId="1" applyFont="1" applyFill="1" applyBorder="1" applyAlignment="1">
      <alignment horizontal="center"/>
    </xf>
    <xf numFmtId="164" fontId="2" fillId="0" borderId="32" xfId="1" applyNumberFormat="1" applyFont="1" applyFill="1" applyBorder="1"/>
    <xf numFmtId="0" fontId="71" fillId="0" borderId="55" xfId="0" applyFont="1" applyFill="1" applyBorder="1" applyAlignment="1">
      <alignment horizontal="center"/>
    </xf>
    <xf numFmtId="0" fontId="73" fillId="0" borderId="56" xfId="0" applyFont="1" applyFill="1" applyBorder="1"/>
    <xf numFmtId="43" fontId="72" fillId="0" borderId="14" xfId="1" applyFont="1" applyFill="1" applyBorder="1"/>
    <xf numFmtId="4" fontId="74" fillId="0" borderId="0" xfId="0" applyNumberFormat="1" applyFont="1" applyFill="1"/>
    <xf numFmtId="49" fontId="74" fillId="0" borderId="0" xfId="0" applyNumberFormat="1" applyFont="1" applyFill="1"/>
    <xf numFmtId="0" fontId="74" fillId="0" borderId="0" xfId="0" applyFont="1" applyFill="1"/>
    <xf numFmtId="4" fontId="71" fillId="0" borderId="20" xfId="0" applyNumberFormat="1" applyFont="1" applyFill="1" applyBorder="1"/>
    <xf numFmtId="4" fontId="71" fillId="0" borderId="6" xfId="0" applyNumberFormat="1" applyFont="1" applyFill="1" applyBorder="1"/>
    <xf numFmtId="4" fontId="71" fillId="0" borderId="53" xfId="0" applyNumberFormat="1" applyFont="1" applyFill="1" applyBorder="1"/>
    <xf numFmtId="0" fontId="71" fillId="0" borderId="11" xfId="0" applyFont="1" applyFill="1" applyBorder="1" applyAlignment="1">
      <alignment horizontal="center"/>
    </xf>
    <xf numFmtId="4" fontId="71" fillId="0" borderId="0" xfId="0" applyNumberFormat="1" applyFont="1" applyFill="1" applyBorder="1"/>
    <xf numFmtId="0" fontId="75" fillId="0" borderId="74" xfId="0" applyFont="1" applyFill="1" applyBorder="1" applyAlignment="1">
      <alignment horizontal="center"/>
    </xf>
    <xf numFmtId="0" fontId="76" fillId="0" borderId="77" xfId="0" applyFont="1" applyFill="1" applyBorder="1"/>
    <xf numFmtId="43" fontId="77" fillId="0" borderId="75" xfId="1" applyFont="1" applyFill="1" applyBorder="1"/>
    <xf numFmtId="43" fontId="77" fillId="0" borderId="76" xfId="1" applyFont="1" applyFill="1" applyBorder="1"/>
    <xf numFmtId="164" fontId="77" fillId="0" borderId="70" xfId="1" applyNumberFormat="1" applyFont="1" applyFill="1" applyBorder="1"/>
    <xf numFmtId="164" fontId="77" fillId="0" borderId="68" xfId="1" applyNumberFormat="1" applyFont="1" applyFill="1" applyBorder="1"/>
    <xf numFmtId="43" fontId="77" fillId="0" borderId="29" xfId="1" applyFont="1" applyFill="1" applyBorder="1"/>
    <xf numFmtId="43" fontId="77" fillId="0" borderId="38" xfId="1" applyFont="1" applyFill="1" applyBorder="1"/>
    <xf numFmtId="43" fontId="77" fillId="0" borderId="25" xfId="1" applyFont="1" applyFill="1" applyBorder="1"/>
    <xf numFmtId="43" fontId="77" fillId="0" borderId="42" xfId="1" applyFont="1" applyFill="1" applyBorder="1"/>
    <xf numFmtId="43" fontId="77" fillId="0" borderId="24" xfId="1" applyFont="1" applyFill="1" applyBorder="1"/>
    <xf numFmtId="43" fontId="77" fillId="0" borderId="26" xfId="1" applyFont="1" applyFill="1" applyBorder="1"/>
    <xf numFmtId="43" fontId="77" fillId="0" borderId="71" xfId="1" applyFont="1" applyFill="1" applyBorder="1"/>
    <xf numFmtId="0" fontId="75" fillId="0" borderId="24" xfId="0" applyFont="1" applyFill="1" applyBorder="1" applyAlignment="1">
      <alignment horizontal="center"/>
    </xf>
    <xf numFmtId="4" fontId="77" fillId="0" borderId="0" xfId="1" applyNumberFormat="1" applyFont="1" applyFill="1" applyBorder="1"/>
    <xf numFmtId="4" fontId="78" fillId="0" borderId="0" xfId="0" applyNumberFormat="1" applyFont="1" applyFill="1"/>
    <xf numFmtId="49" fontId="78" fillId="0" borderId="0" xfId="0" applyNumberFormat="1" applyFont="1" applyFill="1"/>
    <xf numFmtId="0" fontId="78" fillId="0" borderId="0" xfId="0" applyFont="1" applyFill="1"/>
    <xf numFmtId="4" fontId="0" fillId="0" borderId="0" xfId="0" applyNumberFormat="1" applyFill="1" applyBorder="1" applyAlignment="1">
      <alignment vertical="center"/>
    </xf>
    <xf numFmtId="4" fontId="0" fillId="0" borderId="0" xfId="0" applyNumberFormat="1" applyFill="1" applyBorder="1" applyAlignment="1">
      <alignment horizontal="center" vertical="center" wrapText="1"/>
    </xf>
    <xf numFmtId="4" fontId="1" fillId="0" borderId="0" xfId="0" applyNumberFormat="1" applyFont="1" applyFill="1" applyBorder="1"/>
    <xf numFmtId="4" fontId="0" fillId="0" borderId="0" xfId="0" applyNumberFormat="1" applyFont="1" applyFill="1" applyBorder="1"/>
    <xf numFmtId="4" fontId="10" fillId="0" borderId="0" xfId="0" applyNumberFormat="1" applyFont="1" applyFill="1" applyBorder="1"/>
    <xf numFmtId="4" fontId="0" fillId="0" borderId="0" xfId="0" applyNumberFormat="1" applyBorder="1" applyAlignment="1">
      <alignment vertical="center"/>
    </xf>
    <xf numFmtId="4" fontId="0" fillId="0" borderId="0" xfId="0" applyNumberFormat="1" applyBorder="1" applyAlignment="1">
      <alignment horizontal="center" vertical="center" wrapText="1"/>
    </xf>
    <xf numFmtId="4" fontId="1" fillId="0" borderId="0" xfId="0" applyNumberFormat="1" applyFont="1" applyBorder="1"/>
    <xf numFmtId="4" fontId="0" fillId="0" borderId="0" xfId="0" applyNumberFormat="1" applyFont="1" applyBorder="1"/>
    <xf numFmtId="4" fontId="10" fillId="0" borderId="0" xfId="0" applyNumberFormat="1" applyFont="1" applyBorder="1"/>
    <xf numFmtId="0" fontId="0" fillId="0" borderId="0" xfId="0" applyFill="1" applyAlignment="1">
      <alignment horizontal="left"/>
    </xf>
    <xf numFmtId="0" fontId="45" fillId="2" borderId="7" xfId="0" applyNumberFormat="1" applyFont="1" applyFill="1" applyBorder="1" applyAlignment="1" applyProtection="1">
      <alignment vertical="center" wrapText="1"/>
    </xf>
    <xf numFmtId="4" fontId="43" fillId="2" borderId="7" xfId="0" applyNumberFormat="1" applyFont="1" applyFill="1" applyBorder="1" applyAlignment="1">
      <alignment vertical="center" wrapText="1"/>
    </xf>
    <xf numFmtId="4" fontId="43" fillId="2" borderId="7" xfId="0" applyNumberFormat="1" applyFont="1" applyFill="1" applyBorder="1" applyAlignment="1" applyProtection="1">
      <alignment vertical="center" wrapText="1"/>
    </xf>
    <xf numFmtId="4" fontId="0" fillId="0" borderId="7" xfId="0" applyNumberFormat="1" applyBorder="1" applyAlignment="1">
      <alignment horizontal="right" vertical="center" wrapText="1"/>
    </xf>
    <xf numFmtId="0" fontId="0" fillId="0" borderId="0" xfId="0" applyBorder="1" applyAlignment="1">
      <alignment wrapText="1"/>
    </xf>
    <xf numFmtId="0" fontId="61" fillId="2" borderId="25" xfId="0" applyFont="1" applyFill="1" applyBorder="1" applyAlignment="1">
      <alignment vertical="center" wrapText="1"/>
    </xf>
    <xf numFmtId="4" fontId="1" fillId="0" borderId="25" xfId="0" applyNumberFormat="1" applyFont="1" applyBorder="1" applyAlignment="1">
      <alignment vertical="center" wrapText="1"/>
    </xf>
    <xf numFmtId="4" fontId="43" fillId="2" borderId="25" xfId="0" applyNumberFormat="1" applyFont="1" applyFill="1" applyBorder="1" applyAlignment="1">
      <alignment vertical="center" wrapText="1"/>
    </xf>
    <xf numFmtId="4" fontId="43" fillId="2" borderId="25" xfId="0" applyNumberFormat="1" applyFont="1" applyFill="1" applyBorder="1" applyAlignment="1" applyProtection="1">
      <alignment vertical="center" wrapText="1"/>
    </xf>
    <xf numFmtId="4" fontId="0" fillId="0" borderId="25" xfId="0" applyNumberFormat="1" applyBorder="1" applyAlignment="1">
      <alignment vertical="center" wrapText="1"/>
    </xf>
    <xf numFmtId="4" fontId="0" fillId="0" borderId="25" xfId="0" applyNumberFormat="1" applyBorder="1" applyAlignment="1">
      <alignment horizontal="right" vertical="center" wrapText="1"/>
    </xf>
    <xf numFmtId="0" fontId="61" fillId="2" borderId="35" xfId="0" applyFont="1" applyFill="1" applyBorder="1" applyAlignment="1">
      <alignment vertical="center" wrapText="1"/>
    </xf>
    <xf numFmtId="4" fontId="1" fillId="0" borderId="35" xfId="0" applyNumberFormat="1" applyFont="1" applyBorder="1" applyAlignment="1">
      <alignment vertical="center" wrapText="1"/>
    </xf>
    <xf numFmtId="4" fontId="43" fillId="2" borderId="35" xfId="0" applyNumberFormat="1" applyFont="1" applyFill="1" applyBorder="1" applyAlignment="1">
      <alignment vertical="center" wrapText="1"/>
    </xf>
    <xf numFmtId="4" fontId="43" fillId="2" borderId="35" xfId="0" applyNumberFormat="1" applyFont="1" applyFill="1" applyBorder="1" applyAlignment="1" applyProtection="1">
      <alignment vertical="center" wrapText="1"/>
    </xf>
    <xf numFmtId="4" fontId="0" fillId="0" borderId="35" xfId="0" applyNumberFormat="1" applyBorder="1" applyAlignment="1">
      <alignment vertical="center" wrapText="1"/>
    </xf>
    <xf numFmtId="4" fontId="0" fillId="0" borderId="35" xfId="0" applyNumberFormat="1" applyBorder="1" applyAlignment="1">
      <alignment horizontal="right" vertical="center" wrapText="1"/>
    </xf>
    <xf numFmtId="0" fontId="79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7" fillId="0" borderId="1" xfId="0" applyNumberFormat="1" applyFont="1" applyFill="1" applyBorder="1" applyAlignment="1" applyProtection="1">
      <alignment vertical="center" wrapText="1"/>
    </xf>
    <xf numFmtId="0" fontId="17" fillId="0" borderId="1" xfId="0" quotePrefix="1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81" fillId="0" borderId="1" xfId="0" applyFont="1" applyFill="1" applyBorder="1" applyAlignment="1">
      <alignment vertical="center"/>
    </xf>
    <xf numFmtId="0" fontId="82" fillId="0" borderId="1" xfId="0" quotePrefix="1" applyFont="1" applyFill="1" applyBorder="1" applyAlignment="1">
      <alignment vertical="center"/>
    </xf>
    <xf numFmtId="0" fontId="83" fillId="0" borderId="1" xfId="0" applyFont="1" applyFill="1" applyBorder="1" applyAlignment="1">
      <alignment horizontal="left"/>
    </xf>
    <xf numFmtId="0" fontId="55" fillId="0" borderId="1" xfId="0" applyFont="1" applyFill="1" applyBorder="1" applyAlignment="1">
      <alignment horizontal="left"/>
    </xf>
    <xf numFmtId="0" fontId="83" fillId="0" borderId="5" xfId="0" applyFont="1" applyFill="1" applyBorder="1" applyAlignment="1">
      <alignment horizontal="left"/>
    </xf>
    <xf numFmtId="0" fontId="55" fillId="0" borderId="1" xfId="0" applyFont="1" applyFill="1" applyBorder="1" applyAlignment="1">
      <alignment horizontal="left" vertical="top" wrapText="1"/>
    </xf>
    <xf numFmtId="0" fontId="55" fillId="0" borderId="5" xfId="0" applyFont="1" applyFill="1" applyBorder="1" applyAlignment="1">
      <alignment horizontal="left" vertical="top" wrapText="1"/>
    </xf>
    <xf numFmtId="0" fontId="83" fillId="0" borderId="0" xfId="0" applyFont="1" applyAlignment="1">
      <alignment horizontal="left"/>
    </xf>
    <xf numFmtId="0" fontId="84" fillId="0" borderId="0" xfId="0" applyNumberFormat="1" applyFont="1" applyFill="1" applyBorder="1" applyAlignment="1" applyProtection="1">
      <alignment horizontal="left" vertical="center" wrapText="1"/>
    </xf>
    <xf numFmtId="0" fontId="85" fillId="0" borderId="1" xfId="0" applyNumberFormat="1" applyFont="1" applyFill="1" applyBorder="1" applyAlignment="1" applyProtection="1">
      <alignment horizontal="left" vertical="center" wrapText="1"/>
    </xf>
    <xf numFmtId="0" fontId="86" fillId="0" borderId="1" xfId="0" applyNumberFormat="1" applyFont="1" applyFill="1" applyBorder="1" applyAlignment="1" applyProtection="1">
      <alignment horizontal="left" vertical="center" wrapText="1"/>
    </xf>
    <xf numFmtId="0" fontId="86" fillId="0" borderId="1" xfId="0" quotePrefix="1" applyFont="1" applyFill="1" applyBorder="1" applyAlignment="1">
      <alignment horizontal="left" vertical="center"/>
    </xf>
    <xf numFmtId="0" fontId="86" fillId="0" borderId="5" xfId="0" quotePrefix="1" applyFont="1" applyFill="1" applyBorder="1" applyAlignment="1">
      <alignment horizontal="left" vertical="center"/>
    </xf>
    <xf numFmtId="0" fontId="87" fillId="0" borderId="1" xfId="0" quotePrefix="1" applyFont="1" applyFill="1" applyBorder="1" applyAlignment="1">
      <alignment horizontal="left" vertical="center"/>
    </xf>
    <xf numFmtId="0" fontId="85" fillId="0" borderId="1" xfId="0" quotePrefix="1" applyFont="1" applyFill="1" applyBorder="1" applyAlignment="1">
      <alignment horizontal="left" vertical="center"/>
    </xf>
    <xf numFmtId="0" fontId="87" fillId="0" borderId="5" xfId="0" quotePrefix="1" applyFont="1" applyFill="1" applyBorder="1" applyAlignment="1">
      <alignment horizontal="left" vertical="center"/>
    </xf>
    <xf numFmtId="0" fontId="86" fillId="0" borderId="2" xfId="0" applyNumberFormat="1" applyFont="1" applyFill="1" applyBorder="1" applyAlignment="1" applyProtection="1">
      <alignment horizontal="left" vertical="center" wrapText="1"/>
    </xf>
    <xf numFmtId="0" fontId="86" fillId="0" borderId="3" xfId="0" quotePrefix="1" applyFont="1" applyFill="1" applyBorder="1" applyAlignment="1">
      <alignment horizontal="left" vertical="center"/>
    </xf>
    <xf numFmtId="0" fontId="85" fillId="0" borderId="2" xfId="0" applyNumberFormat="1" applyFont="1" applyFill="1" applyBorder="1" applyAlignment="1" applyProtection="1">
      <alignment horizontal="left" vertical="center" wrapText="1"/>
    </xf>
    <xf numFmtId="0" fontId="80" fillId="0" borderId="2" xfId="0" applyNumberFormat="1" applyFont="1" applyFill="1" applyBorder="1" applyAlignment="1" applyProtection="1">
      <alignment vertical="center" wrapText="1"/>
    </xf>
    <xf numFmtId="0" fontId="86" fillId="0" borderId="7" xfId="0" applyNumberFormat="1" applyFont="1" applyFill="1" applyBorder="1" applyAlignment="1" applyProtection="1">
      <alignment horizontal="left" vertical="center" wrapText="1"/>
    </xf>
    <xf numFmtId="0" fontId="85" fillId="0" borderId="55" xfId="0" applyNumberFormat="1" applyFont="1" applyFill="1" applyBorder="1" applyAlignment="1" applyProtection="1">
      <alignment horizontal="left" vertical="center" wrapText="1"/>
    </xf>
    <xf numFmtId="0" fontId="85" fillId="0" borderId="57" xfId="0" applyNumberFormat="1" applyFont="1" applyFill="1" applyBorder="1" applyAlignment="1" applyProtection="1">
      <alignment horizontal="left" vertical="center" wrapText="1"/>
    </xf>
    <xf numFmtId="0" fontId="80" fillId="0" borderId="57" xfId="0" applyNumberFormat="1" applyFont="1" applyFill="1" applyBorder="1" applyAlignment="1" applyProtection="1">
      <alignment vertical="center" wrapText="1"/>
    </xf>
    <xf numFmtId="0" fontId="86" fillId="0" borderId="7" xfId="0" quotePrefix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vertical="center"/>
    </xf>
    <xf numFmtId="0" fontId="86" fillId="0" borderId="57" xfId="0" applyNumberFormat="1" applyFont="1" applyFill="1" applyBorder="1" applyAlignment="1" applyProtection="1">
      <alignment horizontal="left" vertical="center" wrapText="1"/>
    </xf>
    <xf numFmtId="0" fontId="17" fillId="0" borderId="57" xfId="0" applyNumberFormat="1" applyFont="1" applyFill="1" applyBorder="1" applyAlignment="1" applyProtection="1">
      <alignment vertical="center" wrapText="1"/>
    </xf>
    <xf numFmtId="0" fontId="86" fillId="0" borderId="2" xfId="0" quotePrefix="1" applyFont="1" applyFill="1" applyBorder="1" applyAlignment="1">
      <alignment horizontal="left" vertical="center"/>
    </xf>
    <xf numFmtId="0" fontId="83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vertical="center"/>
    </xf>
    <xf numFmtId="0" fontId="85" fillId="0" borderId="7" xfId="0" quotePrefix="1" applyFont="1" applyFill="1" applyBorder="1" applyAlignment="1">
      <alignment horizontal="left" vertical="center"/>
    </xf>
    <xf numFmtId="0" fontId="87" fillId="0" borderId="7" xfId="0" quotePrefix="1" applyFont="1" applyFill="1" applyBorder="1" applyAlignment="1">
      <alignment horizontal="left" vertical="center"/>
    </xf>
    <xf numFmtId="0" fontId="86" fillId="0" borderId="55" xfId="0" quotePrefix="1" applyFont="1" applyFill="1" applyBorder="1" applyAlignment="1">
      <alignment horizontal="left" vertical="center"/>
    </xf>
    <xf numFmtId="0" fontId="86" fillId="0" borderId="57" xfId="0" quotePrefix="1" applyFont="1" applyFill="1" applyBorder="1" applyAlignment="1">
      <alignment horizontal="left" vertical="center"/>
    </xf>
    <xf numFmtId="0" fontId="87" fillId="0" borderId="57" xfId="0" quotePrefix="1" applyFont="1" applyFill="1" applyBorder="1" applyAlignment="1">
      <alignment horizontal="left" vertical="center"/>
    </xf>
    <xf numFmtId="0" fontId="87" fillId="0" borderId="2" xfId="0" quotePrefix="1" applyFont="1" applyFill="1" applyBorder="1" applyAlignment="1">
      <alignment horizontal="left" vertical="center"/>
    </xf>
    <xf numFmtId="0" fontId="17" fillId="0" borderId="2" xfId="0" applyNumberFormat="1" applyFont="1" applyFill="1" applyBorder="1" applyAlignment="1" applyProtection="1">
      <alignment vertical="center" wrapText="1"/>
    </xf>
    <xf numFmtId="0" fontId="85" fillId="0" borderId="2" xfId="0" quotePrefix="1" applyFont="1" applyFill="1" applyBorder="1" applyAlignment="1">
      <alignment horizontal="left" vertical="center"/>
    </xf>
    <xf numFmtId="0" fontId="85" fillId="0" borderId="57" xfId="0" quotePrefix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vertical="center"/>
    </xf>
    <xf numFmtId="0" fontId="17" fillId="0" borderId="57" xfId="0" quotePrefix="1" applyFont="1" applyFill="1" applyBorder="1" applyAlignment="1">
      <alignment vertical="center" wrapText="1"/>
    </xf>
    <xf numFmtId="4" fontId="41" fillId="0" borderId="0" xfId="0" applyNumberFormat="1" applyFont="1" applyFill="1" applyBorder="1" applyAlignment="1" applyProtection="1">
      <alignment horizontal="center" vertical="center" wrapText="1"/>
    </xf>
    <xf numFmtId="4" fontId="47" fillId="0" borderId="1" xfId="0" applyNumberFormat="1" applyFont="1" applyFill="1" applyBorder="1" applyAlignment="1" applyProtection="1">
      <alignment horizontal="center" vertical="center" wrapText="1"/>
    </xf>
    <xf numFmtId="4" fontId="48" fillId="0" borderId="1" xfId="0" applyNumberFormat="1" applyFont="1" applyFill="1" applyBorder="1" applyAlignment="1" applyProtection="1">
      <alignment horizontal="center" vertical="center" wrapText="1"/>
    </xf>
    <xf numFmtId="4" fontId="43" fillId="0" borderId="2" xfId="0" applyNumberFormat="1" applyFont="1" applyFill="1" applyBorder="1" applyAlignment="1">
      <alignment horizontal="right"/>
    </xf>
    <xf numFmtId="4" fontId="0" fillId="0" borderId="2" xfId="0" applyNumberFormat="1" applyFill="1" applyBorder="1"/>
    <xf numFmtId="4" fontId="47" fillId="0" borderId="57" xfId="0" applyNumberFormat="1" applyFont="1" applyFill="1" applyBorder="1" applyAlignment="1"/>
    <xf numFmtId="4" fontId="0" fillId="0" borderId="57" xfId="0" applyNumberFormat="1" applyFill="1" applyBorder="1"/>
    <xf numFmtId="4" fontId="43" fillId="0" borderId="57" xfId="0" applyNumberFormat="1" applyFont="1" applyFill="1" applyBorder="1" applyAlignment="1">
      <alignment horizontal="right"/>
    </xf>
    <xf numFmtId="4" fontId="43" fillId="0" borderId="7" xfId="0" applyNumberFormat="1" applyFont="1" applyFill="1" applyBorder="1" applyAlignment="1">
      <alignment horizontal="right"/>
    </xf>
    <xf numFmtId="4" fontId="47" fillId="0" borderId="7" xfId="0" applyNumberFormat="1" applyFont="1" applyFill="1" applyBorder="1" applyAlignment="1"/>
    <xf numFmtId="4" fontId="0" fillId="0" borderId="7" xfId="0" applyNumberFormat="1" applyFill="1" applyBorder="1"/>
    <xf numFmtId="4" fontId="43" fillId="0" borderId="1" xfId="0" applyNumberFormat="1" applyFont="1" applyFill="1" applyBorder="1" applyAlignment="1">
      <alignment horizontal="right"/>
    </xf>
    <xf numFmtId="4" fontId="47" fillId="0" borderId="1" xfId="0" applyNumberFormat="1" applyFont="1" applyFill="1" applyBorder="1" applyAlignment="1"/>
    <xf numFmtId="4" fontId="0" fillId="0" borderId="1" xfId="0" applyNumberFormat="1" applyFill="1" applyBorder="1"/>
    <xf numFmtId="4" fontId="47" fillId="0" borderId="2" xfId="0" applyNumberFormat="1" applyFont="1" applyFill="1" applyBorder="1" applyAlignment="1"/>
    <xf numFmtId="4" fontId="54" fillId="0" borderId="1" xfId="0" applyNumberFormat="1" applyFont="1" applyFill="1" applyBorder="1" applyAlignment="1" applyProtection="1">
      <alignment vertical="center" wrapText="1"/>
    </xf>
    <xf numFmtId="4" fontId="54" fillId="0" borderId="2" xfId="0" applyNumberFormat="1" applyFont="1" applyFill="1" applyBorder="1" applyAlignment="1" applyProtection="1">
      <alignment vertical="center" wrapText="1"/>
    </xf>
    <xf numFmtId="4" fontId="17" fillId="0" borderId="1" xfId="0" quotePrefix="1" applyNumberFormat="1" applyFont="1" applyFill="1" applyBorder="1" applyAlignment="1">
      <alignment vertical="center" wrapText="1"/>
    </xf>
    <xf numFmtId="4" fontId="55" fillId="0" borderId="1" xfId="0" applyNumberFormat="1" applyFont="1" applyFill="1" applyBorder="1" applyAlignment="1">
      <alignment vertical="top" wrapText="1"/>
    </xf>
    <xf numFmtId="0" fontId="86" fillId="0" borderId="37" xfId="0" quotePrefix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vertical="center"/>
    </xf>
    <xf numFmtId="0" fontId="18" fillId="0" borderId="9" xfId="0" applyFont="1" applyFill="1" applyBorder="1" applyAlignment="1">
      <alignment horizontal="center"/>
    </xf>
    <xf numFmtId="0" fontId="67" fillId="0" borderId="9" xfId="0" applyFont="1" applyFill="1" applyBorder="1"/>
    <xf numFmtId="4" fontId="43" fillId="0" borderId="9" xfId="0" applyNumberFormat="1" applyFont="1" applyFill="1" applyBorder="1" applyAlignment="1">
      <alignment horizontal="right"/>
    </xf>
    <xf numFmtId="4" fontId="0" fillId="0" borderId="9" xfId="0" applyNumberFormat="1" applyFill="1" applyBorder="1"/>
    <xf numFmtId="0" fontId="0" fillId="0" borderId="24" xfId="0" applyFill="1" applyBorder="1"/>
    <xf numFmtId="0" fontId="5" fillId="0" borderId="25" xfId="0" applyFont="1" applyFill="1" applyBorder="1" applyAlignment="1">
      <alignment horizontal="center"/>
    </xf>
    <xf numFmtId="0" fontId="66" fillId="0" borderId="25" xfId="0" applyFont="1" applyFill="1" applyBorder="1"/>
    <xf numFmtId="4" fontId="43" fillId="0" borderId="25" xfId="0" applyNumberFormat="1" applyFont="1" applyFill="1" applyBorder="1" applyAlignment="1">
      <alignment horizontal="right"/>
    </xf>
    <xf numFmtId="4" fontId="0" fillId="0" borderId="25" xfId="0" applyNumberFormat="1" applyFill="1" applyBorder="1"/>
    <xf numFmtId="4" fontId="0" fillId="0" borderId="26" xfId="0" applyNumberFormat="1" applyFill="1" applyBorder="1"/>
    <xf numFmtId="0" fontId="0" fillId="0" borderId="50" xfId="0" applyFill="1" applyBorder="1"/>
    <xf numFmtId="0" fontId="18" fillId="0" borderId="50" xfId="0" applyFont="1" applyFill="1" applyBorder="1" applyAlignment="1">
      <alignment horizontal="center"/>
    </xf>
    <xf numFmtId="0" fontId="67" fillId="0" borderId="50" xfId="0" applyFont="1" applyFill="1" applyBorder="1"/>
    <xf numFmtId="0" fontId="86" fillId="0" borderId="50" xfId="0" quotePrefix="1" applyFont="1" applyFill="1" applyBorder="1" applyAlignment="1">
      <alignment horizontal="left" vertical="center"/>
    </xf>
    <xf numFmtId="0" fontId="17" fillId="0" borderId="50" xfId="0" quotePrefix="1" applyFont="1" applyFill="1" applyBorder="1" applyAlignment="1">
      <alignment vertical="center" wrapText="1"/>
    </xf>
    <xf numFmtId="4" fontId="43" fillId="0" borderId="50" xfId="0" applyNumberFormat="1" applyFont="1" applyFill="1" applyBorder="1" applyAlignment="1">
      <alignment horizontal="right"/>
    </xf>
    <xf numFmtId="0" fontId="0" fillId="0" borderId="55" xfId="0" applyFill="1" applyBorder="1"/>
    <xf numFmtId="0" fontId="19" fillId="0" borderId="57" xfId="0" applyFont="1" applyFill="1" applyBorder="1" applyAlignment="1">
      <alignment horizontal="center"/>
    </xf>
    <xf numFmtId="0" fontId="68" fillId="0" borderId="57" xfId="0" applyFont="1" applyFill="1" applyBorder="1"/>
    <xf numFmtId="0" fontId="18" fillId="0" borderId="57" xfId="0" applyFont="1" applyFill="1" applyBorder="1" applyAlignment="1">
      <alignment horizontal="center"/>
    </xf>
    <xf numFmtId="0" fontId="67" fillId="0" borderId="57" xfId="0" applyFont="1" applyFill="1" applyBorder="1"/>
    <xf numFmtId="0" fontId="0" fillId="0" borderId="8" xfId="0" applyFill="1" applyBorder="1"/>
    <xf numFmtId="0" fontId="5" fillId="0" borderId="9" xfId="0" applyFont="1" applyFill="1" applyBorder="1" applyAlignment="1">
      <alignment horizontal="center"/>
    </xf>
    <xf numFmtId="0" fontId="66" fillId="0" borderId="9" xfId="0" applyFont="1" applyFill="1" applyBorder="1"/>
    <xf numFmtId="4" fontId="47" fillId="0" borderId="9" xfId="0" applyNumberFormat="1" applyFont="1" applyFill="1" applyBorder="1" applyAlignment="1"/>
    <xf numFmtId="4" fontId="47" fillId="0" borderId="25" xfId="0" applyNumberFormat="1" applyFont="1" applyFill="1" applyBorder="1" applyAlignment="1"/>
    <xf numFmtId="0" fontId="85" fillId="0" borderId="56" xfId="0" applyNumberFormat="1" applyFont="1" applyFill="1" applyBorder="1" applyAlignment="1" applyProtection="1">
      <alignment horizontal="left" vertical="center" wrapText="1"/>
    </xf>
    <xf numFmtId="0" fontId="86" fillId="0" borderId="41" xfId="0" quotePrefix="1" applyFont="1" applyFill="1" applyBorder="1" applyAlignment="1">
      <alignment horizontal="left" vertical="center"/>
    </xf>
    <xf numFmtId="0" fontId="17" fillId="0" borderId="7" xfId="0" quotePrefix="1" applyFont="1" applyFill="1" applyBorder="1" applyAlignment="1">
      <alignment vertical="center"/>
    </xf>
    <xf numFmtId="0" fontId="86" fillId="0" borderId="56" xfId="0" applyNumberFormat="1" applyFont="1" applyFill="1" applyBorder="1" applyAlignment="1" applyProtection="1">
      <alignment horizontal="left" vertical="center" wrapText="1"/>
    </xf>
    <xf numFmtId="0" fontId="83" fillId="0" borderId="7" xfId="0" applyFont="1" applyFill="1" applyBorder="1" applyAlignment="1">
      <alignment horizontal="left"/>
    </xf>
    <xf numFmtId="0" fontId="86" fillId="0" borderId="56" xfId="0" quotePrefix="1" applyFont="1" applyFill="1" applyBorder="1" applyAlignment="1">
      <alignment horizontal="left" vertical="center"/>
    </xf>
    <xf numFmtId="0" fontId="83" fillId="0" borderId="57" xfId="0" applyFont="1" applyFill="1" applyBorder="1" applyAlignment="1">
      <alignment horizontal="left"/>
    </xf>
    <xf numFmtId="0" fontId="2" fillId="0" borderId="57" xfId="0" applyFont="1" applyFill="1" applyBorder="1" applyAlignment="1">
      <alignment vertical="center"/>
    </xf>
    <xf numFmtId="0" fontId="55" fillId="0" borderId="2" xfId="0" applyFont="1" applyFill="1" applyBorder="1" applyAlignment="1">
      <alignment horizontal="left"/>
    </xf>
    <xf numFmtId="0" fontId="9" fillId="0" borderId="7" xfId="0" applyFont="1" applyFill="1" applyBorder="1" applyAlignment="1">
      <alignment vertical="center"/>
    </xf>
    <xf numFmtId="0" fontId="87" fillId="0" borderId="3" xfId="0" quotePrefix="1" applyFont="1" applyFill="1" applyBorder="1" applyAlignment="1">
      <alignment horizontal="left" vertical="center"/>
    </xf>
    <xf numFmtId="0" fontId="82" fillId="0" borderId="2" xfId="0" quotePrefix="1" applyFont="1" applyFill="1" applyBorder="1" applyAlignment="1">
      <alignment vertical="center"/>
    </xf>
    <xf numFmtId="0" fontId="85" fillId="0" borderId="55" xfId="0" applyFont="1" applyFill="1" applyBorder="1" applyAlignment="1">
      <alignment horizontal="left" vertical="center"/>
    </xf>
    <xf numFmtId="0" fontId="85" fillId="0" borderId="57" xfId="0" applyNumberFormat="1" applyFont="1" applyFill="1" applyBorder="1" applyAlignment="1" applyProtection="1">
      <alignment horizontal="left" vertical="center"/>
    </xf>
    <xf numFmtId="0" fontId="85" fillId="0" borderId="56" xfId="0" applyNumberFormat="1" applyFont="1" applyFill="1" applyBorder="1" applyAlignment="1" applyProtection="1">
      <alignment horizontal="left" vertical="center"/>
    </xf>
    <xf numFmtId="0" fontId="86" fillId="0" borderId="55" xfId="0" applyNumberFormat="1" applyFont="1" applyFill="1" applyBorder="1" applyAlignment="1" applyProtection="1">
      <alignment horizontal="left" vertical="center" wrapText="1"/>
    </xf>
    <xf numFmtId="0" fontId="83" fillId="0" borderId="41" xfId="0" applyFont="1" applyFill="1" applyBorder="1" applyAlignment="1">
      <alignment horizontal="left"/>
    </xf>
    <xf numFmtId="0" fontId="83" fillId="0" borderId="55" xfId="0" applyFont="1" applyFill="1" applyBorder="1" applyAlignment="1">
      <alignment horizontal="left"/>
    </xf>
    <xf numFmtId="0" fontId="83" fillId="0" borderId="56" xfId="0" applyFont="1" applyFill="1" applyBorder="1" applyAlignment="1">
      <alignment horizontal="left"/>
    </xf>
    <xf numFmtId="0" fontId="83" fillId="0" borderId="3" xfId="0" applyFont="1" applyFill="1" applyBorder="1" applyAlignment="1">
      <alignment horizontal="left"/>
    </xf>
    <xf numFmtId="0" fontId="83" fillId="0" borderId="8" xfId="0" applyFont="1" applyFill="1" applyBorder="1" applyAlignment="1">
      <alignment horizontal="left"/>
    </xf>
    <xf numFmtId="0" fontId="83" fillId="0" borderId="9" xfId="0" applyFont="1" applyFill="1" applyBorder="1" applyAlignment="1">
      <alignment horizontal="left"/>
    </xf>
    <xf numFmtId="0" fontId="83" fillId="0" borderId="24" xfId="0" applyFont="1" applyFill="1" applyBorder="1" applyAlignment="1">
      <alignment horizontal="left"/>
    </xf>
    <xf numFmtId="0" fontId="83" fillId="0" borderId="25" xfId="0" applyFont="1" applyFill="1" applyBorder="1" applyAlignment="1">
      <alignment horizontal="left"/>
    </xf>
    <xf numFmtId="0" fontId="2" fillId="0" borderId="25" xfId="0" applyFont="1" applyFill="1" applyBorder="1" applyAlignment="1">
      <alignment vertical="center"/>
    </xf>
    <xf numFmtId="0" fontId="18" fillId="0" borderId="25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" fontId="48" fillId="0" borderId="50" xfId="0" applyNumberFormat="1" applyFont="1" applyFill="1" applyBorder="1" applyAlignment="1" applyProtection="1">
      <alignment horizontal="center" vertical="center" wrapText="1"/>
    </xf>
    <xf numFmtId="4" fontId="47" fillId="0" borderId="57" xfId="0" applyNumberFormat="1" applyFont="1" applyFill="1" applyBorder="1" applyAlignment="1" applyProtection="1">
      <alignment horizontal="center" vertical="center" wrapText="1"/>
    </xf>
    <xf numFmtId="4" fontId="47" fillId="0" borderId="5" xfId="0" applyNumberFormat="1" applyFont="1" applyFill="1" applyBorder="1" applyAlignment="1" applyProtection="1">
      <alignment horizontal="center" vertical="center" wrapText="1"/>
    </xf>
    <xf numFmtId="4" fontId="48" fillId="0" borderId="5" xfId="0" applyNumberFormat="1" applyFont="1" applyFill="1" applyBorder="1" applyAlignment="1" applyProtection="1">
      <alignment horizontal="center" vertical="center" wrapText="1"/>
    </xf>
    <xf numFmtId="4" fontId="47" fillId="0" borderId="56" xfId="0" applyNumberFormat="1" applyFont="1" applyFill="1" applyBorder="1" applyAlignment="1"/>
    <xf numFmtId="4" fontId="43" fillId="0" borderId="56" xfId="0" applyNumberFormat="1" applyFont="1" applyFill="1" applyBorder="1" applyAlignment="1">
      <alignment horizontal="right"/>
    </xf>
    <xf numFmtId="4" fontId="43" fillId="0" borderId="41" xfId="0" applyNumberFormat="1" applyFont="1" applyFill="1" applyBorder="1" applyAlignment="1">
      <alignment horizontal="right"/>
    </xf>
    <xf numFmtId="4" fontId="0" fillId="0" borderId="5" xfId="0" applyNumberFormat="1" applyFill="1" applyBorder="1"/>
    <xf numFmtId="4" fontId="43" fillId="0" borderId="5" xfId="0" applyNumberFormat="1" applyFont="1" applyFill="1" applyBorder="1" applyAlignment="1">
      <alignment horizontal="right"/>
    </xf>
    <xf numFmtId="4" fontId="0" fillId="0" borderId="3" xfId="0" applyNumberFormat="1" applyFill="1" applyBorder="1"/>
    <xf numFmtId="4" fontId="54" fillId="0" borderId="5" xfId="0" applyNumberFormat="1" applyFont="1" applyFill="1" applyBorder="1" applyAlignment="1" applyProtection="1">
      <alignment vertical="center" wrapText="1"/>
    </xf>
    <xf numFmtId="4" fontId="0" fillId="0" borderId="51" xfId="0" applyNumberFormat="1" applyFill="1" applyBorder="1"/>
    <xf numFmtId="4" fontId="0" fillId="0" borderId="42" xfId="0" applyNumberFormat="1" applyFill="1" applyBorder="1"/>
    <xf numFmtId="4" fontId="0" fillId="0" borderId="4" xfId="0" applyNumberFormat="1" applyFill="1" applyBorder="1"/>
    <xf numFmtId="4" fontId="0" fillId="0" borderId="56" xfId="0" applyNumberFormat="1" applyFill="1" applyBorder="1"/>
    <xf numFmtId="4" fontId="47" fillId="0" borderId="8" xfId="0" applyNumberFormat="1" applyFont="1" applyFill="1" applyBorder="1" applyAlignment="1" applyProtection="1">
      <alignment horizontal="center" vertical="center" wrapText="1"/>
    </xf>
    <xf numFmtId="4" fontId="47" fillId="0" borderId="10" xfId="0" applyNumberFormat="1" applyFont="1" applyFill="1" applyBorder="1" applyAlignment="1" applyProtection="1">
      <alignment horizontal="center" vertical="center" wrapText="1"/>
    </xf>
    <xf numFmtId="4" fontId="48" fillId="0" borderId="11" xfId="0" applyNumberFormat="1" applyFont="1" applyFill="1" applyBorder="1" applyAlignment="1" applyProtection="1">
      <alignment horizontal="center" vertical="center" wrapText="1"/>
    </xf>
    <xf numFmtId="4" fontId="48" fillId="0" borderId="12" xfId="0" applyNumberFormat="1" applyFont="1" applyFill="1" applyBorder="1" applyAlignment="1" applyProtection="1">
      <alignment horizontal="center" vertical="center" wrapText="1"/>
    </xf>
    <xf numFmtId="4" fontId="0" fillId="0" borderId="19" xfId="0" applyNumberFormat="1" applyFill="1" applyBorder="1"/>
    <xf numFmtId="4" fontId="0" fillId="0" borderId="23" xfId="0" applyNumberFormat="1" applyFill="1" applyBorder="1"/>
    <xf numFmtId="4" fontId="0" fillId="0" borderId="24" xfId="0" applyNumberFormat="1" applyFill="1" applyBorder="1"/>
    <xf numFmtId="4" fontId="47" fillId="0" borderId="56" xfId="0" applyNumberFormat="1" applyFont="1" applyFill="1" applyBorder="1" applyAlignment="1" applyProtection="1">
      <alignment horizontal="center" vertical="center" wrapText="1"/>
    </xf>
    <xf numFmtId="4" fontId="48" fillId="0" borderId="4" xfId="0" applyNumberFormat="1" applyFont="1" applyFill="1" applyBorder="1" applyAlignment="1" applyProtection="1">
      <alignment horizontal="center" vertical="center" wrapText="1"/>
    </xf>
    <xf numFmtId="4" fontId="0" fillId="0" borderId="41" xfId="0" applyNumberFormat="1" applyFill="1" applyBorder="1"/>
    <xf numFmtId="4" fontId="55" fillId="0" borderId="5" xfId="0" applyNumberFormat="1" applyFont="1" applyFill="1" applyBorder="1" applyAlignment="1">
      <alignment vertical="top" wrapText="1"/>
    </xf>
    <xf numFmtId="0" fontId="18" fillId="0" borderId="13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0" fontId="0" fillId="0" borderId="43" xfId="0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66" fillId="0" borderId="67" xfId="0" applyFont="1" applyFill="1" applyBorder="1" applyAlignment="1">
      <alignment horizontal="center" vertical="center"/>
    </xf>
    <xf numFmtId="0" fontId="66" fillId="0" borderId="69" xfId="0" applyFont="1" applyFill="1" applyBorder="1" applyAlignment="1">
      <alignment horizontal="center" vertical="center"/>
    </xf>
    <xf numFmtId="0" fontId="66" fillId="0" borderId="68" xfId="0" applyFont="1" applyFill="1" applyBorder="1" applyAlignment="1">
      <alignment horizontal="center" vertical="center"/>
    </xf>
    <xf numFmtId="43" fontId="8" fillId="0" borderId="17" xfId="1" applyFont="1" applyFill="1" applyBorder="1" applyAlignment="1">
      <alignment horizontal="center" vertical="center" wrapText="1"/>
    </xf>
    <xf numFmtId="43" fontId="8" fillId="0" borderId="62" xfId="1" applyFont="1" applyFill="1" applyBorder="1" applyAlignment="1">
      <alignment horizontal="center" vertical="center" wrapText="1"/>
    </xf>
    <xf numFmtId="43" fontId="8" fillId="0" borderId="67" xfId="1" applyFont="1" applyFill="1" applyBorder="1" applyAlignment="1">
      <alignment horizontal="center" vertical="center" wrapText="1"/>
    </xf>
    <xf numFmtId="43" fontId="8" fillId="0" borderId="61" xfId="1" applyFont="1" applyFill="1" applyBorder="1" applyAlignment="1">
      <alignment horizontal="center" vertical="center" wrapText="1"/>
    </xf>
    <xf numFmtId="43" fontId="8" fillId="0" borderId="47" xfId="1" applyFont="1" applyFill="1" applyBorder="1" applyAlignment="1">
      <alignment horizontal="center" vertical="center" wrapText="1"/>
    </xf>
    <xf numFmtId="43" fontId="8" fillId="0" borderId="34" xfId="1" applyFont="1" applyFill="1" applyBorder="1" applyAlignment="1">
      <alignment horizontal="center" vertical="center" wrapText="1"/>
    </xf>
    <xf numFmtId="43" fontId="7" fillId="4" borderId="126" xfId="1" applyFont="1" applyFill="1" applyBorder="1" applyAlignment="1">
      <alignment horizontal="center" vertical="center" wrapText="1"/>
    </xf>
    <xf numFmtId="43" fontId="7" fillId="4" borderId="123" xfId="1" applyFont="1" applyFill="1" applyBorder="1" applyAlignment="1">
      <alignment horizontal="center" vertical="center" wrapText="1"/>
    </xf>
    <xf numFmtId="43" fontId="7" fillId="9" borderId="172" xfId="1" applyFont="1" applyFill="1" applyBorder="1" applyAlignment="1">
      <alignment horizontal="center" vertical="center" wrapText="1"/>
    </xf>
    <xf numFmtId="43" fontId="7" fillId="9" borderId="173" xfId="1" applyFont="1" applyFill="1" applyBorder="1" applyAlignment="1">
      <alignment horizontal="center" vertical="center" wrapText="1"/>
    </xf>
    <xf numFmtId="43" fontId="27" fillId="13" borderId="43" xfId="1" applyFont="1" applyFill="1" applyBorder="1" applyAlignment="1">
      <alignment horizontal="center" vertical="center" wrapText="1"/>
    </xf>
    <xf numFmtId="43" fontId="27" fillId="13" borderId="66" xfId="1" applyFont="1" applyFill="1" applyBorder="1" applyAlignment="1">
      <alignment horizontal="center" vertical="center" wrapText="1"/>
    </xf>
    <xf numFmtId="43" fontId="27" fillId="13" borderId="70" xfId="1" applyFont="1" applyFill="1" applyBorder="1" applyAlignment="1">
      <alignment horizontal="center" vertical="center" wrapText="1"/>
    </xf>
    <xf numFmtId="43" fontId="27" fillId="7" borderId="121" xfId="1" applyFont="1" applyFill="1" applyBorder="1" applyAlignment="1">
      <alignment horizontal="center" vertical="center" wrapText="1"/>
    </xf>
    <xf numFmtId="43" fontId="27" fillId="7" borderId="123" xfId="1" applyFont="1" applyFill="1" applyBorder="1" applyAlignment="1">
      <alignment horizontal="center" vertical="center" wrapText="1"/>
    </xf>
    <xf numFmtId="43" fontId="27" fillId="7" borderId="103" xfId="1" applyFont="1" applyFill="1" applyBorder="1" applyAlignment="1">
      <alignment horizontal="center" vertical="center"/>
    </xf>
    <xf numFmtId="43" fontId="27" fillId="7" borderId="115" xfId="1" applyFont="1" applyFill="1" applyBorder="1" applyAlignment="1">
      <alignment horizontal="center" vertical="center"/>
    </xf>
    <xf numFmtId="43" fontId="27" fillId="7" borderId="47" xfId="1" applyFont="1" applyFill="1" applyBorder="1" applyAlignment="1">
      <alignment horizontal="center" vertical="center" wrapText="1"/>
    </xf>
    <xf numFmtId="43" fontId="27" fillId="7" borderId="48" xfId="1" applyFont="1" applyFill="1" applyBorder="1" applyAlignment="1">
      <alignment horizontal="center" vertical="center" wrapText="1"/>
    </xf>
    <xf numFmtId="43" fontId="27" fillId="7" borderId="67" xfId="1" applyFont="1" applyFill="1" applyBorder="1" applyAlignment="1">
      <alignment horizontal="center" vertical="center" wrapText="1"/>
    </xf>
    <xf numFmtId="43" fontId="27" fillId="7" borderId="68" xfId="1" applyFont="1" applyFill="1" applyBorder="1" applyAlignment="1">
      <alignment horizontal="center" vertical="center" wrapText="1"/>
    </xf>
    <xf numFmtId="43" fontId="7" fillId="9" borderId="174" xfId="1" applyFont="1" applyFill="1" applyBorder="1" applyAlignment="1">
      <alignment horizontal="center" vertical="center" wrapText="1"/>
    </xf>
    <xf numFmtId="43" fontId="7" fillId="9" borderId="167" xfId="1" applyFont="1" applyFill="1" applyBorder="1" applyAlignment="1">
      <alignment horizontal="center" vertical="center" wrapText="1"/>
    </xf>
    <xf numFmtId="164" fontId="5" fillId="0" borderId="43" xfId="1" applyNumberFormat="1" applyFont="1" applyFill="1" applyBorder="1" applyAlignment="1">
      <alignment horizontal="center" vertical="center"/>
    </xf>
    <xf numFmtId="164" fontId="5" fillId="0" borderId="39" xfId="1" applyNumberFormat="1" applyFont="1" applyFill="1" applyBorder="1" applyAlignment="1">
      <alignment horizontal="center" vertical="center"/>
    </xf>
    <xf numFmtId="43" fontId="2" fillId="0" borderId="67" xfId="1" applyFont="1" applyFill="1" applyBorder="1" applyAlignment="1">
      <alignment horizontal="center" vertical="center"/>
    </xf>
    <xf numFmtId="43" fontId="2" fillId="0" borderId="61" xfId="1" applyFont="1" applyFill="1" applyBorder="1" applyAlignment="1">
      <alignment horizontal="center" vertical="center"/>
    </xf>
    <xf numFmtId="43" fontId="7" fillId="4" borderId="18" xfId="1" applyFont="1" applyFill="1" applyBorder="1" applyAlignment="1">
      <alignment horizontal="center" vertical="center" wrapText="1"/>
    </xf>
    <xf numFmtId="43" fontId="7" fillId="4" borderId="110" xfId="1" applyFont="1" applyFill="1" applyBorder="1" applyAlignment="1">
      <alignment horizontal="center" vertical="center" wrapText="1"/>
    </xf>
    <xf numFmtId="43" fontId="27" fillId="4" borderId="67" xfId="1" applyFont="1" applyFill="1" applyBorder="1" applyAlignment="1">
      <alignment horizontal="center" vertical="center" wrapText="1"/>
    </xf>
    <xf numFmtId="43" fontId="27" fillId="4" borderId="69" xfId="1" applyFont="1" applyFill="1" applyBorder="1" applyAlignment="1">
      <alignment horizontal="center" vertical="center" wrapText="1"/>
    </xf>
    <xf numFmtId="43" fontId="27" fillId="4" borderId="68" xfId="1" applyFont="1" applyFill="1" applyBorder="1" applyAlignment="1">
      <alignment horizontal="center" vertical="center" wrapText="1"/>
    </xf>
    <xf numFmtId="43" fontId="7" fillId="9" borderId="121" xfId="1" applyFont="1" applyFill="1" applyBorder="1" applyAlignment="1">
      <alignment horizontal="center" vertical="center" wrapText="1"/>
    </xf>
    <xf numFmtId="43" fontId="7" fillId="9" borderId="123" xfId="1" applyFont="1" applyFill="1" applyBorder="1" applyAlignment="1">
      <alignment horizontal="center" vertical="center" wrapText="1"/>
    </xf>
    <xf numFmtId="43" fontId="7" fillId="4" borderId="66" xfId="1" applyFont="1" applyFill="1" applyBorder="1" applyAlignment="1">
      <alignment horizontal="center" vertical="center" wrapText="1"/>
    </xf>
    <xf numFmtId="43" fontId="7" fillId="4" borderId="106" xfId="1" applyFont="1" applyFill="1" applyBorder="1" applyAlignment="1">
      <alignment horizontal="center" vertical="center" wrapText="1"/>
    </xf>
    <xf numFmtId="43" fontId="7" fillId="4" borderId="48" xfId="1" applyFont="1" applyFill="1" applyBorder="1" applyAlignment="1">
      <alignment horizontal="center" vertical="center" wrapText="1"/>
    </xf>
    <xf numFmtId="43" fontId="7" fillId="4" borderId="66" xfId="1" applyFont="1" applyFill="1" applyBorder="1" applyAlignment="1">
      <alignment horizontal="center" vertical="center"/>
    </xf>
    <xf numFmtId="43" fontId="7" fillId="4" borderId="70" xfId="1" applyFont="1" applyFill="1" applyBorder="1" applyAlignment="1">
      <alignment horizontal="center" vertical="center"/>
    </xf>
    <xf numFmtId="43" fontId="36" fillId="9" borderId="103" xfId="1" applyFont="1" applyFill="1" applyBorder="1" applyAlignment="1">
      <alignment horizontal="center" vertical="center" wrapText="1"/>
    </xf>
    <xf numFmtId="43" fontId="36" fillId="9" borderId="115" xfId="1" applyFont="1" applyFill="1" applyBorder="1" applyAlignment="1">
      <alignment horizontal="center" vertical="center" wrapText="1"/>
    </xf>
    <xf numFmtId="43" fontId="27" fillId="3" borderId="47" xfId="1" applyFont="1" applyFill="1" applyBorder="1" applyAlignment="1">
      <alignment horizontal="center" vertical="center" wrapText="1"/>
    </xf>
    <xf numFmtId="43" fontId="27" fillId="3" borderId="18" xfId="1" applyFont="1" applyFill="1" applyBorder="1" applyAlignment="1">
      <alignment horizontal="center" vertical="center" wrapText="1"/>
    </xf>
    <xf numFmtId="43" fontId="27" fillId="3" borderId="48" xfId="1" applyFont="1" applyFill="1" applyBorder="1" applyAlignment="1">
      <alignment horizontal="center" vertical="center" wrapText="1"/>
    </xf>
    <xf numFmtId="43" fontId="27" fillId="13" borderId="67" xfId="1" applyFont="1" applyFill="1" applyBorder="1" applyAlignment="1">
      <alignment horizontal="center" vertical="center" wrapText="1"/>
    </xf>
    <xf numFmtId="43" fontId="27" fillId="13" borderId="69" xfId="1" applyFont="1" applyFill="1" applyBorder="1" applyAlignment="1">
      <alignment horizontal="center" vertical="center" wrapText="1"/>
    </xf>
    <xf numFmtId="43" fontId="27" fillId="13" borderId="68" xfId="1" applyFont="1" applyFill="1" applyBorder="1" applyAlignment="1">
      <alignment horizontal="center" vertical="center" wrapText="1"/>
    </xf>
    <xf numFmtId="43" fontId="7" fillId="4" borderId="14" xfId="1" applyFont="1" applyFill="1" applyBorder="1" applyAlignment="1">
      <alignment horizontal="center" wrapText="1"/>
    </xf>
    <xf numFmtId="43" fontId="27" fillId="0" borderId="67" xfId="1" applyFont="1" applyFill="1" applyBorder="1" applyAlignment="1">
      <alignment horizontal="center" vertical="center" wrapText="1"/>
    </xf>
    <xf numFmtId="43" fontId="27" fillId="0" borderId="69" xfId="1" applyFont="1" applyFill="1" applyBorder="1" applyAlignment="1">
      <alignment horizontal="center" vertical="center" wrapText="1"/>
    </xf>
    <xf numFmtId="43" fontId="27" fillId="0" borderId="68" xfId="1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/>
    </xf>
    <xf numFmtId="43" fontId="7" fillId="9" borderId="43" xfId="1" applyFont="1" applyFill="1" applyBorder="1" applyAlignment="1">
      <alignment horizontal="center" wrapText="1"/>
    </xf>
    <xf numFmtId="43" fontId="7" fillId="9" borderId="17" xfId="1" applyFont="1" applyFill="1" applyBorder="1" applyAlignment="1">
      <alignment horizontal="center" wrapText="1"/>
    </xf>
    <xf numFmtId="43" fontId="7" fillId="9" borderId="47" xfId="1" applyFont="1" applyFill="1" applyBorder="1" applyAlignment="1">
      <alignment horizontal="center" wrapText="1"/>
    </xf>
    <xf numFmtId="43" fontId="27" fillId="7" borderId="43" xfId="1" applyFont="1" applyFill="1" applyBorder="1" applyAlignment="1">
      <alignment horizontal="center" wrapText="1"/>
    </xf>
    <xf numFmtId="43" fontId="27" fillId="7" borderId="17" xfId="1" applyFont="1" applyFill="1" applyBorder="1" applyAlignment="1">
      <alignment horizontal="center" wrapText="1"/>
    </xf>
    <xf numFmtId="43" fontId="27" fillId="7" borderId="47" xfId="1" applyFont="1" applyFill="1" applyBorder="1" applyAlignment="1">
      <alignment horizontal="center" wrapText="1"/>
    </xf>
    <xf numFmtId="43" fontId="7" fillId="9" borderId="170" xfId="1" applyFont="1" applyFill="1" applyBorder="1" applyAlignment="1">
      <alignment horizontal="center" vertical="center" wrapText="1"/>
    </xf>
    <xf numFmtId="43" fontId="7" fillId="9" borderId="171" xfId="1" applyFont="1" applyFill="1" applyBorder="1" applyAlignment="1">
      <alignment horizontal="center" vertical="center" wrapText="1"/>
    </xf>
    <xf numFmtId="43" fontId="27" fillId="7" borderId="103" xfId="1" applyFont="1" applyFill="1" applyBorder="1" applyAlignment="1">
      <alignment horizontal="center" vertical="center" wrapText="1"/>
    </xf>
    <xf numFmtId="43" fontId="27" fillId="7" borderId="115" xfId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71" fillId="0" borderId="13" xfId="0" applyFont="1" applyFill="1" applyBorder="1" applyAlignment="1">
      <alignment horizontal="center"/>
    </xf>
    <xf numFmtId="0" fontId="71" fillId="0" borderId="63" xfId="0" applyFont="1" applyFill="1" applyBorder="1" applyAlignment="1">
      <alignment horizontal="center"/>
    </xf>
    <xf numFmtId="43" fontId="28" fillId="0" borderId="70" xfId="1" applyFont="1" applyFill="1" applyBorder="1" applyAlignment="1">
      <alignment horizontal="center" vertical="center" wrapText="1"/>
    </xf>
    <xf numFmtId="43" fontId="28" fillId="0" borderId="35" xfId="1" applyFont="1" applyFill="1" applyBorder="1" applyAlignment="1">
      <alignment horizontal="center" vertical="center" wrapText="1"/>
    </xf>
    <xf numFmtId="43" fontId="28" fillId="0" borderId="48" xfId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right"/>
    </xf>
    <xf numFmtId="43" fontId="25" fillId="11" borderId="67" xfId="1" applyFont="1" applyFill="1" applyBorder="1" applyAlignment="1">
      <alignment horizontal="center" vertical="center" wrapText="1"/>
    </xf>
    <xf numFmtId="43" fontId="25" fillId="11" borderId="69" xfId="1" applyFont="1" applyFill="1" applyBorder="1" applyAlignment="1">
      <alignment horizontal="center" vertical="center" wrapText="1"/>
    </xf>
    <xf numFmtId="43" fontId="25" fillId="11" borderId="68" xfId="1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0" fontId="5" fillId="0" borderId="44" xfId="0" applyFont="1" applyFill="1" applyBorder="1" applyAlignment="1">
      <alignment horizontal="center" vertical="center"/>
    </xf>
    <xf numFmtId="0" fontId="5" fillId="0" borderId="74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43" fontId="21" fillId="0" borderId="67" xfId="1" applyFont="1" applyFill="1" applyBorder="1" applyAlignment="1">
      <alignment horizontal="center" vertical="center" wrapText="1"/>
    </xf>
    <xf numFmtId="43" fontId="21" fillId="0" borderId="69" xfId="1" applyFont="1" applyFill="1" applyBorder="1" applyAlignment="1">
      <alignment horizontal="center" vertical="center" wrapText="1"/>
    </xf>
    <xf numFmtId="43" fontId="21" fillId="0" borderId="68" xfId="1" applyFont="1" applyFill="1" applyBorder="1" applyAlignment="1">
      <alignment horizontal="center" vertical="center" wrapText="1"/>
    </xf>
    <xf numFmtId="43" fontId="21" fillId="6" borderId="161" xfId="1" applyFont="1" applyFill="1" applyBorder="1" applyAlignment="1">
      <alignment horizontal="center" vertical="center" wrapText="1"/>
    </xf>
    <xf numFmtId="43" fontId="21" fillId="6" borderId="27" xfId="1" applyFont="1" applyFill="1" applyBorder="1" applyAlignment="1">
      <alignment horizontal="center" vertical="center" wrapText="1"/>
    </xf>
    <xf numFmtId="43" fontId="21" fillId="6" borderId="162" xfId="1" applyFont="1" applyFill="1" applyBorder="1" applyAlignment="1">
      <alignment horizontal="center" vertical="center" wrapText="1"/>
    </xf>
    <xf numFmtId="43" fontId="21" fillId="4" borderId="13" xfId="1" applyFont="1" applyFill="1" applyBorder="1" applyAlignment="1">
      <alignment horizontal="center" vertical="center" wrapText="1"/>
    </xf>
    <xf numFmtId="43" fontId="21" fillId="4" borderId="14" xfId="1" applyFont="1" applyFill="1" applyBorder="1" applyAlignment="1">
      <alignment horizontal="center" vertical="center" wrapText="1"/>
    </xf>
    <xf numFmtId="43" fontId="21" fillId="12" borderId="128" xfId="1" applyFont="1" applyFill="1" applyBorder="1" applyAlignment="1">
      <alignment horizontal="center" vertical="center"/>
    </xf>
    <xf numFmtId="43" fontId="21" fillId="12" borderId="14" xfId="1" applyFont="1" applyFill="1" applyBorder="1" applyAlignment="1">
      <alignment horizontal="center" vertical="center"/>
    </xf>
    <xf numFmtId="43" fontId="21" fillId="12" borderId="143" xfId="1" applyFont="1" applyFill="1" applyBorder="1" applyAlignment="1">
      <alignment horizontal="center" vertical="center"/>
    </xf>
    <xf numFmtId="43" fontId="21" fillId="13" borderId="128" xfId="1" applyFont="1" applyFill="1" applyBorder="1" applyAlignment="1">
      <alignment horizontal="center" vertical="center" wrapText="1"/>
    </xf>
    <xf numFmtId="43" fontId="21" fillId="13" borderId="14" xfId="1" applyFont="1" applyFill="1" applyBorder="1" applyAlignment="1">
      <alignment horizontal="center" vertical="center" wrapText="1"/>
    </xf>
    <xf numFmtId="43" fontId="21" fillId="13" borderId="143" xfId="1" applyFont="1" applyFill="1" applyBorder="1" applyAlignment="1">
      <alignment horizontal="center" vertical="center" wrapText="1"/>
    </xf>
    <xf numFmtId="43" fontId="21" fillId="5" borderId="128" xfId="1" applyFont="1" applyFill="1" applyBorder="1" applyAlignment="1">
      <alignment horizontal="center" vertical="center" wrapText="1"/>
    </xf>
    <xf numFmtId="43" fontId="21" fillId="5" borderId="14" xfId="1" applyFont="1" applyFill="1" applyBorder="1" applyAlignment="1">
      <alignment horizontal="center" vertical="center" wrapText="1"/>
    </xf>
    <xf numFmtId="43" fontId="21" fillId="5" borderId="143" xfId="1" applyFont="1" applyFill="1" applyBorder="1" applyAlignment="1">
      <alignment horizontal="center" vertical="center" wrapText="1"/>
    </xf>
    <xf numFmtId="43" fontId="21" fillId="0" borderId="128" xfId="1" applyFont="1" applyFill="1" applyBorder="1" applyAlignment="1">
      <alignment horizontal="center" vertical="center" wrapText="1"/>
    </xf>
    <xf numFmtId="43" fontId="21" fillId="0" borderId="15" xfId="1" applyFont="1" applyFill="1" applyBorder="1" applyAlignment="1">
      <alignment horizontal="center" vertical="center" wrapText="1"/>
    </xf>
    <xf numFmtId="43" fontId="21" fillId="0" borderId="13" xfId="1" applyFont="1" applyFill="1" applyBorder="1" applyAlignment="1">
      <alignment horizontal="center" vertical="center" wrapText="1"/>
    </xf>
    <xf numFmtId="43" fontId="21" fillId="0" borderId="14" xfId="1" applyFont="1" applyFill="1" applyBorder="1" applyAlignment="1">
      <alignment horizontal="center" vertical="center" wrapText="1"/>
    </xf>
    <xf numFmtId="43" fontId="21" fillId="0" borderId="30" xfId="1" applyFont="1" applyFill="1" applyBorder="1" applyAlignment="1">
      <alignment horizontal="center" vertical="center" wrapText="1"/>
    </xf>
    <xf numFmtId="43" fontId="21" fillId="0" borderId="27" xfId="1" applyFont="1" applyFill="1" applyBorder="1" applyAlignment="1">
      <alignment horizontal="center" vertical="center" wrapText="1"/>
    </xf>
    <xf numFmtId="43" fontId="21" fillId="0" borderId="13" xfId="1" applyFont="1" applyFill="1" applyBorder="1" applyAlignment="1">
      <alignment horizontal="center" vertical="center"/>
    </xf>
    <xf numFmtId="43" fontId="21" fillId="0" borderId="14" xfId="1" applyFont="1" applyFill="1" applyBorder="1" applyAlignment="1">
      <alignment horizontal="center" vertical="center"/>
    </xf>
    <xf numFmtId="43" fontId="21" fillId="0" borderId="15" xfId="1" applyFont="1" applyFill="1" applyBorder="1" applyAlignment="1">
      <alignment horizontal="center" vertical="center"/>
    </xf>
    <xf numFmtId="0" fontId="48" fillId="0" borderId="1" xfId="0" quotePrefix="1" applyFont="1" applyBorder="1" applyAlignment="1">
      <alignment horizontal="center" wrapText="1"/>
    </xf>
    <xf numFmtId="0" fontId="48" fillId="0" borderId="5" xfId="0" quotePrefix="1" applyFont="1" applyBorder="1" applyAlignment="1">
      <alignment horizontal="center" wrapText="1"/>
    </xf>
    <xf numFmtId="0" fontId="40" fillId="0" borderId="0" xfId="0" applyNumberFormat="1" applyFont="1" applyFill="1" applyBorder="1" applyAlignment="1" applyProtection="1">
      <alignment horizontal="center" vertical="center" wrapText="1"/>
    </xf>
    <xf numFmtId="0" fontId="45" fillId="0" borderId="0" xfId="0" applyNumberFormat="1" applyFont="1" applyFill="1" applyBorder="1" applyAlignment="1" applyProtection="1">
      <alignment horizontal="left" vertical="center" wrapText="1"/>
    </xf>
    <xf numFmtId="0" fontId="47" fillId="0" borderId="1" xfId="0" quotePrefix="1" applyFont="1" applyBorder="1" applyAlignment="1">
      <alignment horizontal="center" vertical="center" wrapText="1"/>
    </xf>
    <xf numFmtId="0" fontId="47" fillId="4" borderId="5" xfId="0" quotePrefix="1" applyFont="1" applyFill="1" applyBorder="1" applyAlignment="1">
      <alignment horizontal="left" wrapText="1"/>
    </xf>
    <xf numFmtId="0" fontId="47" fillId="4" borderId="6" xfId="0" quotePrefix="1" applyFont="1" applyFill="1" applyBorder="1" applyAlignment="1">
      <alignment horizontal="left" wrapText="1"/>
    </xf>
    <xf numFmtId="0" fontId="47" fillId="4" borderId="33" xfId="0" quotePrefix="1" applyFont="1" applyFill="1" applyBorder="1" applyAlignment="1">
      <alignment horizontal="left" wrapText="1"/>
    </xf>
    <xf numFmtId="0" fontId="45" fillId="0" borderId="5" xfId="0" applyNumberFormat="1" applyFont="1" applyFill="1" applyBorder="1" applyAlignment="1" applyProtection="1">
      <alignment horizontal="left" vertical="center" wrapText="1"/>
    </xf>
    <xf numFmtId="0" fontId="49" fillId="0" borderId="6" xfId="0" applyNumberFormat="1" applyFont="1" applyFill="1" applyBorder="1" applyAlignment="1" applyProtection="1">
      <alignment vertical="center" wrapText="1"/>
    </xf>
    <xf numFmtId="0" fontId="49" fillId="0" borderId="6" xfId="0" applyNumberFormat="1" applyFont="1" applyFill="1" applyBorder="1" applyAlignment="1" applyProtection="1">
      <alignment vertical="center"/>
    </xf>
    <xf numFmtId="0" fontId="45" fillId="0" borderId="5" xfId="0" quotePrefix="1" applyFont="1" applyFill="1" applyBorder="1" applyAlignment="1">
      <alignment horizontal="left" vertical="center"/>
    </xf>
    <xf numFmtId="0" fontId="45" fillId="4" borderId="5" xfId="0" applyNumberFormat="1" applyFont="1" applyFill="1" applyBorder="1" applyAlignment="1" applyProtection="1">
      <alignment horizontal="left" vertical="center" wrapText="1"/>
    </xf>
    <xf numFmtId="0" fontId="49" fillId="4" borderId="6" xfId="0" applyNumberFormat="1" applyFont="1" applyFill="1" applyBorder="1" applyAlignment="1" applyProtection="1">
      <alignment vertical="center" wrapText="1"/>
    </xf>
    <xf numFmtId="0" fontId="49" fillId="4" borderId="6" xfId="0" applyNumberFormat="1" applyFont="1" applyFill="1" applyBorder="1" applyAlignment="1" applyProtection="1">
      <alignment vertical="center"/>
    </xf>
    <xf numFmtId="0" fontId="45" fillId="0" borderId="5" xfId="0" quotePrefix="1" applyNumberFormat="1" applyFont="1" applyFill="1" applyBorder="1" applyAlignment="1" applyProtection="1">
      <alignment horizontal="left" vertical="center" wrapText="1"/>
    </xf>
    <xf numFmtId="0" fontId="45" fillId="0" borderId="5" xfId="0" quotePrefix="1" applyFont="1" applyBorder="1" applyAlignment="1">
      <alignment horizontal="left" vertical="center"/>
    </xf>
    <xf numFmtId="0" fontId="45" fillId="4" borderId="5" xfId="0" quotePrefix="1" applyNumberFormat="1" applyFont="1" applyFill="1" applyBorder="1" applyAlignment="1" applyProtection="1">
      <alignment horizontal="left" vertical="center" wrapText="1"/>
    </xf>
    <xf numFmtId="0" fontId="48" fillId="0" borderId="5" xfId="0" quotePrefix="1" applyFont="1" applyBorder="1" applyAlignment="1">
      <alignment horizontal="center" vertical="center" wrapText="1"/>
    </xf>
    <xf numFmtId="0" fontId="48" fillId="0" borderId="6" xfId="0" quotePrefix="1" applyFont="1" applyBorder="1" applyAlignment="1">
      <alignment horizontal="center" vertical="center" wrapText="1"/>
    </xf>
    <xf numFmtId="0" fontId="45" fillId="0" borderId="6" xfId="0" applyNumberFormat="1" applyFont="1" applyFill="1" applyBorder="1" applyAlignment="1" applyProtection="1">
      <alignment horizontal="left" vertical="center" wrapText="1"/>
    </xf>
    <xf numFmtId="0" fontId="45" fillId="0" borderId="0" xfId="0" applyNumberFormat="1" applyFont="1" applyFill="1" applyBorder="1" applyAlignment="1" applyProtection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47" fillId="4" borderId="1" xfId="0" quotePrefix="1" applyFont="1" applyFill="1" applyBorder="1" applyAlignment="1">
      <alignment horizontal="left" vertical="center" wrapText="1"/>
    </xf>
    <xf numFmtId="0" fontId="48" fillId="0" borderId="4" xfId="0" applyNumberFormat="1" applyFont="1" applyFill="1" applyBorder="1" applyAlignment="1" applyProtection="1">
      <alignment horizontal="center" vertical="center" wrapText="1"/>
    </xf>
    <xf numFmtId="0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47" fillId="0" borderId="5" xfId="0" applyNumberFormat="1" applyFont="1" applyFill="1" applyBorder="1" applyAlignment="1" applyProtection="1">
      <alignment horizontal="center" vertical="center" wrapText="1"/>
    </xf>
    <xf numFmtId="0" fontId="47" fillId="0" borderId="6" xfId="0" applyNumberFormat="1" applyFont="1" applyFill="1" applyBorder="1" applyAlignment="1" applyProtection="1">
      <alignment horizontal="center" vertical="center" wrapText="1"/>
    </xf>
    <xf numFmtId="0" fontId="47" fillId="0" borderId="33" xfId="0" applyNumberFormat="1" applyFont="1" applyFill="1" applyBorder="1" applyAlignment="1" applyProtection="1">
      <alignment horizontal="center" vertical="center" wrapText="1"/>
    </xf>
    <xf numFmtId="0" fontId="48" fillId="0" borderId="5" xfId="0" applyNumberFormat="1" applyFont="1" applyFill="1" applyBorder="1" applyAlignment="1" applyProtection="1">
      <alignment horizontal="center" vertical="center" wrapText="1"/>
    </xf>
    <xf numFmtId="0" fontId="48" fillId="0" borderId="6" xfId="0" applyNumberFormat="1" applyFont="1" applyFill="1" applyBorder="1" applyAlignment="1" applyProtection="1">
      <alignment horizontal="center" vertical="center" wrapText="1"/>
    </xf>
    <xf numFmtId="0" fontId="48" fillId="0" borderId="33" xfId="0" applyNumberFormat="1" applyFont="1" applyFill="1" applyBorder="1" applyAlignment="1" applyProtection="1">
      <alignment horizontal="center" vertical="center" wrapText="1"/>
    </xf>
    <xf numFmtId="0" fontId="47" fillId="0" borderId="13" xfId="0" applyNumberFormat="1" applyFont="1" applyFill="1" applyBorder="1" applyAlignment="1" applyProtection="1">
      <alignment horizontal="center" vertical="center" wrapText="1"/>
    </xf>
    <xf numFmtId="0" fontId="47" fillId="0" borderId="14" xfId="0" applyNumberFormat="1" applyFont="1" applyFill="1" applyBorder="1" applyAlignment="1" applyProtection="1">
      <alignment horizontal="center" vertical="center" wrapText="1"/>
    </xf>
    <xf numFmtId="0" fontId="47" fillId="0" borderId="63" xfId="0" applyNumberFormat="1" applyFont="1" applyFill="1" applyBorder="1" applyAlignment="1" applyProtection="1">
      <alignment horizontal="center" vertical="center" wrapText="1"/>
    </xf>
    <xf numFmtId="0" fontId="47" fillId="4" borderId="5" xfId="0" applyNumberFormat="1" applyFont="1" applyFill="1" applyBorder="1" applyAlignment="1" applyProtection="1">
      <alignment horizontal="center" vertical="center" wrapText="1"/>
    </xf>
    <xf numFmtId="0" fontId="47" fillId="4" borderId="6" xfId="0" applyNumberFormat="1" applyFont="1" applyFill="1" applyBorder="1" applyAlignment="1" applyProtection="1">
      <alignment horizontal="center" vertical="center" wrapText="1"/>
    </xf>
    <xf numFmtId="0" fontId="47" fillId="4" borderId="33" xfId="0" applyNumberFormat="1" applyFont="1" applyFill="1" applyBorder="1" applyAlignment="1" applyProtection="1">
      <alignment horizontal="center" vertical="center" wrapText="1"/>
    </xf>
    <xf numFmtId="0" fontId="43" fillId="2" borderId="5" xfId="0" applyNumberFormat="1" applyFont="1" applyFill="1" applyBorder="1" applyAlignment="1" applyProtection="1">
      <alignment horizontal="left" vertical="center" wrapText="1"/>
    </xf>
    <xf numFmtId="0" fontId="43" fillId="2" borderId="6" xfId="0" applyNumberFormat="1" applyFont="1" applyFill="1" applyBorder="1" applyAlignment="1" applyProtection="1">
      <alignment horizontal="left" vertical="center" wrapText="1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0" fontId="43" fillId="2" borderId="1" xfId="0" applyNumberFormat="1" applyFont="1" applyFill="1" applyBorder="1" applyAlignment="1" applyProtection="1">
      <alignment horizontal="left" vertical="center" wrapText="1"/>
    </xf>
    <xf numFmtId="0" fontId="56" fillId="0" borderId="0" xfId="0" applyFont="1" applyAlignment="1">
      <alignment horizontal="center"/>
    </xf>
    <xf numFmtId="0" fontId="48" fillId="4" borderId="5" xfId="0" applyNumberFormat="1" applyFont="1" applyFill="1" applyBorder="1" applyAlignment="1" applyProtection="1">
      <alignment horizontal="center" vertical="center" wrapText="1"/>
    </xf>
    <xf numFmtId="0" fontId="48" fillId="4" borderId="6" xfId="0" applyNumberFormat="1" applyFont="1" applyFill="1" applyBorder="1" applyAlignment="1" applyProtection="1">
      <alignment horizontal="center" vertical="center" wrapText="1"/>
    </xf>
    <xf numFmtId="0" fontId="48" fillId="4" borderId="33" xfId="0" applyNumberFormat="1" applyFont="1" applyFill="1" applyBorder="1" applyAlignment="1" applyProtection="1">
      <alignment horizontal="center" vertical="center" wrapText="1"/>
    </xf>
  </cellXfs>
  <cellStyles count="2">
    <cellStyle name="Normalno" xfId="0" builtinId="0"/>
    <cellStyle name="Zarez" xfId="1" builtinId="3"/>
  </cellStyles>
  <dxfs count="0"/>
  <tableStyles count="0" defaultTableStyle="TableStyleMedium9" defaultPivotStyle="PivotStyleLight16"/>
  <colors>
    <mruColors>
      <color rgb="FF33CCFF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15"/>
  <sheetViews>
    <sheetView topLeftCell="AR190" zoomScaleNormal="100" workbookViewId="0">
      <selection activeCell="N219" sqref="A219:XFD223"/>
    </sheetView>
  </sheetViews>
  <sheetFormatPr defaultRowHeight="15" x14ac:dyDescent="0.25"/>
  <cols>
    <col min="1" max="1" width="8" style="1" customWidth="1"/>
    <col min="2" max="2" width="36.85546875" style="517" customWidth="1"/>
    <col min="3" max="3" width="16.7109375" style="11" customWidth="1"/>
    <col min="4" max="4" width="15.42578125" style="3" customWidth="1"/>
    <col min="5" max="5" width="16.5703125" style="3" customWidth="1"/>
    <col min="6" max="6" width="15.85546875" style="7" customWidth="1"/>
    <col min="7" max="7" width="13.5703125" style="11" customWidth="1"/>
    <col min="8" max="8" width="13.85546875" style="50" customWidth="1"/>
    <col min="9" max="10" width="13.85546875" style="58" customWidth="1"/>
    <col min="11" max="11" width="13.5703125" style="11" customWidth="1"/>
    <col min="12" max="13" width="13.85546875" style="58" customWidth="1"/>
    <col min="14" max="14" width="13.85546875" style="50" customWidth="1"/>
    <col min="15" max="16" width="13.85546875" style="58" customWidth="1"/>
    <col min="17" max="17" width="13.5703125" style="11" customWidth="1"/>
    <col min="18" max="18" width="13.85546875" style="50" customWidth="1"/>
    <col min="19" max="20" width="13.85546875" style="58" customWidth="1"/>
    <col min="21" max="21" width="13.5703125" style="11" customWidth="1"/>
    <col min="22" max="23" width="13.85546875" style="58" customWidth="1"/>
    <col min="24" max="24" width="13.85546875" style="50" customWidth="1"/>
    <col min="25" max="26" width="13.85546875" style="58" customWidth="1"/>
    <col min="27" max="27" width="13.5703125" style="11" customWidth="1"/>
    <col min="28" max="28" width="13.85546875" style="50" customWidth="1"/>
    <col min="29" max="30" width="13.85546875" style="58" customWidth="1"/>
    <col min="31" max="31" width="13.5703125" style="11" customWidth="1"/>
    <col min="32" max="32" width="13.85546875" style="50" customWidth="1"/>
    <col min="33" max="34" width="13.85546875" style="58" customWidth="1"/>
    <col min="35" max="35" width="13.5703125" style="11" customWidth="1"/>
    <col min="36" max="36" width="13.85546875" style="50" customWidth="1"/>
    <col min="37" max="38" width="13.85546875" style="58" customWidth="1"/>
    <col min="39" max="39" width="13.5703125" style="11" customWidth="1"/>
    <col min="40" max="40" width="13.85546875" style="50" customWidth="1"/>
    <col min="41" max="42" width="13.85546875" style="58" customWidth="1"/>
    <col min="43" max="43" width="13.5703125" style="11" customWidth="1"/>
    <col min="44" max="44" width="13.85546875" style="50" customWidth="1"/>
    <col min="45" max="46" width="13.85546875" style="58" customWidth="1"/>
    <col min="47" max="47" width="13.5703125" style="11" customWidth="1"/>
    <col min="48" max="49" width="13.85546875" style="58" customWidth="1"/>
    <col min="50" max="50" width="13.85546875" style="50" customWidth="1"/>
    <col min="51" max="52" width="13.85546875" style="58" customWidth="1"/>
    <col min="53" max="54" width="13.85546875" style="50" customWidth="1"/>
    <col min="55" max="56" width="13.85546875" style="58" customWidth="1"/>
    <col min="57" max="57" width="12.5703125" style="19" customWidth="1"/>
    <col min="58" max="58" width="14.42578125" style="518" bestFit="1" customWidth="1"/>
    <col min="59" max="59" width="11.85546875" style="213" bestFit="1" customWidth="1"/>
    <col min="60" max="60" width="11.7109375" style="213" bestFit="1" customWidth="1"/>
    <col min="61" max="61" width="10.140625" style="532" bestFit="1" customWidth="1"/>
    <col min="62" max="63" width="9.140625" style="213"/>
    <col min="64" max="64" width="11.7109375" style="213" bestFit="1" customWidth="1"/>
    <col min="65" max="65" width="9.140625" style="213"/>
  </cols>
  <sheetData>
    <row r="1" spans="1:65" s="22" customFormat="1" x14ac:dyDescent="0.25">
      <c r="A1" s="25" t="s">
        <v>155</v>
      </c>
      <c r="B1" s="495"/>
      <c r="C1" s="25"/>
      <c r="D1" s="25"/>
      <c r="E1" s="25"/>
      <c r="F1" s="21"/>
      <c r="G1" s="11"/>
      <c r="H1" s="50"/>
      <c r="I1" s="50"/>
      <c r="J1" s="50"/>
      <c r="K1" s="11"/>
      <c r="L1" s="50"/>
      <c r="M1" s="50"/>
      <c r="N1" s="50"/>
      <c r="O1" s="50"/>
      <c r="P1" s="50"/>
      <c r="Q1" s="11"/>
      <c r="R1" s="50"/>
      <c r="S1" s="50"/>
      <c r="T1" s="50"/>
      <c r="U1" s="11"/>
      <c r="V1" s="50"/>
      <c r="W1" s="50"/>
      <c r="X1" s="50"/>
      <c r="Y1" s="50"/>
      <c r="Z1" s="50"/>
      <c r="AA1" s="11"/>
      <c r="AB1" s="50"/>
      <c r="AC1" s="50"/>
      <c r="AD1" s="50"/>
      <c r="AE1" s="11"/>
      <c r="AF1" s="50"/>
      <c r="AG1" s="50"/>
      <c r="AH1" s="50"/>
      <c r="AI1" s="11"/>
      <c r="AJ1" s="50"/>
      <c r="AK1" s="50"/>
      <c r="AL1" s="50"/>
      <c r="AM1" s="11"/>
      <c r="AN1" s="50"/>
      <c r="AO1" s="50"/>
      <c r="AP1" s="50"/>
      <c r="AQ1" s="11"/>
      <c r="AR1" s="50"/>
      <c r="AS1" s="50"/>
      <c r="AT1" s="50"/>
      <c r="AU1" s="11"/>
      <c r="AV1" s="50"/>
      <c r="AW1" s="50"/>
      <c r="AX1" s="50"/>
      <c r="AY1" s="50"/>
      <c r="AZ1" s="50"/>
      <c r="BA1" s="50"/>
      <c r="BB1" s="50"/>
      <c r="BC1" s="50"/>
      <c r="BD1" s="50"/>
      <c r="BE1" s="25"/>
      <c r="BF1" s="518"/>
      <c r="BG1" s="484"/>
      <c r="BH1" s="484"/>
      <c r="BI1" s="527"/>
      <c r="BJ1" s="484"/>
      <c r="BK1" s="484"/>
      <c r="BL1" s="484"/>
      <c r="BM1" s="484"/>
    </row>
    <row r="2" spans="1:65" s="22" customFormat="1" x14ac:dyDescent="0.25">
      <c r="A2" s="26" t="s">
        <v>156</v>
      </c>
      <c r="B2" s="496"/>
      <c r="C2" s="26"/>
      <c r="D2" s="26"/>
      <c r="E2" s="26"/>
      <c r="F2" s="21"/>
      <c r="G2" s="12"/>
      <c r="H2" s="50"/>
      <c r="I2" s="50"/>
      <c r="J2" s="50"/>
      <c r="K2" s="12"/>
      <c r="L2" s="50"/>
      <c r="M2" s="50"/>
      <c r="N2" s="50"/>
      <c r="O2" s="50"/>
      <c r="P2" s="50"/>
      <c r="Q2" s="12"/>
      <c r="R2" s="50"/>
      <c r="S2" s="50"/>
      <c r="T2" s="50"/>
      <c r="U2" s="12"/>
      <c r="V2" s="50"/>
      <c r="W2" s="50"/>
      <c r="X2" s="50"/>
      <c r="Y2" s="50"/>
      <c r="Z2" s="50"/>
      <c r="AA2" s="12"/>
      <c r="AB2" s="50"/>
      <c r="AC2" s="50"/>
      <c r="AD2" s="50"/>
      <c r="AE2" s="12"/>
      <c r="AF2" s="50"/>
      <c r="AG2" s="50"/>
      <c r="AH2" s="50"/>
      <c r="AI2" s="12"/>
      <c r="AJ2" s="50"/>
      <c r="AK2" s="50"/>
      <c r="AL2" s="50"/>
      <c r="AM2" s="12"/>
      <c r="AN2" s="50"/>
      <c r="AO2" s="50"/>
      <c r="AP2" s="50"/>
      <c r="AQ2" s="12"/>
      <c r="AR2" s="50"/>
      <c r="AS2" s="50"/>
      <c r="AT2" s="50"/>
      <c r="AU2" s="12"/>
      <c r="AV2" s="50"/>
      <c r="AW2" s="50"/>
      <c r="AX2" s="50"/>
      <c r="AY2" s="50"/>
      <c r="AZ2" s="50"/>
      <c r="BA2" s="50"/>
      <c r="BB2" s="50"/>
      <c r="BC2" s="50"/>
      <c r="BD2" s="50"/>
      <c r="BE2" s="26"/>
      <c r="BF2" s="518"/>
      <c r="BG2" s="484"/>
      <c r="BH2" s="484"/>
      <c r="BI2" s="527"/>
      <c r="BJ2" s="484"/>
      <c r="BK2" s="484"/>
      <c r="BL2" s="484"/>
      <c r="BM2" s="484"/>
    </row>
    <row r="3" spans="1:65" s="22" customFormat="1" x14ac:dyDescent="0.25">
      <c r="A3" s="26"/>
      <c r="B3" s="496"/>
      <c r="C3" s="26"/>
      <c r="D3" s="26"/>
      <c r="E3" s="11"/>
      <c r="F3" s="21"/>
      <c r="G3" s="12"/>
      <c r="H3" s="50"/>
      <c r="I3" s="50"/>
      <c r="J3" s="50"/>
      <c r="K3" s="12"/>
      <c r="L3" s="50"/>
      <c r="M3" s="50"/>
      <c r="N3" s="50"/>
      <c r="O3" s="50"/>
      <c r="P3" s="107"/>
      <c r="Q3" s="12"/>
      <c r="R3" s="50"/>
      <c r="S3" s="50"/>
      <c r="T3" s="50"/>
      <c r="U3" s="12"/>
      <c r="V3" s="50"/>
      <c r="W3" s="50"/>
      <c r="X3" s="50"/>
      <c r="Y3" s="50"/>
      <c r="Z3" s="50"/>
      <c r="AA3" s="12"/>
      <c r="AB3" s="50"/>
      <c r="AC3" s="50"/>
      <c r="AD3" s="50"/>
      <c r="AE3" s="12"/>
      <c r="AF3" s="50"/>
      <c r="AG3" s="50"/>
      <c r="AH3" s="50"/>
      <c r="AI3" s="12"/>
      <c r="AJ3" s="50"/>
      <c r="AK3" s="50"/>
      <c r="AL3" s="50"/>
      <c r="AM3" s="12"/>
      <c r="AN3" s="50"/>
      <c r="AO3" s="50"/>
      <c r="AP3" s="111"/>
      <c r="AQ3" s="12"/>
      <c r="AR3" s="110"/>
      <c r="AS3" s="110"/>
      <c r="AT3" s="111"/>
      <c r="AU3" s="12"/>
      <c r="BC3" s="23"/>
      <c r="BD3" s="50"/>
      <c r="BE3" s="26"/>
      <c r="BF3" s="484"/>
      <c r="BG3" s="484"/>
      <c r="BH3" s="484"/>
      <c r="BI3" s="527"/>
      <c r="BJ3" s="484"/>
      <c r="BK3" s="484"/>
      <c r="BL3" s="484"/>
      <c r="BM3" s="484"/>
    </row>
    <row r="4" spans="1:65" s="22" customFormat="1" ht="15.75" thickBot="1" x14ac:dyDescent="0.3">
      <c r="A4" s="17"/>
      <c r="B4" s="497" t="s">
        <v>277</v>
      </c>
      <c r="C4" s="27"/>
      <c r="D4" s="27"/>
      <c r="E4" s="27"/>
      <c r="F4" s="27"/>
      <c r="G4" s="27"/>
      <c r="H4" s="50"/>
      <c r="I4" s="50"/>
      <c r="J4" s="50"/>
      <c r="K4" s="27"/>
      <c r="L4" s="50"/>
      <c r="M4" s="50"/>
      <c r="N4" s="50"/>
      <c r="O4" s="50"/>
      <c r="P4" s="50"/>
      <c r="Q4" s="27"/>
      <c r="R4" s="50"/>
      <c r="S4" s="50"/>
      <c r="T4" s="50"/>
      <c r="U4" s="27"/>
      <c r="V4" s="50"/>
      <c r="W4" s="50"/>
      <c r="X4" s="50"/>
      <c r="Y4" s="50"/>
      <c r="Z4" s="50"/>
      <c r="AA4" s="27"/>
      <c r="AB4" s="50"/>
      <c r="AC4" s="50"/>
      <c r="AD4" s="50"/>
      <c r="AE4" s="27"/>
      <c r="AF4" s="50"/>
      <c r="AG4" s="50"/>
      <c r="AH4" s="50"/>
      <c r="AI4" s="27"/>
      <c r="AJ4" s="50"/>
      <c r="AK4" s="50"/>
      <c r="AL4" s="50"/>
      <c r="AM4" s="27"/>
      <c r="AN4" s="50"/>
      <c r="AO4" s="50"/>
      <c r="AP4" s="50"/>
      <c r="AQ4" s="27"/>
      <c r="AR4" s="50"/>
      <c r="AS4" s="50"/>
      <c r="AT4" s="50"/>
      <c r="AU4" s="27"/>
      <c r="AV4" s="50"/>
      <c r="AW4" s="50"/>
      <c r="AX4" s="50"/>
      <c r="AY4" s="50"/>
      <c r="AZ4" s="50"/>
      <c r="BA4" s="50"/>
      <c r="BB4" s="50"/>
      <c r="BC4" s="110"/>
      <c r="BD4" s="50"/>
      <c r="BE4" s="18"/>
      <c r="BF4" s="234"/>
      <c r="BG4" s="484"/>
      <c r="BH4" s="484"/>
      <c r="BI4" s="527"/>
      <c r="BJ4" s="484"/>
      <c r="BK4" s="484"/>
      <c r="BL4" s="484"/>
      <c r="BM4" s="484"/>
    </row>
    <row r="5" spans="1:65" s="22" customFormat="1" ht="15.75" customHeight="1" thickBot="1" x14ac:dyDescent="0.3">
      <c r="A5" s="1829" t="s">
        <v>6</v>
      </c>
      <c r="B5" s="1832" t="s">
        <v>7</v>
      </c>
      <c r="C5" s="1835" t="s">
        <v>134</v>
      </c>
      <c r="D5" s="1837" t="s">
        <v>135</v>
      </c>
      <c r="E5" s="1839" t="s">
        <v>134</v>
      </c>
      <c r="F5" s="1858" t="s">
        <v>136</v>
      </c>
      <c r="G5" s="1860" t="s">
        <v>137</v>
      </c>
      <c r="H5" s="1882" t="s">
        <v>132</v>
      </c>
      <c r="I5" s="1882"/>
      <c r="J5" s="1882"/>
      <c r="K5" s="1882"/>
      <c r="L5" s="1882"/>
      <c r="M5" s="1882"/>
      <c r="N5" s="1887" t="s">
        <v>133</v>
      </c>
      <c r="O5" s="1888"/>
      <c r="P5" s="1888"/>
      <c r="Q5" s="1888"/>
      <c r="R5" s="1888"/>
      <c r="S5" s="1888"/>
      <c r="T5" s="1888"/>
      <c r="U5" s="1888"/>
      <c r="V5" s="1888"/>
      <c r="W5" s="1888"/>
      <c r="X5" s="1888"/>
      <c r="Y5" s="1888"/>
      <c r="Z5" s="1888"/>
      <c r="AA5" s="1889"/>
      <c r="AB5" s="1890" t="s">
        <v>213</v>
      </c>
      <c r="AC5" s="1891"/>
      <c r="AD5" s="1891"/>
      <c r="AE5" s="1891"/>
      <c r="AF5" s="1891"/>
      <c r="AG5" s="1891"/>
      <c r="AH5" s="1891"/>
      <c r="AI5" s="1891"/>
      <c r="AJ5" s="1891"/>
      <c r="AK5" s="1891"/>
      <c r="AL5" s="1891"/>
      <c r="AM5" s="1891"/>
      <c r="AN5" s="1891"/>
      <c r="AO5" s="1891"/>
      <c r="AP5" s="1891"/>
      <c r="AQ5" s="1891"/>
      <c r="AR5" s="1891"/>
      <c r="AS5" s="1891"/>
      <c r="AT5" s="1891"/>
      <c r="AU5" s="1891"/>
      <c r="AV5" s="1891"/>
      <c r="AW5" s="1892"/>
      <c r="AX5" s="1879" t="s">
        <v>362</v>
      </c>
      <c r="AY5" s="1879" t="s">
        <v>253</v>
      </c>
      <c r="AZ5" s="1845" t="s">
        <v>249</v>
      </c>
      <c r="BA5" s="1883" t="s">
        <v>418</v>
      </c>
      <c r="BB5" s="1883" t="s">
        <v>419</v>
      </c>
      <c r="BC5" s="1876" t="s">
        <v>232</v>
      </c>
      <c r="BD5" s="1864" t="s">
        <v>233</v>
      </c>
      <c r="BE5" s="1829" t="s">
        <v>6</v>
      </c>
      <c r="BF5" s="519"/>
      <c r="BG5" s="484"/>
      <c r="BH5" s="484"/>
      <c r="BI5" s="527"/>
      <c r="BJ5" s="484"/>
      <c r="BK5" s="484"/>
      <c r="BL5" s="484"/>
      <c r="BM5" s="484"/>
    </row>
    <row r="6" spans="1:65" s="28" customFormat="1" ht="26.25" customHeight="1" thickTop="1" x14ac:dyDescent="0.25">
      <c r="A6" s="1830"/>
      <c r="B6" s="1833"/>
      <c r="C6" s="1836"/>
      <c r="D6" s="1838"/>
      <c r="E6" s="1840"/>
      <c r="F6" s="1859"/>
      <c r="G6" s="1861"/>
      <c r="H6" s="1862" t="s">
        <v>367</v>
      </c>
      <c r="I6" s="1841" t="s">
        <v>223</v>
      </c>
      <c r="J6" s="1869" t="s">
        <v>214</v>
      </c>
      <c r="K6" s="413" t="s">
        <v>264</v>
      </c>
      <c r="L6" s="1862" t="s">
        <v>220</v>
      </c>
      <c r="M6" s="1872" t="s">
        <v>215</v>
      </c>
      <c r="N6" s="1411" t="s">
        <v>366</v>
      </c>
      <c r="O6" s="1409" t="s">
        <v>222</v>
      </c>
      <c r="P6" s="1410" t="s">
        <v>216</v>
      </c>
      <c r="Q6" s="1303" t="s">
        <v>265</v>
      </c>
      <c r="R6" s="1409" t="s">
        <v>365</v>
      </c>
      <c r="S6" s="1409" t="s">
        <v>224</v>
      </c>
      <c r="T6" s="1411" t="s">
        <v>234</v>
      </c>
      <c r="U6" s="1304" t="s">
        <v>266</v>
      </c>
      <c r="V6" s="1843" t="s">
        <v>235</v>
      </c>
      <c r="W6" s="1856" t="s">
        <v>236</v>
      </c>
      <c r="X6" s="1893" t="s">
        <v>364</v>
      </c>
      <c r="Y6" s="1867" t="s">
        <v>237</v>
      </c>
      <c r="Z6" s="1874" t="s">
        <v>420</v>
      </c>
      <c r="AA6" s="1416" t="s">
        <v>267</v>
      </c>
      <c r="AB6" s="1895" t="s">
        <v>363</v>
      </c>
      <c r="AC6" s="1848" t="s">
        <v>225</v>
      </c>
      <c r="AD6" s="1850" t="s">
        <v>217</v>
      </c>
      <c r="AE6" s="1346" t="s">
        <v>268</v>
      </c>
      <c r="AF6" s="1848" t="s">
        <v>361</v>
      </c>
      <c r="AG6" s="1848" t="s">
        <v>226</v>
      </c>
      <c r="AH6" s="1850" t="s">
        <v>218</v>
      </c>
      <c r="AI6" s="1346" t="s">
        <v>269</v>
      </c>
      <c r="AJ6" s="1848" t="s">
        <v>360</v>
      </c>
      <c r="AK6" s="1848" t="s">
        <v>221</v>
      </c>
      <c r="AL6" s="1850" t="s">
        <v>219</v>
      </c>
      <c r="AM6" s="1346" t="s">
        <v>270</v>
      </c>
      <c r="AN6" s="1848" t="s">
        <v>359</v>
      </c>
      <c r="AO6" s="1848" t="s">
        <v>228</v>
      </c>
      <c r="AP6" s="1850" t="s">
        <v>229</v>
      </c>
      <c r="AQ6" s="1346" t="s">
        <v>271</v>
      </c>
      <c r="AR6" s="1848" t="s">
        <v>358</v>
      </c>
      <c r="AS6" s="1848" t="s">
        <v>230</v>
      </c>
      <c r="AT6" s="1850" t="s">
        <v>231</v>
      </c>
      <c r="AU6" s="1346" t="s">
        <v>272</v>
      </c>
      <c r="AV6" s="1852" t="s">
        <v>220</v>
      </c>
      <c r="AW6" s="1854" t="s">
        <v>204</v>
      </c>
      <c r="AX6" s="1880"/>
      <c r="AY6" s="1880"/>
      <c r="AZ6" s="1846"/>
      <c r="BA6" s="1884"/>
      <c r="BB6" s="1884"/>
      <c r="BC6" s="1877"/>
      <c r="BD6" s="1865"/>
      <c r="BE6" s="1830"/>
      <c r="BF6" s="520"/>
      <c r="BG6" s="492"/>
      <c r="BH6" s="492"/>
      <c r="BI6" s="528"/>
      <c r="BJ6" s="485"/>
      <c r="BK6" s="485"/>
      <c r="BL6" s="485"/>
      <c r="BM6" s="485"/>
    </row>
    <row r="7" spans="1:65" s="28" customFormat="1" ht="25.5" customHeight="1" thickBot="1" x14ac:dyDescent="0.3">
      <c r="A7" s="1831"/>
      <c r="B7" s="1834"/>
      <c r="C7" s="272" t="s">
        <v>278</v>
      </c>
      <c r="D7" s="258" t="s">
        <v>261</v>
      </c>
      <c r="E7" s="259" t="s">
        <v>279</v>
      </c>
      <c r="F7" s="260" t="s">
        <v>262</v>
      </c>
      <c r="G7" s="1563" t="s">
        <v>138</v>
      </c>
      <c r="H7" s="1863"/>
      <c r="I7" s="1842"/>
      <c r="J7" s="1870"/>
      <c r="K7" s="257" t="s">
        <v>138</v>
      </c>
      <c r="L7" s="1871"/>
      <c r="M7" s="1873"/>
      <c r="N7" s="1414"/>
      <c r="O7" s="1412"/>
      <c r="P7" s="1413"/>
      <c r="Q7" s="1305" t="s">
        <v>138</v>
      </c>
      <c r="R7" s="1412"/>
      <c r="S7" s="1412"/>
      <c r="T7" s="1414"/>
      <c r="U7" s="1306" t="s">
        <v>138</v>
      </c>
      <c r="V7" s="1844"/>
      <c r="W7" s="1857"/>
      <c r="X7" s="1894"/>
      <c r="Y7" s="1868"/>
      <c r="Z7" s="1875"/>
      <c r="AA7" s="1417" t="s">
        <v>138</v>
      </c>
      <c r="AB7" s="1896"/>
      <c r="AC7" s="1849"/>
      <c r="AD7" s="1851"/>
      <c r="AE7" s="1347" t="s">
        <v>138</v>
      </c>
      <c r="AF7" s="1849"/>
      <c r="AG7" s="1849"/>
      <c r="AH7" s="1851"/>
      <c r="AI7" s="1347" t="s">
        <v>138</v>
      </c>
      <c r="AJ7" s="1849"/>
      <c r="AK7" s="1849"/>
      <c r="AL7" s="1851"/>
      <c r="AM7" s="1347" t="s">
        <v>138</v>
      </c>
      <c r="AN7" s="1849"/>
      <c r="AO7" s="1849"/>
      <c r="AP7" s="1851"/>
      <c r="AQ7" s="1347" t="s">
        <v>138</v>
      </c>
      <c r="AR7" s="1849"/>
      <c r="AS7" s="1849"/>
      <c r="AT7" s="1851"/>
      <c r="AU7" s="1347" t="s">
        <v>138</v>
      </c>
      <c r="AV7" s="1853"/>
      <c r="AW7" s="1855"/>
      <c r="AX7" s="1881"/>
      <c r="AY7" s="1881"/>
      <c r="AZ7" s="1847"/>
      <c r="BA7" s="1885"/>
      <c r="BB7" s="1885"/>
      <c r="BC7" s="1878"/>
      <c r="BD7" s="1866"/>
      <c r="BE7" s="1831"/>
      <c r="BF7" s="521"/>
      <c r="BG7" s="492"/>
      <c r="BH7" s="492"/>
      <c r="BI7" s="528"/>
      <c r="BJ7" s="485"/>
      <c r="BK7" s="485"/>
      <c r="BL7" s="485"/>
      <c r="BM7" s="485"/>
    </row>
    <row r="8" spans="1:65" s="1464" customFormat="1" ht="15.75" thickBot="1" x14ac:dyDescent="0.3">
      <c r="A8" s="1897" t="s">
        <v>172</v>
      </c>
      <c r="B8" s="1898"/>
      <c r="C8" s="1898"/>
      <c r="D8" s="1898"/>
      <c r="E8" s="1898"/>
      <c r="F8" s="1898"/>
      <c r="G8" s="1899"/>
      <c r="H8" s="1886"/>
      <c r="I8" s="1886"/>
      <c r="J8" s="1886"/>
      <c r="K8" s="1886"/>
      <c r="L8" s="1886"/>
      <c r="M8" s="1886"/>
      <c r="N8" s="1462"/>
      <c r="O8" s="1283"/>
      <c r="P8" s="1283"/>
      <c r="Q8" s="1283"/>
      <c r="R8" s="1283"/>
      <c r="S8" s="1283"/>
      <c r="T8" s="1283"/>
      <c r="U8" s="1283"/>
      <c r="V8" s="1284"/>
      <c r="W8" s="1284"/>
      <c r="X8" s="1283"/>
      <c r="Y8" s="1283"/>
      <c r="Z8" s="1283"/>
      <c r="AA8" s="1463"/>
      <c r="AB8" s="1902"/>
      <c r="AC8" s="1903"/>
      <c r="AD8" s="1903"/>
      <c r="AE8" s="1903"/>
      <c r="AF8" s="1903"/>
      <c r="AG8" s="1903"/>
      <c r="AH8" s="1903"/>
      <c r="AI8" s="1903"/>
      <c r="AJ8" s="1903"/>
      <c r="AK8" s="1903"/>
      <c r="AL8" s="1903"/>
      <c r="AM8" s="1903"/>
      <c r="AN8" s="1903"/>
      <c r="AO8" s="1903"/>
      <c r="AP8" s="1903"/>
      <c r="AQ8" s="1903"/>
      <c r="AR8" s="1903"/>
      <c r="AS8" s="1903"/>
      <c r="AT8" s="1903"/>
      <c r="AU8" s="1903"/>
      <c r="AV8" s="1903"/>
      <c r="AW8" s="1904"/>
      <c r="AX8" s="1457"/>
      <c r="AY8" s="1284"/>
      <c r="AZ8" s="1284"/>
      <c r="BA8" s="1457"/>
      <c r="BB8" s="1285"/>
      <c r="BC8" s="1284"/>
      <c r="BD8" s="1285"/>
      <c r="BE8" s="128" t="s">
        <v>172</v>
      </c>
      <c r="BF8" s="521"/>
      <c r="BG8" s="492"/>
      <c r="BH8" s="492"/>
      <c r="BI8" s="528"/>
      <c r="BJ8" s="492"/>
      <c r="BK8" s="492"/>
      <c r="BL8" s="492"/>
      <c r="BM8" s="492"/>
    </row>
    <row r="9" spans="1:65" x14ac:dyDescent="0.25">
      <c r="A9" s="62">
        <v>636120</v>
      </c>
      <c r="B9" s="498" t="s">
        <v>9</v>
      </c>
      <c r="C9" s="75">
        <f>H9+N9+R9+X9+AB9+AF9+AJ9+AN9+AR9+AX9</f>
        <v>1170864.5285022231</v>
      </c>
      <c r="D9" s="64">
        <f>BC9</f>
        <v>1369097</v>
      </c>
      <c r="E9" s="239">
        <f>BD9</f>
        <v>1223548.6900000002</v>
      </c>
      <c r="F9" s="240">
        <f>IF(C9&lt;&gt;0,E9/C9*100,0)</f>
        <v>104.49959497578863</v>
      </c>
      <c r="G9" s="241">
        <f>IF(D9&lt;&gt;0,E9/D9*100,0)</f>
        <v>89.369028637123606</v>
      </c>
      <c r="H9" s="126">
        <f>'izvršenje PO IZVORIMA-detaljno'!C8</f>
        <v>889078.33565598237</v>
      </c>
      <c r="I9" s="126">
        <f>'izvršenje PO IZVORIMA-detaljno'!D8</f>
        <v>1130067</v>
      </c>
      <c r="J9" s="127">
        <f>'izvršenje PO IZVORIMA-detaljno'!E8</f>
        <v>1053794.9300000002</v>
      </c>
      <c r="K9" s="1286">
        <f t="shared" ref="K9:K24" si="0">IF(I9&lt;&gt;0,J9/I9*100,0)</f>
        <v>93.250659474172778</v>
      </c>
      <c r="L9" s="104"/>
      <c r="M9" s="105"/>
      <c r="N9" s="1307">
        <f>'izvršenje PO IZVORIMA-detaljno'!V11</f>
        <v>0</v>
      </c>
      <c r="O9" s="1307">
        <f>'izvršenje PO IZVORIMA-detaljno'!W11</f>
        <v>0</v>
      </c>
      <c r="P9" s="1308">
        <f>'izvršenje PO IZVORIMA-detaljno'!X8</f>
        <v>0</v>
      </c>
      <c r="Q9" s="1309">
        <f t="shared" ref="Q9:Q24" si="1">IF(O9&lt;&gt;0,P9/O9*100,0)</f>
        <v>0</v>
      </c>
      <c r="R9" s="1308">
        <f>'izvršenje PO IZVORIMA-detaljno'!Y8</f>
        <v>0</v>
      </c>
      <c r="S9" s="1310"/>
      <c r="T9" s="1308">
        <f>'izvršenje PO IZVORIMA-detaljno'!AA8</f>
        <v>0</v>
      </c>
      <c r="U9" s="1309">
        <f t="shared" ref="U9:U24" si="2">IF(S9&lt;&gt;0,T9/S9*100,0)</f>
        <v>0</v>
      </c>
      <c r="V9" s="1310"/>
      <c r="W9" s="1311"/>
      <c r="X9" s="1307">
        <f>'izvršenje PO IZVORIMA-detaljno'!AH8+'izvršenje PO IZVORIMA-detaljno'!AK8+'izvršenje PO IZVORIMA-detaljno'!AA8</f>
        <v>0</v>
      </c>
      <c r="Y9" s="1307">
        <f>'izvršenje PO IZVORIMA-detaljno'!AI8+'izvršenje PO IZVORIMA-detaljno'!AL8+'izvršenje PO IZVORIMA-detaljno'!AB8</f>
        <v>0</v>
      </c>
      <c r="Z9" s="1311"/>
      <c r="AA9" s="1309">
        <f t="shared" ref="AA9:AA24" si="3">IF(Y9&lt;&gt;0,Z9/Y9*100,0)</f>
        <v>0</v>
      </c>
      <c r="AB9" s="1425">
        <f>'izvršenje PO IZVORIMA-detaljno'!F8+'izvršenje PO IZVORIMA-detaljno'!L8</f>
        <v>108278.99927002455</v>
      </c>
      <c r="AC9" s="1349">
        <f>'izvršenje PO IZVORIMA-detaljno'!G8+'izvršenje PO IZVORIMA-detaljno'!M8</f>
        <v>1330</v>
      </c>
      <c r="AD9" s="1348">
        <f>'izvršenje PO IZVORIMA-detaljno'!H8+'izvršenje PO IZVORIMA-detaljno'!N8</f>
        <v>174.68</v>
      </c>
      <c r="AE9" s="1350">
        <f t="shared" ref="AE9:AE24" si="4">IF(AC9&lt;&gt;0,AD9/AC9*100,0)</f>
        <v>13.133834586466167</v>
      </c>
      <c r="AF9" s="1348">
        <f>'izvršenje PO IZVORIMA-detaljno'!I8+'izvršenje PO IZVORIMA-detaljno'!O8</f>
        <v>173507.19357621606</v>
      </c>
      <c r="AG9" s="1351">
        <f>'izvršenje PO IZVORIMA-detaljno'!J8+'izvršenje PO IZVORIMA-detaljno'!P8</f>
        <v>237700</v>
      </c>
      <c r="AH9" s="1348">
        <f>'izvršenje PO IZVORIMA-detaljno'!K8+'izvršenje PO IZVORIMA-detaljno'!Q8</f>
        <v>169579.08000000002</v>
      </c>
      <c r="AI9" s="1350">
        <f t="shared" ref="AI9:AI24" si="5">IF(AG9&lt;&gt;0,AH9/AG9*100,0)</f>
        <v>71.341640723601188</v>
      </c>
      <c r="AJ9" s="1349">
        <f>'izvršenje PO IZVORIMA-detaljno'!R8</f>
        <v>0</v>
      </c>
      <c r="AK9" s="1349">
        <f>'izvršenje PO IZVORIMA-detaljno'!S8</f>
        <v>0</v>
      </c>
      <c r="AL9" s="1348">
        <f>'izvršenje PO IZVORIMA-detaljno'!T8+'izvršenje PO IZVORIMA-detaljno'!U8</f>
        <v>0</v>
      </c>
      <c r="AM9" s="1350">
        <f t="shared" ref="AM9:AM24" si="6">IF(AK9&lt;&gt;0,AL9/AK9*100,0)</f>
        <v>0</v>
      </c>
      <c r="AN9" s="1351">
        <f>'izvršenje PO IZVORIMA-detaljno'!AN8</f>
        <v>0</v>
      </c>
      <c r="AO9" s="1351">
        <f>'izvršenje PO IZVORIMA-detaljno'!AO8</f>
        <v>0</v>
      </c>
      <c r="AP9" s="1348">
        <f>'izvršenje PO IZVORIMA-detaljno'!AP8</f>
        <v>0</v>
      </c>
      <c r="AQ9" s="1350">
        <f t="shared" ref="AQ9:AQ24" si="7">IF(AO9&lt;&gt;0,AP9/AO9*100,0)</f>
        <v>0</v>
      </c>
      <c r="AR9" s="1351">
        <f>'izvršenje PO IZVORIMA-detaljno'!AQ8</f>
        <v>0</v>
      </c>
      <c r="AS9" s="1351">
        <f>'izvršenje PO IZVORIMA-detaljno'!AR8</f>
        <v>0</v>
      </c>
      <c r="AT9" s="1348">
        <f>'izvršenje PO IZVORIMA-detaljno'!AS8</f>
        <v>0</v>
      </c>
      <c r="AU9" s="1350">
        <f t="shared" ref="AU9:AU24" si="8">IF(AS9&lt;&gt;0,AT9/AS9*100,0)</f>
        <v>0</v>
      </c>
      <c r="AV9" s="1352"/>
      <c r="AW9" s="1353"/>
      <c r="AX9" s="1433">
        <f>'izvršenje PO IZVORIMA-detaljno'!AT8</f>
        <v>0</v>
      </c>
      <c r="AY9" s="1399">
        <f>'izvršenje PO IZVORIMA-detaljno'!AU8</f>
        <v>0</v>
      </c>
      <c r="AZ9" s="1443"/>
      <c r="BA9" s="181">
        <f>'izvršenje PO IZVORIMA-detaljno'!AW8</f>
        <v>0</v>
      </c>
      <c r="BB9" s="409"/>
      <c r="BC9" s="129">
        <f>AV9+AS9+AO9+AK9+AG9+AC9+Y9+V9+S9+O9+L9+I9+AY9</f>
        <v>1369097</v>
      </c>
      <c r="BD9" s="126">
        <f>J9+M9+P9+T9+W9+Z9+AD9+AH9+AL9+AP9+AT9+AW9</f>
        <v>1223548.6900000002</v>
      </c>
      <c r="BE9" s="44">
        <v>636120</v>
      </c>
      <c r="BG9" s="484"/>
      <c r="BH9" s="484"/>
      <c r="BI9" s="527"/>
    </row>
    <row r="10" spans="1:65" x14ac:dyDescent="0.25">
      <c r="A10" s="44">
        <v>636130</v>
      </c>
      <c r="B10" s="499" t="s">
        <v>207</v>
      </c>
      <c r="C10" s="75">
        <f t="shared" ref="C10:C27" si="9">H10+N10+R10+X10+AB10+AF10+AJ10+AN10+AR10+AX10</f>
        <v>0</v>
      </c>
      <c r="D10" s="8">
        <f t="shared" ref="D10:D27" si="10">BC10</f>
        <v>664</v>
      </c>
      <c r="E10" s="120">
        <f t="shared" ref="E10:E24" si="11">BD10</f>
        <v>0</v>
      </c>
      <c r="F10" s="235">
        <f t="shared" ref="F10:F76" si="12">IF(C10&lt;&gt;0,E10/C10*100,0)</f>
        <v>0</v>
      </c>
      <c r="G10" s="237">
        <f t="shared" ref="G10:G76" si="13">IF(D10&lt;&gt;0,E10/D10*100,0)</f>
        <v>0</v>
      </c>
      <c r="H10" s="124"/>
      <c r="I10" s="123">
        <f>'izvršenje PO IZVORIMA-detaljno'!D9</f>
        <v>664</v>
      </c>
      <c r="J10" s="51"/>
      <c r="K10" s="1287">
        <f t="shared" si="0"/>
        <v>0</v>
      </c>
      <c r="L10" s="52"/>
      <c r="M10" s="51"/>
      <c r="N10" s="1312">
        <f>'izvršenje PO IZVORIMA-detaljno'!V12</f>
        <v>0</v>
      </c>
      <c r="O10" s="1312">
        <f>'izvršenje PO IZVORIMA-detaljno'!W12</f>
        <v>0</v>
      </c>
      <c r="P10" s="1308">
        <f>'izvršenje PO IZVORIMA-detaljno'!X9</f>
        <v>0</v>
      </c>
      <c r="Q10" s="1313">
        <f t="shared" si="1"/>
        <v>0</v>
      </c>
      <c r="R10" s="1308">
        <f>'izvršenje PO IZVORIMA-detaljno'!Y9</f>
        <v>0</v>
      </c>
      <c r="S10" s="1314"/>
      <c r="T10" s="1308">
        <f>'izvršenje PO IZVORIMA-detaljno'!AA9</f>
        <v>0</v>
      </c>
      <c r="U10" s="1313">
        <f t="shared" si="2"/>
        <v>0</v>
      </c>
      <c r="V10" s="1314"/>
      <c r="W10" s="1315"/>
      <c r="X10" s="1307">
        <f>'izvršenje PO IZVORIMA-detaljno'!AH9+'izvršenje PO IZVORIMA-detaljno'!AK9+'izvršenje PO IZVORIMA-detaljno'!AA9</f>
        <v>0</v>
      </c>
      <c r="Y10" s="1307">
        <f>'izvršenje PO IZVORIMA-detaljno'!AI9+'izvršenje PO IZVORIMA-detaljno'!AL9+'izvršenje PO IZVORIMA-detaljno'!AB9</f>
        <v>0</v>
      </c>
      <c r="Z10" s="1315"/>
      <c r="AA10" s="1313">
        <f t="shared" si="3"/>
        <v>0</v>
      </c>
      <c r="AB10" s="1425">
        <f>'izvršenje PO IZVORIMA-detaljno'!F9+'izvršenje PO IZVORIMA-detaljno'!L9</f>
        <v>0</v>
      </c>
      <c r="AC10" s="1354">
        <f>'izvršenje PO IZVORIMA-detaljno'!G9+'izvršenje PO IZVORIMA-detaljno'!M9</f>
        <v>0</v>
      </c>
      <c r="AD10" s="1348">
        <f>'izvršenje PO IZVORIMA-detaljno'!H9+'izvršenje PO IZVORIMA-detaljno'!N9</f>
        <v>0</v>
      </c>
      <c r="AE10" s="1355">
        <f t="shared" si="4"/>
        <v>0</v>
      </c>
      <c r="AF10" s="1348">
        <f>'izvršenje PO IZVORIMA-detaljno'!I9+'izvršenje PO IZVORIMA-detaljno'!O9</f>
        <v>0</v>
      </c>
      <c r="AG10" s="1356">
        <f>'izvršenje PO IZVORIMA-detaljno'!J9+'izvršenje PO IZVORIMA-detaljno'!P9</f>
        <v>0</v>
      </c>
      <c r="AH10" s="1348">
        <f>'izvršenje PO IZVORIMA-detaljno'!K9+'izvršenje PO IZVORIMA-detaljno'!Q9</f>
        <v>0</v>
      </c>
      <c r="AI10" s="1355">
        <f t="shared" si="5"/>
        <v>0</v>
      </c>
      <c r="AJ10" s="1354">
        <f>'izvršenje PO IZVORIMA-detaljno'!R9</f>
        <v>0</v>
      </c>
      <c r="AK10" s="1354">
        <f>'izvršenje PO IZVORIMA-detaljno'!S9</f>
        <v>0</v>
      </c>
      <c r="AL10" s="1348">
        <f>'izvršenje PO IZVORIMA-detaljno'!T9+'izvršenje PO IZVORIMA-detaljno'!U9</f>
        <v>0</v>
      </c>
      <c r="AM10" s="1355">
        <f t="shared" si="6"/>
        <v>0</v>
      </c>
      <c r="AN10" s="1351">
        <f>'izvršenje PO IZVORIMA-detaljno'!AN9</f>
        <v>0</v>
      </c>
      <c r="AO10" s="1351">
        <f>'izvršenje PO IZVORIMA-detaljno'!AO9</f>
        <v>0</v>
      </c>
      <c r="AP10" s="1348">
        <f>'izvršenje PO IZVORIMA-detaljno'!AP9</f>
        <v>0</v>
      </c>
      <c r="AQ10" s="1355">
        <f t="shared" si="7"/>
        <v>0</v>
      </c>
      <c r="AR10" s="1351">
        <f>'izvršenje PO IZVORIMA-detaljno'!AQ9</f>
        <v>0</v>
      </c>
      <c r="AS10" s="1351">
        <f>'izvršenje PO IZVORIMA-detaljno'!AR9</f>
        <v>0</v>
      </c>
      <c r="AT10" s="1348">
        <f>'izvršenje PO IZVORIMA-detaljno'!AS9</f>
        <v>0</v>
      </c>
      <c r="AU10" s="1355">
        <f t="shared" si="8"/>
        <v>0</v>
      </c>
      <c r="AV10" s="1357"/>
      <c r="AW10" s="1358"/>
      <c r="AX10" s="1433">
        <f>'izvršenje PO IZVORIMA-detaljno'!AT9</f>
        <v>0</v>
      </c>
      <c r="AY10" s="1399">
        <f>'izvršenje PO IZVORIMA-detaljno'!AU9</f>
        <v>0</v>
      </c>
      <c r="AZ10" s="1444"/>
      <c r="BA10" s="181">
        <f>'izvršenje PO IZVORIMA-detaljno'!AW9</f>
        <v>0</v>
      </c>
      <c r="BB10" s="178"/>
      <c r="BC10" s="129">
        <f>AV10+AS10+AO10+AK10+AG10+AC10+Y10+V10+S10+O10+L10+I10+AY10</f>
        <v>664</v>
      </c>
      <c r="BD10" s="126">
        <f>J10+M10+P10+T10+W10+Z10+AD10+AH10+AL10+AP10+AT10+AW10</f>
        <v>0</v>
      </c>
      <c r="BE10" s="44">
        <v>636130</v>
      </c>
      <c r="BG10" s="484"/>
      <c r="BH10" s="484"/>
      <c r="BI10" s="527"/>
    </row>
    <row r="11" spans="1:65" ht="15.75" thickBot="1" x14ac:dyDescent="0.3">
      <c r="A11" s="47">
        <v>636220</v>
      </c>
      <c r="B11" s="500" t="s">
        <v>9</v>
      </c>
      <c r="C11" s="75">
        <f t="shared" si="9"/>
        <v>1659.0351051828256</v>
      </c>
      <c r="D11" s="8">
        <f t="shared" si="10"/>
        <v>54952</v>
      </c>
      <c r="E11" s="120">
        <f t="shared" si="11"/>
        <v>598</v>
      </c>
      <c r="F11" s="242">
        <f t="shared" si="12"/>
        <v>36.045048000000001</v>
      </c>
      <c r="G11" s="243">
        <f t="shared" si="13"/>
        <v>1.0882224486824865</v>
      </c>
      <c r="H11" s="1559">
        <f>'izvršenje PO IZVORIMA-detaljno'!C10</f>
        <v>1659.0351051828256</v>
      </c>
      <c r="I11" s="123">
        <f>'izvršenje PO IZVORIMA-detaljno'!D10</f>
        <v>2827</v>
      </c>
      <c r="J11" s="215">
        <f>'izvršenje PO IZVORIMA-detaljno'!E10</f>
        <v>598</v>
      </c>
      <c r="K11" s="1288">
        <f t="shared" si="0"/>
        <v>21.153165900247611</v>
      </c>
      <c r="L11" s="100"/>
      <c r="M11" s="101"/>
      <c r="N11" s="1312">
        <f>'izvršenje PO IZVORIMA-detaljno'!V13</f>
        <v>0</v>
      </c>
      <c r="O11" s="1312">
        <f>'izvršenje PO IZVORIMA-detaljno'!W13</f>
        <v>0</v>
      </c>
      <c r="P11" s="1308">
        <f>'izvršenje PO IZVORIMA-detaljno'!X10</f>
        <v>0</v>
      </c>
      <c r="Q11" s="1316">
        <f t="shared" si="1"/>
        <v>0</v>
      </c>
      <c r="R11" s="1308">
        <f>'izvršenje PO IZVORIMA-detaljno'!Y10</f>
        <v>0</v>
      </c>
      <c r="S11" s="1317"/>
      <c r="T11" s="1308">
        <f>'izvršenje PO IZVORIMA-detaljno'!AA10</f>
        <v>0</v>
      </c>
      <c r="U11" s="1316">
        <f t="shared" si="2"/>
        <v>0</v>
      </c>
      <c r="V11" s="1317"/>
      <c r="W11" s="1318"/>
      <c r="X11" s="1307">
        <f>'izvršenje PO IZVORIMA-detaljno'!AH10+'izvršenje PO IZVORIMA-detaljno'!AK10+'izvršenje PO IZVORIMA-detaljno'!AA10</f>
        <v>0</v>
      </c>
      <c r="Y11" s="1307">
        <f>'izvršenje PO IZVORIMA-detaljno'!AI10+'izvršenje PO IZVORIMA-detaljno'!AL10+'izvršenje PO IZVORIMA-detaljno'!AB10</f>
        <v>0</v>
      </c>
      <c r="Z11" s="1318"/>
      <c r="AA11" s="1316">
        <f t="shared" si="3"/>
        <v>0</v>
      </c>
      <c r="AB11" s="1425">
        <f>'izvršenje PO IZVORIMA-detaljno'!F10+'izvršenje PO IZVORIMA-detaljno'!L10</f>
        <v>0</v>
      </c>
      <c r="AC11" s="1354">
        <f>'izvršenje PO IZVORIMA-detaljno'!M10+'izvršenje PO IZVORIMA-detaljno'!G10</f>
        <v>7545</v>
      </c>
      <c r="AD11" s="1348">
        <f>'izvršenje PO IZVORIMA-detaljno'!H10+'izvršenje PO IZVORIMA-detaljno'!N10</f>
        <v>0</v>
      </c>
      <c r="AE11" s="1359">
        <f t="shared" si="4"/>
        <v>0</v>
      </c>
      <c r="AF11" s="1348">
        <f>'izvršenje PO IZVORIMA-detaljno'!I10+'izvršenje PO IZVORIMA-detaljno'!O10</f>
        <v>0</v>
      </c>
      <c r="AG11" s="1356">
        <f>'izvršenje PO IZVORIMA-detaljno'!J10+'izvršenje PO IZVORIMA-detaljno'!P10</f>
        <v>44580</v>
      </c>
      <c r="AH11" s="1348">
        <f>'izvršenje PO IZVORIMA-detaljno'!K10+'izvršenje PO IZVORIMA-detaljno'!Q10</f>
        <v>0</v>
      </c>
      <c r="AI11" s="1359">
        <f t="shared" si="5"/>
        <v>0</v>
      </c>
      <c r="AJ11" s="1354">
        <f>'izvršenje PO IZVORIMA-detaljno'!R10</f>
        <v>0</v>
      </c>
      <c r="AK11" s="1354">
        <f>'izvršenje PO IZVORIMA-detaljno'!S10</f>
        <v>0</v>
      </c>
      <c r="AL11" s="1348">
        <f>'izvršenje PO IZVORIMA-detaljno'!T10+'izvršenje PO IZVORIMA-detaljno'!U10</f>
        <v>0</v>
      </c>
      <c r="AM11" s="1359">
        <f t="shared" si="6"/>
        <v>0</v>
      </c>
      <c r="AN11" s="1351">
        <f>'izvršenje PO IZVORIMA-detaljno'!AN10</f>
        <v>0</v>
      </c>
      <c r="AO11" s="1351">
        <f>'izvršenje PO IZVORIMA-detaljno'!AO10</f>
        <v>0</v>
      </c>
      <c r="AP11" s="1348">
        <f>'izvršenje PO IZVORIMA-detaljno'!AP10</f>
        <v>0</v>
      </c>
      <c r="AQ11" s="1359">
        <f t="shared" si="7"/>
        <v>0</v>
      </c>
      <c r="AR11" s="1351">
        <f>'izvršenje PO IZVORIMA-detaljno'!AQ10</f>
        <v>0</v>
      </c>
      <c r="AS11" s="1351">
        <f>'izvršenje PO IZVORIMA-detaljno'!AR10</f>
        <v>0</v>
      </c>
      <c r="AT11" s="1348">
        <f>'izvršenje PO IZVORIMA-detaljno'!AS10</f>
        <v>0</v>
      </c>
      <c r="AU11" s="1359">
        <f t="shared" si="8"/>
        <v>0</v>
      </c>
      <c r="AV11" s="1360"/>
      <c r="AW11" s="1361"/>
      <c r="AX11" s="1433">
        <f>'izvršenje PO IZVORIMA-detaljno'!AT10</f>
        <v>0</v>
      </c>
      <c r="AY11" s="1399">
        <f>'izvršenje PO IZVORIMA-detaljno'!AU10</f>
        <v>0</v>
      </c>
      <c r="AZ11" s="1445"/>
      <c r="BA11" s="181">
        <f>'izvršenje PO IZVORIMA-detaljno'!AW10</f>
        <v>0</v>
      </c>
      <c r="BB11" s="1407"/>
      <c r="BC11" s="129">
        <f>AV11+AS11+AO11+AK11+AG11+AC11+Y11+V11+S11+O11+L11+I11+AY11</f>
        <v>54952</v>
      </c>
      <c r="BD11" s="126">
        <f>J11+M11+P11+T11+W11+Z11+AD11+AH11+AL11+AP11+AT11+AW11</f>
        <v>598</v>
      </c>
      <c r="BE11" s="47">
        <v>636220</v>
      </c>
      <c r="BG11" s="484"/>
      <c r="BH11" s="484"/>
      <c r="BI11" s="527"/>
    </row>
    <row r="12" spans="1:65" s="24" customFormat="1" ht="15.75" thickBot="1" x14ac:dyDescent="0.3">
      <c r="A12" s="76">
        <v>636</v>
      </c>
      <c r="B12" s="505" t="s">
        <v>8</v>
      </c>
      <c r="C12" s="82">
        <f>SUM(C9:C11)</f>
        <v>1172523.5636074059</v>
      </c>
      <c r="D12" s="82">
        <f>SUM(D9:D11)</f>
        <v>1424713</v>
      </c>
      <c r="E12" s="83">
        <f>SUM(E9:E11)</f>
        <v>1224146.6900000002</v>
      </c>
      <c r="F12" s="253">
        <f t="shared" si="12"/>
        <v>104.40273679735439</v>
      </c>
      <c r="G12" s="252">
        <f t="shared" si="13"/>
        <v>85.922335937132615</v>
      </c>
      <c r="H12" s="411">
        <f>SUM(H9:H11)</f>
        <v>890737.37076116516</v>
      </c>
      <c r="I12" s="115">
        <f>SUM(I9:I11)</f>
        <v>1133558</v>
      </c>
      <c r="J12" s="82">
        <f>SUM(J9:J11)</f>
        <v>1054392.9300000002</v>
      </c>
      <c r="K12" s="252">
        <f t="shared" si="0"/>
        <v>93.01623119416918</v>
      </c>
      <c r="L12" s="82">
        <f t="shared" ref="L12:AP12" si="14">SUM(L9:L11)</f>
        <v>0</v>
      </c>
      <c r="M12" s="112">
        <f t="shared" si="14"/>
        <v>0</v>
      </c>
      <c r="N12" s="417">
        <f t="shared" ref="N12" si="15">SUM(N9:N11)</f>
        <v>0</v>
      </c>
      <c r="O12" s="82">
        <f t="shared" si="14"/>
        <v>0</v>
      </c>
      <c r="P12" s="82">
        <f>SUM(P9:P11)</f>
        <v>0</v>
      </c>
      <c r="Q12" s="252">
        <f t="shared" si="1"/>
        <v>0</v>
      </c>
      <c r="R12" s="82">
        <f>SUM(R9:R11)</f>
        <v>0</v>
      </c>
      <c r="S12" s="82">
        <f t="shared" si="14"/>
        <v>0</v>
      </c>
      <c r="T12" s="82">
        <f>SUM(T9:T11)</f>
        <v>0</v>
      </c>
      <c r="U12" s="252">
        <f t="shared" si="2"/>
        <v>0</v>
      </c>
      <c r="V12" s="82">
        <f t="shared" si="14"/>
        <v>0</v>
      </c>
      <c r="W12" s="82">
        <f t="shared" si="14"/>
        <v>0</v>
      </c>
      <c r="X12" s="82">
        <f t="shared" ref="X12" si="16">SUM(X9:X11)</f>
        <v>0</v>
      </c>
      <c r="Y12" s="82">
        <f t="shared" si="14"/>
        <v>0</v>
      </c>
      <c r="Z12" s="112">
        <f t="shared" si="14"/>
        <v>0</v>
      </c>
      <c r="AA12" s="252">
        <f t="shared" si="3"/>
        <v>0</v>
      </c>
      <c r="AB12" s="417">
        <f>SUM(AB9:AB11)</f>
        <v>108278.99927002455</v>
      </c>
      <c r="AC12" s="417">
        <f>SUM(AC7:AC11)</f>
        <v>8875</v>
      </c>
      <c r="AD12" s="82">
        <f t="shared" si="14"/>
        <v>174.68</v>
      </c>
      <c r="AE12" s="252">
        <f t="shared" si="4"/>
        <v>1.968225352112676</v>
      </c>
      <c r="AF12" s="82">
        <f t="shared" ref="AF12" si="17">SUM(AF9:AF11)</f>
        <v>173507.19357621606</v>
      </c>
      <c r="AG12" s="82">
        <f t="shared" si="14"/>
        <v>282280</v>
      </c>
      <c r="AH12" s="82">
        <f t="shared" si="14"/>
        <v>169579.08000000002</v>
      </c>
      <c r="AI12" s="252">
        <f t="shared" si="5"/>
        <v>60.074776817344485</v>
      </c>
      <c r="AJ12" s="82">
        <f t="shared" ref="AJ12" si="18">SUM(AJ9:AJ11)</f>
        <v>0</v>
      </c>
      <c r="AK12" s="82">
        <f t="shared" si="14"/>
        <v>0</v>
      </c>
      <c r="AL12" s="82">
        <f t="shared" si="14"/>
        <v>0</v>
      </c>
      <c r="AM12" s="252">
        <f t="shared" si="6"/>
        <v>0</v>
      </c>
      <c r="AN12" s="82">
        <f t="shared" ref="AN12" si="19">SUM(AN9:AN11)</f>
        <v>0</v>
      </c>
      <c r="AO12" s="82">
        <f t="shared" si="14"/>
        <v>0</v>
      </c>
      <c r="AP12" s="82">
        <f t="shared" si="14"/>
        <v>0</v>
      </c>
      <c r="AQ12" s="252">
        <f t="shared" si="7"/>
        <v>0</v>
      </c>
      <c r="AR12" s="82">
        <f t="shared" ref="AR12" si="20">SUM(AR9:AR11)</f>
        <v>0</v>
      </c>
      <c r="AS12" s="82">
        <f t="shared" ref="AS12:AT12" si="21">SUM(AS9:AS11)</f>
        <v>0</v>
      </c>
      <c r="AT12" s="82">
        <f t="shared" si="21"/>
        <v>0</v>
      </c>
      <c r="AU12" s="252">
        <f t="shared" si="8"/>
        <v>0</v>
      </c>
      <c r="AV12" s="82">
        <f t="shared" ref="AV12:AX12" si="22">SUM(AV9:AV11)</f>
        <v>0</v>
      </c>
      <c r="AW12" s="83">
        <f t="shared" si="22"/>
        <v>0</v>
      </c>
      <c r="AX12" s="407">
        <f t="shared" si="22"/>
        <v>0</v>
      </c>
      <c r="AY12" s="83">
        <f t="shared" ref="AY12:AZ12" si="23">SUM(AY9:AY11)</f>
        <v>0</v>
      </c>
      <c r="AZ12" s="112">
        <f t="shared" si="23"/>
        <v>0</v>
      </c>
      <c r="BA12" s="407">
        <f t="shared" ref="BA12:BB12" si="24">SUM(BA9:BA11)</f>
        <v>0</v>
      </c>
      <c r="BB12" s="83">
        <f t="shared" si="24"/>
        <v>0</v>
      </c>
      <c r="BC12" s="411">
        <f t="shared" ref="BC12" si="25">SUM(BC9:BC11)</f>
        <v>1424713</v>
      </c>
      <c r="BD12" s="83">
        <f>SUM(BD9:BD11)</f>
        <v>1224146.6900000002</v>
      </c>
      <c r="BE12" s="76">
        <v>636</v>
      </c>
      <c r="BF12" s="522"/>
      <c r="BG12" s="489"/>
      <c r="BH12" s="489"/>
      <c r="BI12" s="529"/>
      <c r="BJ12" s="489"/>
      <c r="BK12" s="489"/>
      <c r="BL12" s="489"/>
      <c r="BM12" s="489"/>
    </row>
    <row r="13" spans="1:65" s="2" customFormat="1" x14ac:dyDescent="0.25">
      <c r="A13" s="62">
        <v>638110</v>
      </c>
      <c r="B13" s="498" t="s">
        <v>174</v>
      </c>
      <c r="C13" s="75">
        <f t="shared" si="9"/>
        <v>2455258.3276926139</v>
      </c>
      <c r="D13" s="8">
        <f t="shared" si="10"/>
        <v>1346968</v>
      </c>
      <c r="E13" s="120">
        <f t="shared" si="11"/>
        <v>1218990.1100000001</v>
      </c>
      <c r="F13" s="240">
        <f t="shared" si="12"/>
        <v>49.648140737417819</v>
      </c>
      <c r="G13" s="241">
        <f t="shared" si="13"/>
        <v>90.498817343841878</v>
      </c>
      <c r="H13" s="1560">
        <f>'izvršenje PO IZVORIMA-detaljno'!C12</f>
        <v>0</v>
      </c>
      <c r="I13" s="123">
        <f>'izvršenje PO IZVORIMA-detaljno'!D12</f>
        <v>0</v>
      </c>
      <c r="J13" s="175">
        <f>'izvršenje PO IZVORIMA-detaljno'!E12</f>
        <v>0</v>
      </c>
      <c r="K13" s="1286">
        <f t="shared" si="0"/>
        <v>0</v>
      </c>
      <c r="L13" s="102"/>
      <c r="M13" s="103"/>
      <c r="N13" s="1312">
        <f>'izvršenje PO IZVORIMA-detaljno'!V15</f>
        <v>0</v>
      </c>
      <c r="O13" s="1312">
        <f>'izvršenje PO IZVORIMA-detaljno'!W15</f>
        <v>0</v>
      </c>
      <c r="P13" s="1322">
        <f>'izvršenje PO IZVORIMA-detaljno'!X12</f>
        <v>0</v>
      </c>
      <c r="Q13" s="1309">
        <f t="shared" si="1"/>
        <v>0</v>
      </c>
      <c r="R13" s="1322">
        <f>'izvršenje PO IZVORIMA-detaljno'!Y12</f>
        <v>0</v>
      </c>
      <c r="S13" s="1323"/>
      <c r="T13" s="1322">
        <f>'izvršenje PO IZVORIMA-detaljno'!AA12</f>
        <v>0</v>
      </c>
      <c r="U13" s="1309">
        <f t="shared" si="2"/>
        <v>0</v>
      </c>
      <c r="V13" s="1323"/>
      <c r="W13" s="1324"/>
      <c r="X13" s="1307">
        <f>'izvršenje PO IZVORIMA-detaljno'!AH12+'izvršenje PO IZVORIMA-detaljno'!AK12+'izvršenje PO IZVORIMA-detaljno'!AA12</f>
        <v>0</v>
      </c>
      <c r="Y13" s="1307">
        <f>'izvršenje PO IZVORIMA-detaljno'!AI12+'izvršenje PO IZVORIMA-detaljno'!AL12+'izvršenje PO IZVORIMA-detaljno'!AB12</f>
        <v>0</v>
      </c>
      <c r="Z13" s="1324"/>
      <c r="AA13" s="1309">
        <f t="shared" si="3"/>
        <v>0</v>
      </c>
      <c r="AB13" s="1426">
        <f>'izvršenje PO IZVORIMA-detaljno'!F12+'izvršenje PO IZVORIMA-detaljno'!L12</f>
        <v>1450866.6467582453</v>
      </c>
      <c r="AC13" s="1354">
        <f>'izvršenje PO IZVORIMA-detaljno'!G13+'izvršenje PO IZVORIMA-detaljno'!M13</f>
        <v>0</v>
      </c>
      <c r="AD13" s="1366">
        <f>'izvršenje PO IZVORIMA-detaljno'!H12+'izvršenje PO IZVORIMA-detaljno'!N12</f>
        <v>178521.33</v>
      </c>
      <c r="AE13" s="1350">
        <f t="shared" si="4"/>
        <v>0</v>
      </c>
      <c r="AF13" s="1366">
        <f>'izvršenje PO IZVORIMA-detaljno'!I12+'izvršenje PO IZVORIMA-detaljno'!O12</f>
        <v>983207.4165505342</v>
      </c>
      <c r="AG13" s="1356">
        <f>'izvršenje PO IZVORIMA-detaljno'!J12+'izvršenje PO IZVORIMA-detaljno'!P12</f>
        <v>1346968</v>
      </c>
      <c r="AH13" s="1366">
        <f>'izvršenje PO IZVORIMA-detaljno'!K12+'izvršenje PO IZVORIMA-detaljno'!Q12</f>
        <v>960947.98</v>
      </c>
      <c r="AI13" s="1350">
        <f t="shared" si="5"/>
        <v>71.341559710401441</v>
      </c>
      <c r="AJ13" s="1366">
        <f>'izvršenje PO IZVORIMA-detaljno'!R12</f>
        <v>21184.264383834361</v>
      </c>
      <c r="AK13" s="1354">
        <f>'izvršenje PO IZVORIMA-detaljno'!S12</f>
        <v>0</v>
      </c>
      <c r="AL13" s="1366">
        <f>'izvršenje PO IZVORIMA-detaljno'!T12+'izvršenje PO IZVORIMA-detaljno'!U12</f>
        <v>79520.800000000003</v>
      </c>
      <c r="AM13" s="1350">
        <f t="shared" si="6"/>
        <v>0</v>
      </c>
      <c r="AN13" s="1351">
        <f>'izvršenje PO IZVORIMA-detaljno'!AN12</f>
        <v>0</v>
      </c>
      <c r="AO13" s="1351">
        <f>'izvršenje PO IZVORIMA-detaljno'!AO12</f>
        <v>0</v>
      </c>
      <c r="AP13" s="1366">
        <f>'izvršenje PO IZVORIMA-detaljno'!AP12</f>
        <v>0</v>
      </c>
      <c r="AQ13" s="1350">
        <f t="shared" si="7"/>
        <v>0</v>
      </c>
      <c r="AR13" s="1351">
        <f>'izvršenje PO IZVORIMA-detaljno'!AQ12</f>
        <v>0</v>
      </c>
      <c r="AS13" s="1351">
        <f>'izvršenje PO IZVORIMA-detaljno'!AR12</f>
        <v>0</v>
      </c>
      <c r="AT13" s="1367"/>
      <c r="AU13" s="1350">
        <f t="shared" si="8"/>
        <v>0</v>
      </c>
      <c r="AV13" s="1368"/>
      <c r="AW13" s="1369"/>
      <c r="AX13" s="1433">
        <f>'izvršenje PO IZVORIMA-detaljno'!AT12</f>
        <v>0</v>
      </c>
      <c r="AY13" s="1399">
        <f>'izvršenje PO IZVORIMA-detaljno'!AU12</f>
        <v>0</v>
      </c>
      <c r="AZ13" s="1447"/>
      <c r="BA13" s="181">
        <f>'izvršenje PO IZVORIMA-detaljno'!AW12</f>
        <v>0</v>
      </c>
      <c r="BB13" s="1408"/>
      <c r="BC13" s="129">
        <f>AV13+AS13+AO13+AK13+AG13+AC13+Y13+V13+S13+O13+L13+I13+AY13</f>
        <v>1346968</v>
      </c>
      <c r="BD13" s="126">
        <f>J13+M13+P13+T13+W13+Z13+AD13+AH13+AL13+AP13+AT13+AW13</f>
        <v>1218990.1100000001</v>
      </c>
      <c r="BE13" s="62">
        <v>638110</v>
      </c>
      <c r="BF13" s="254"/>
      <c r="BG13" s="489"/>
      <c r="BH13" s="489"/>
      <c r="BI13" s="529"/>
      <c r="BJ13" s="486"/>
      <c r="BK13" s="486"/>
      <c r="BL13" s="486"/>
      <c r="BM13" s="486"/>
    </row>
    <row r="14" spans="1:65" s="6" customFormat="1" x14ac:dyDescent="0.25">
      <c r="A14" s="44">
        <v>638130</v>
      </c>
      <c r="B14" s="499" t="s">
        <v>175</v>
      </c>
      <c r="C14" s="75">
        <f t="shared" si="9"/>
        <v>0</v>
      </c>
      <c r="D14" s="8">
        <f t="shared" si="10"/>
        <v>254980</v>
      </c>
      <c r="E14" s="120">
        <f t="shared" si="11"/>
        <v>0</v>
      </c>
      <c r="F14" s="235">
        <f t="shared" si="12"/>
        <v>0</v>
      </c>
      <c r="G14" s="237">
        <f t="shared" si="13"/>
        <v>0</v>
      </c>
      <c r="H14" s="1560">
        <f>'izvršenje PO IZVORIMA-detaljno'!C13</f>
        <v>0</v>
      </c>
      <c r="I14" s="123">
        <f>'izvršenje PO IZVORIMA-detaljno'!D13</f>
        <v>0</v>
      </c>
      <c r="J14" s="175">
        <f>'izvršenje PO IZVORIMA-detaljno'!E13</f>
        <v>0</v>
      </c>
      <c r="K14" s="1287">
        <f t="shared" si="0"/>
        <v>0</v>
      </c>
      <c r="L14" s="52"/>
      <c r="M14" s="51"/>
      <c r="N14" s="1312">
        <f>'izvršenje PO IZVORIMA-detaljno'!V16</f>
        <v>0</v>
      </c>
      <c r="O14" s="1312">
        <f>'izvršenje PO IZVORIMA-detaljno'!W16</f>
        <v>0</v>
      </c>
      <c r="P14" s="1322">
        <f>'izvršenje PO IZVORIMA-detaljno'!X13</f>
        <v>0</v>
      </c>
      <c r="Q14" s="1313">
        <f t="shared" si="1"/>
        <v>0</v>
      </c>
      <c r="R14" s="1322">
        <f>'izvršenje PO IZVORIMA-detaljno'!Y13</f>
        <v>0</v>
      </c>
      <c r="S14" s="1314"/>
      <c r="T14" s="1322">
        <f>'izvršenje PO IZVORIMA-detaljno'!AA13</f>
        <v>0</v>
      </c>
      <c r="U14" s="1313">
        <f t="shared" si="2"/>
        <v>0</v>
      </c>
      <c r="V14" s="1314"/>
      <c r="W14" s="1315"/>
      <c r="X14" s="1307">
        <f>'izvršenje PO IZVORIMA-detaljno'!AH13+'izvršenje PO IZVORIMA-detaljno'!AK13+'izvršenje PO IZVORIMA-detaljno'!AA13</f>
        <v>0</v>
      </c>
      <c r="Y14" s="1307">
        <f>'izvršenje PO IZVORIMA-detaljno'!AI13+'izvršenje PO IZVORIMA-detaljno'!AL13+'izvršenje PO IZVORIMA-detaljno'!AB13</f>
        <v>0</v>
      </c>
      <c r="Z14" s="1315"/>
      <c r="AA14" s="1313">
        <f t="shared" si="3"/>
        <v>0</v>
      </c>
      <c r="AB14" s="1426">
        <f>'izvršenje PO IZVORIMA-detaljno'!F13+'izvršenje PO IZVORIMA-detaljno'!L13</f>
        <v>0</v>
      </c>
      <c r="AC14" s="1354">
        <f>'izvršenje PO IZVORIMA-detaljno'!G13+'izvršenje PO IZVORIMA-detaljno'!M12</f>
        <v>171000</v>
      </c>
      <c r="AD14" s="1366">
        <f>'izvršenje PO IZVORIMA-detaljno'!H13+'izvršenje PO IZVORIMA-detaljno'!N13</f>
        <v>0</v>
      </c>
      <c r="AE14" s="1355">
        <f t="shared" si="4"/>
        <v>0</v>
      </c>
      <c r="AF14" s="1366">
        <f>'izvršenje PO IZVORIMA-detaljno'!I13+'izvršenje PO IZVORIMA-detaljno'!O13</f>
        <v>0</v>
      </c>
      <c r="AG14" s="1356">
        <f>'izvršenje PO IZVORIMA-detaljno'!J13+'izvršenje PO IZVORIMA-detaljno'!P13</f>
        <v>0</v>
      </c>
      <c r="AH14" s="1366">
        <f>'izvršenje PO IZVORIMA-detaljno'!K13+'izvršenje PO IZVORIMA-detaljno'!Q13</f>
        <v>0</v>
      </c>
      <c r="AI14" s="1355">
        <f t="shared" si="5"/>
        <v>0</v>
      </c>
      <c r="AJ14" s="1366">
        <f>'izvršenje PO IZVORIMA-detaljno'!R13</f>
        <v>0</v>
      </c>
      <c r="AK14" s="1354">
        <f>'izvršenje PO IZVORIMA-detaljno'!S13</f>
        <v>83980</v>
      </c>
      <c r="AL14" s="1370"/>
      <c r="AM14" s="1355">
        <f t="shared" si="6"/>
        <v>0</v>
      </c>
      <c r="AN14" s="1351">
        <f>'izvršenje PO IZVORIMA-detaljno'!AN13</f>
        <v>0</v>
      </c>
      <c r="AO14" s="1351">
        <f>'izvršenje PO IZVORIMA-detaljno'!AO13</f>
        <v>0</v>
      </c>
      <c r="AP14" s="1366">
        <f>'izvršenje PO IZVORIMA-detaljno'!AP13</f>
        <v>0</v>
      </c>
      <c r="AQ14" s="1355">
        <f t="shared" si="7"/>
        <v>0</v>
      </c>
      <c r="AR14" s="1351">
        <f>'izvršenje PO IZVORIMA-detaljno'!AQ13</f>
        <v>0</v>
      </c>
      <c r="AS14" s="1351">
        <f>'izvršenje PO IZVORIMA-detaljno'!AR13</f>
        <v>0</v>
      </c>
      <c r="AT14" s="1370"/>
      <c r="AU14" s="1355">
        <f t="shared" si="8"/>
        <v>0</v>
      </c>
      <c r="AV14" s="1357"/>
      <c r="AW14" s="1358"/>
      <c r="AX14" s="1433">
        <f>'izvršenje PO IZVORIMA-detaljno'!AT13</f>
        <v>0</v>
      </c>
      <c r="AY14" s="1399">
        <f>'izvršenje PO IZVORIMA-detaljno'!AU13</f>
        <v>0</v>
      </c>
      <c r="AZ14" s="1444"/>
      <c r="BA14" s="181">
        <f>'izvršenje PO IZVORIMA-detaljno'!AW13</f>
        <v>0</v>
      </c>
      <c r="BB14" s="178"/>
      <c r="BC14" s="129">
        <f>AV14+AS14+AO14+AK14+AG14+AC14+Y14+V14+S14+O14+L14+I14+AY14</f>
        <v>254980</v>
      </c>
      <c r="BD14" s="126">
        <f>J14+M14+P14+T14+W14+Z14+AD14+AH14+AL14+AP14+AT14+AW14</f>
        <v>0</v>
      </c>
      <c r="BE14" s="44">
        <v>638130</v>
      </c>
      <c r="BF14" s="518"/>
      <c r="BG14" s="493"/>
      <c r="BH14" s="493"/>
      <c r="BI14" s="530"/>
      <c r="BJ14" s="487"/>
      <c r="BK14" s="487"/>
      <c r="BL14" s="487"/>
      <c r="BM14" s="487"/>
    </row>
    <row r="15" spans="1:65" s="6" customFormat="1" ht="15.75" thickBot="1" x14ac:dyDescent="0.3">
      <c r="A15" s="47">
        <v>638210</v>
      </c>
      <c r="B15" s="500" t="s">
        <v>168</v>
      </c>
      <c r="C15" s="75">
        <f t="shared" si="9"/>
        <v>0</v>
      </c>
      <c r="D15" s="8">
        <f t="shared" si="10"/>
        <v>252620</v>
      </c>
      <c r="E15" s="120">
        <f t="shared" si="11"/>
        <v>765639.93</v>
      </c>
      <c r="F15" s="242">
        <f t="shared" si="12"/>
        <v>0</v>
      </c>
      <c r="G15" s="243">
        <f t="shared" si="13"/>
        <v>303.07969677776902</v>
      </c>
      <c r="H15" s="1560">
        <f>'izvršenje PO IZVORIMA-detaljno'!C14</f>
        <v>0</v>
      </c>
      <c r="I15" s="123">
        <f>'izvršenje PO IZVORIMA-detaljno'!D14</f>
        <v>0</v>
      </c>
      <c r="J15" s="175">
        <f>'izvršenje PO IZVORIMA-detaljno'!E14</f>
        <v>0</v>
      </c>
      <c r="K15" s="1288">
        <f t="shared" si="0"/>
        <v>0</v>
      </c>
      <c r="L15" s="52"/>
      <c r="M15" s="51"/>
      <c r="N15" s="1312">
        <f>'izvršenje PO IZVORIMA-detaljno'!V17</f>
        <v>0</v>
      </c>
      <c r="O15" s="1312">
        <f>'izvršenje PO IZVORIMA-detaljno'!W17</f>
        <v>0</v>
      </c>
      <c r="P15" s="1322">
        <f>'izvršenje PO IZVORIMA-detaljno'!X14</f>
        <v>0</v>
      </c>
      <c r="Q15" s="1316">
        <f t="shared" si="1"/>
        <v>0</v>
      </c>
      <c r="R15" s="1322">
        <f>'izvršenje PO IZVORIMA-detaljno'!Y14</f>
        <v>0</v>
      </c>
      <c r="S15" s="1314"/>
      <c r="T15" s="1322">
        <f>'izvršenje PO IZVORIMA-detaljno'!AA14</f>
        <v>0</v>
      </c>
      <c r="U15" s="1316">
        <f t="shared" si="2"/>
        <v>0</v>
      </c>
      <c r="V15" s="1314"/>
      <c r="W15" s="1315"/>
      <c r="X15" s="1307">
        <f>'izvršenje PO IZVORIMA-detaljno'!AH14+'izvršenje PO IZVORIMA-detaljno'!AK14+'izvršenje PO IZVORIMA-detaljno'!AA14</f>
        <v>0</v>
      </c>
      <c r="Y15" s="1307">
        <f>'izvršenje PO IZVORIMA-detaljno'!AI14+'izvršenje PO IZVORIMA-detaljno'!AL14+'izvršenje PO IZVORIMA-detaljno'!AB14</f>
        <v>0</v>
      </c>
      <c r="Z15" s="1315"/>
      <c r="AA15" s="1316">
        <f t="shared" si="3"/>
        <v>0</v>
      </c>
      <c r="AB15" s="1426">
        <f>'izvršenje PO IZVORIMA-detaljno'!F14+'izvršenje PO IZVORIMA-detaljno'!L14</f>
        <v>0</v>
      </c>
      <c r="AC15" s="1354">
        <f>'izvršenje PO IZVORIMA-detaljno'!M14+'izvršenje PO IZVORIMA-detaljno'!G14</f>
        <v>0</v>
      </c>
      <c r="AD15" s="1366">
        <f>'izvršenje PO IZVORIMA-detaljno'!H14+'izvršenje PO IZVORIMA-detaljno'!N14</f>
        <v>765639.93</v>
      </c>
      <c r="AE15" s="1359">
        <f t="shared" si="4"/>
        <v>0</v>
      </c>
      <c r="AF15" s="1366">
        <f>'izvršenje PO IZVORIMA-detaljno'!I14+'izvršenje PO IZVORIMA-detaljno'!O14</f>
        <v>0</v>
      </c>
      <c r="AG15" s="1356">
        <f>'izvršenje PO IZVORIMA-detaljno'!J14+'izvršenje PO IZVORIMA-detaljno'!P14</f>
        <v>252620</v>
      </c>
      <c r="AH15" s="1366">
        <f>'izvršenje PO IZVORIMA-detaljno'!K14+'izvršenje PO IZVORIMA-detaljno'!Q14</f>
        <v>0</v>
      </c>
      <c r="AI15" s="1359">
        <f t="shared" si="5"/>
        <v>0</v>
      </c>
      <c r="AJ15" s="1366">
        <f>'izvršenje PO IZVORIMA-detaljno'!R14+'izvršenje PO IZVORIMA-detaljno'!S14</f>
        <v>0</v>
      </c>
      <c r="AK15" s="1354">
        <f>'izvršenje PO IZVORIMA-detaljno'!S14</f>
        <v>0</v>
      </c>
      <c r="AL15" s="1370"/>
      <c r="AM15" s="1359">
        <f t="shared" si="6"/>
        <v>0</v>
      </c>
      <c r="AN15" s="1351">
        <f>'izvršenje PO IZVORIMA-detaljno'!AN14</f>
        <v>0</v>
      </c>
      <c r="AO15" s="1351">
        <f>'izvršenje PO IZVORIMA-detaljno'!AO14</f>
        <v>0</v>
      </c>
      <c r="AP15" s="1366">
        <f>'izvršenje PO IZVORIMA-detaljno'!AP14</f>
        <v>0</v>
      </c>
      <c r="AQ15" s="1359">
        <f t="shared" si="7"/>
        <v>0</v>
      </c>
      <c r="AR15" s="1351">
        <f>'izvršenje PO IZVORIMA-detaljno'!AQ14</f>
        <v>0</v>
      </c>
      <c r="AS15" s="1351">
        <f>'izvršenje PO IZVORIMA-detaljno'!AR14</f>
        <v>0</v>
      </c>
      <c r="AT15" s="1370"/>
      <c r="AU15" s="1359">
        <f t="shared" si="8"/>
        <v>0</v>
      </c>
      <c r="AV15" s="1357"/>
      <c r="AW15" s="1358"/>
      <c r="AX15" s="1433">
        <f>'izvršenje PO IZVORIMA-detaljno'!AT14</f>
        <v>0</v>
      </c>
      <c r="AY15" s="1399">
        <f>'izvršenje PO IZVORIMA-detaljno'!AU14</f>
        <v>0</v>
      </c>
      <c r="AZ15" s="1444"/>
      <c r="BA15" s="181">
        <f>'izvršenje PO IZVORIMA-detaljno'!AW14</f>
        <v>0</v>
      </c>
      <c r="BB15" s="178"/>
      <c r="BC15" s="129">
        <f>AV15+AS15+AO15+AK15+AG15+AC15+Y15+V15+S15+O15+L15+I15+AY15</f>
        <v>252620</v>
      </c>
      <c r="BD15" s="126">
        <f>J15+M15+P15+T15+W15+Z15+AD15+AH15+AL15+AP15+AT15+AW15</f>
        <v>765639.93</v>
      </c>
      <c r="BE15" s="47">
        <v>638210</v>
      </c>
      <c r="BF15" s="518"/>
      <c r="BG15" s="493"/>
      <c r="BH15" s="493"/>
      <c r="BI15" s="530"/>
      <c r="BJ15" s="487"/>
      <c r="BK15" s="487"/>
      <c r="BL15" s="487"/>
      <c r="BM15" s="487"/>
    </row>
    <row r="16" spans="1:65" s="24" customFormat="1" ht="15.75" thickBot="1" x14ac:dyDescent="0.3">
      <c r="A16" s="76">
        <v>638</v>
      </c>
      <c r="B16" s="505" t="s">
        <v>157</v>
      </c>
      <c r="C16" s="82">
        <f>SUM(C13:C15)</f>
        <v>2455258.3276926139</v>
      </c>
      <c r="D16" s="82">
        <f>SUM(D13:D15)</f>
        <v>1854568</v>
      </c>
      <c r="E16" s="83">
        <f t="shared" ref="E16" si="26">SUM(E13:E15)</f>
        <v>1984630.04</v>
      </c>
      <c r="F16" s="253">
        <f t="shared" si="12"/>
        <v>80.831821955985475</v>
      </c>
      <c r="G16" s="252">
        <f t="shared" si="13"/>
        <v>107.0130639588303</v>
      </c>
      <c r="H16" s="411">
        <f t="shared" ref="H16" si="27">SUM(H13:H15)</f>
        <v>0</v>
      </c>
      <c r="I16" s="115">
        <f t="shared" ref="I16:AP16" si="28">SUM(I13:I15)</f>
        <v>0</v>
      </c>
      <c r="J16" s="82">
        <f t="shared" si="28"/>
        <v>0</v>
      </c>
      <c r="K16" s="252">
        <f t="shared" si="0"/>
        <v>0</v>
      </c>
      <c r="L16" s="82">
        <f t="shared" si="28"/>
        <v>0</v>
      </c>
      <c r="M16" s="112">
        <f t="shared" si="28"/>
        <v>0</v>
      </c>
      <c r="N16" s="417">
        <f t="shared" ref="N16" si="29">SUM(N13:N15)</f>
        <v>0</v>
      </c>
      <c r="O16" s="82">
        <f t="shared" si="28"/>
        <v>0</v>
      </c>
      <c r="P16" s="82">
        <f t="shared" si="28"/>
        <v>0</v>
      </c>
      <c r="Q16" s="252">
        <f t="shared" si="1"/>
        <v>0</v>
      </c>
      <c r="R16" s="82">
        <f t="shared" ref="R16" si="30">SUM(R13:R15)</f>
        <v>0</v>
      </c>
      <c r="S16" s="82">
        <f t="shared" si="28"/>
        <v>0</v>
      </c>
      <c r="T16" s="82">
        <f t="shared" si="28"/>
        <v>0</v>
      </c>
      <c r="U16" s="252">
        <f t="shared" si="2"/>
        <v>0</v>
      </c>
      <c r="V16" s="82">
        <f t="shared" si="28"/>
        <v>0</v>
      </c>
      <c r="W16" s="82">
        <f t="shared" si="28"/>
        <v>0</v>
      </c>
      <c r="X16" s="82">
        <f t="shared" ref="X16" si="31">SUM(X13:X15)</f>
        <v>0</v>
      </c>
      <c r="Y16" s="82">
        <f t="shared" si="28"/>
        <v>0</v>
      </c>
      <c r="Z16" s="112">
        <f t="shared" si="28"/>
        <v>0</v>
      </c>
      <c r="AA16" s="252">
        <f t="shared" si="3"/>
        <v>0</v>
      </c>
      <c r="AB16" s="417">
        <f>SUM(AB13:AB15)</f>
        <v>1450866.6467582453</v>
      </c>
      <c r="AC16" s="417">
        <f t="shared" si="28"/>
        <v>171000</v>
      </c>
      <c r="AD16" s="82">
        <f t="shared" si="28"/>
        <v>944161.26</v>
      </c>
      <c r="AE16" s="252">
        <f t="shared" si="4"/>
        <v>552.1410877192983</v>
      </c>
      <c r="AF16" s="82">
        <f t="shared" ref="AF16" si="32">SUM(AF13:AF15)</f>
        <v>983207.4165505342</v>
      </c>
      <c r="AG16" s="82">
        <f t="shared" si="28"/>
        <v>1599588</v>
      </c>
      <c r="AH16" s="82">
        <f t="shared" si="28"/>
        <v>960947.98</v>
      </c>
      <c r="AI16" s="252">
        <f t="shared" si="5"/>
        <v>60.074717989882402</v>
      </c>
      <c r="AJ16" s="82">
        <f t="shared" ref="AJ16" si="33">SUM(AJ13:AJ15)</f>
        <v>21184.264383834361</v>
      </c>
      <c r="AK16" s="82">
        <f t="shared" si="28"/>
        <v>83980</v>
      </c>
      <c r="AL16" s="82">
        <f t="shared" si="28"/>
        <v>79520.800000000003</v>
      </c>
      <c r="AM16" s="252">
        <f t="shared" si="6"/>
        <v>94.690164324839259</v>
      </c>
      <c r="AN16" s="82">
        <f t="shared" ref="AN16" si="34">SUM(AN13:AN15)</f>
        <v>0</v>
      </c>
      <c r="AO16" s="82">
        <f t="shared" si="28"/>
        <v>0</v>
      </c>
      <c r="AP16" s="82">
        <f t="shared" si="28"/>
        <v>0</v>
      </c>
      <c r="AQ16" s="252">
        <f t="shared" si="7"/>
        <v>0</v>
      </c>
      <c r="AR16" s="82">
        <f t="shared" ref="AR16" si="35">SUM(AR13:AR15)</f>
        <v>0</v>
      </c>
      <c r="AS16" s="82">
        <f t="shared" ref="AS16:AT16" si="36">SUM(AS13:AS15)</f>
        <v>0</v>
      </c>
      <c r="AT16" s="82">
        <f t="shared" si="36"/>
        <v>0</v>
      </c>
      <c r="AU16" s="252">
        <f t="shared" si="8"/>
        <v>0</v>
      </c>
      <c r="AV16" s="82">
        <f t="shared" ref="AV16:AX16" si="37">SUM(AV13:AV15)</f>
        <v>0</v>
      </c>
      <c r="AW16" s="83">
        <f t="shared" si="37"/>
        <v>0</v>
      </c>
      <c r="AX16" s="407">
        <f t="shared" si="37"/>
        <v>0</v>
      </c>
      <c r="AY16" s="83">
        <f t="shared" ref="AY16:AZ16" si="38">SUM(AY13:AY15)</f>
        <v>0</v>
      </c>
      <c r="AZ16" s="112">
        <f t="shared" si="38"/>
        <v>0</v>
      </c>
      <c r="BA16" s="407">
        <f t="shared" ref="BA16:BB16" si="39">SUM(BA13:BA15)</f>
        <v>0</v>
      </c>
      <c r="BB16" s="83">
        <f t="shared" si="39"/>
        <v>0</v>
      </c>
      <c r="BC16" s="411">
        <f>SUM(BC13:BC15)</f>
        <v>1854568</v>
      </c>
      <c r="BD16" s="83">
        <f>SUM(BD13:BD15)</f>
        <v>1984630.04</v>
      </c>
      <c r="BE16" s="76">
        <v>638</v>
      </c>
      <c r="BF16" s="522"/>
      <c r="BG16" s="489"/>
      <c r="BH16" s="489"/>
      <c r="BI16" s="529"/>
      <c r="BJ16" s="489"/>
      <c r="BK16" s="489"/>
      <c r="BL16" s="489"/>
      <c r="BM16" s="489"/>
    </row>
    <row r="17" spans="1:65" ht="15.75" thickBot="1" x14ac:dyDescent="0.3">
      <c r="A17" s="70">
        <v>641320</v>
      </c>
      <c r="B17" s="502" t="s">
        <v>0</v>
      </c>
      <c r="C17" s="75">
        <f t="shared" si="9"/>
        <v>156.59964164841728</v>
      </c>
      <c r="D17" s="8">
        <f t="shared" si="10"/>
        <v>133</v>
      </c>
      <c r="E17" s="120">
        <f t="shared" si="11"/>
        <v>109.17</v>
      </c>
      <c r="F17" s="246">
        <f t="shared" si="12"/>
        <v>69.712803203661338</v>
      </c>
      <c r="G17" s="247">
        <f t="shared" si="13"/>
        <v>82.082706766917283</v>
      </c>
      <c r="H17" s="124"/>
      <c r="I17" s="123">
        <f>'izvršenje PO IZVORIMA-detaljno'!D16</f>
        <v>0</v>
      </c>
      <c r="J17" s="51"/>
      <c r="K17" s="1292">
        <f t="shared" si="0"/>
        <v>0</v>
      </c>
      <c r="L17" s="52"/>
      <c r="M17" s="51"/>
      <c r="N17" s="1312">
        <f>'izvršenje PO IZVORIMA-detaljno'!V19</f>
        <v>0</v>
      </c>
      <c r="O17" s="1312">
        <f>'izvršenje PO IZVORIMA-detaljno'!W19</f>
        <v>0</v>
      </c>
      <c r="P17" s="1315"/>
      <c r="Q17" s="1325">
        <f t="shared" si="1"/>
        <v>0</v>
      </c>
      <c r="R17" s="1315"/>
      <c r="S17" s="1314"/>
      <c r="T17" s="1315"/>
      <c r="U17" s="1325">
        <f t="shared" si="2"/>
        <v>0</v>
      </c>
      <c r="V17" s="1314"/>
      <c r="W17" s="1315"/>
      <c r="X17" s="1307">
        <f>'izvršenje PO IZVORIMA-detaljno'!AH16+'izvršenje PO IZVORIMA-detaljno'!AK16+'izvršenje PO IZVORIMA-detaljno'!AA16</f>
        <v>0</v>
      </c>
      <c r="Y17" s="1307">
        <f>'izvršenje PO IZVORIMA-detaljno'!AI16+'izvršenje PO IZVORIMA-detaljno'!AL16+'izvršenje PO IZVORIMA-detaljno'!AB16</f>
        <v>0</v>
      </c>
      <c r="Z17" s="1315"/>
      <c r="AA17" s="1325">
        <f t="shared" si="3"/>
        <v>0</v>
      </c>
      <c r="AB17" s="1354"/>
      <c r="AC17" s="1354">
        <f>'izvršenje PO IZVORIMA-detaljno'!G17+'izvršenje PO IZVORIMA-detaljno'!M17</f>
        <v>0</v>
      </c>
      <c r="AD17" s="1370"/>
      <c r="AE17" s="1371">
        <f t="shared" si="4"/>
        <v>0</v>
      </c>
      <c r="AF17" s="1356">
        <f>'izvršenje PO IZVORIMA-detaljno'!I16+'izvršenje PO IZVORIMA-detaljno'!O16</f>
        <v>0</v>
      </c>
      <c r="AG17" s="1356">
        <f>'izvršenje PO IZVORIMA-detaljno'!J16+'izvršenje PO IZVORIMA-detaljno'!P16</f>
        <v>0</v>
      </c>
      <c r="AH17" s="1370"/>
      <c r="AI17" s="1371">
        <f t="shared" si="5"/>
        <v>0</v>
      </c>
      <c r="AJ17" s="1366">
        <f>'izvršenje PO IZVORIMA-detaljno'!R16+'izvršenje PO IZVORIMA-detaljno'!S16</f>
        <v>0</v>
      </c>
      <c r="AK17" s="1354">
        <f>'izvršenje PO IZVORIMA-detaljno'!S16</f>
        <v>0</v>
      </c>
      <c r="AL17" s="1370"/>
      <c r="AM17" s="1371">
        <f t="shared" si="6"/>
        <v>0</v>
      </c>
      <c r="AN17" s="1372">
        <f>'izvršenje PO IZVORIMA-detaljno'!AN16</f>
        <v>156.59964164841728</v>
      </c>
      <c r="AO17" s="1351">
        <f>'izvršenje PO IZVORIMA-detaljno'!AO16</f>
        <v>133</v>
      </c>
      <c r="AP17" s="1372">
        <f>'izvršenje PO IZVORIMA-detaljno'!AP16</f>
        <v>109.17</v>
      </c>
      <c r="AQ17" s="1371">
        <f t="shared" si="7"/>
        <v>82.082706766917283</v>
      </c>
      <c r="AR17" s="1351">
        <f>'izvršenje PO IZVORIMA-detaljno'!AQ16</f>
        <v>0</v>
      </c>
      <c r="AS17" s="1351">
        <f>'izvršenje PO IZVORIMA-detaljno'!AR16</f>
        <v>0</v>
      </c>
      <c r="AT17" s="1370"/>
      <c r="AU17" s="1371">
        <f t="shared" si="8"/>
        <v>0</v>
      </c>
      <c r="AV17" s="1357"/>
      <c r="AW17" s="1358"/>
      <c r="AX17" s="1433">
        <f>'izvršenje PO IZVORIMA-detaljno'!AT16</f>
        <v>0</v>
      </c>
      <c r="AY17" s="1399">
        <f>'izvršenje PO IZVORIMA-detaljno'!AU16</f>
        <v>0</v>
      </c>
      <c r="AZ17" s="1444"/>
      <c r="BA17" s="181">
        <f>'izvršenje PO IZVORIMA-detaljno'!AW16</f>
        <v>0</v>
      </c>
      <c r="BB17" s="178"/>
      <c r="BC17" s="129">
        <f>AV17+AS17+AO17+AK17+AG17+AC17+Y17+V17+S17+O17+L17+I17</f>
        <v>133</v>
      </c>
      <c r="BD17" s="126">
        <f>J17+M17+P17+T17+W17+Z17+AD17+AH17+AL17+AP17+AT17+AW17</f>
        <v>109.17</v>
      </c>
      <c r="BE17" s="70">
        <v>641320</v>
      </c>
      <c r="BG17" s="484"/>
      <c r="BH17" s="484"/>
      <c r="BI17" s="527"/>
    </row>
    <row r="18" spans="1:65" s="24" customFormat="1" ht="15.75" thickBot="1" x14ac:dyDescent="0.3">
      <c r="A18" s="76">
        <v>641</v>
      </c>
      <c r="B18" s="505" t="s">
        <v>10</v>
      </c>
      <c r="C18" s="82">
        <f>SUM(C17)</f>
        <v>156.59964164841728</v>
      </c>
      <c r="D18" s="82">
        <f t="shared" ref="D18" si="40">D17</f>
        <v>133</v>
      </c>
      <c r="E18" s="83">
        <f>E17</f>
        <v>109.17</v>
      </c>
      <c r="F18" s="253">
        <f t="shared" si="12"/>
        <v>69.712803203661338</v>
      </c>
      <c r="G18" s="252">
        <f t="shared" si="13"/>
        <v>82.082706766917283</v>
      </c>
      <c r="H18" s="411">
        <f t="shared" ref="H18" si="41">H17</f>
        <v>0</v>
      </c>
      <c r="I18" s="115">
        <f t="shared" ref="I18:AP18" si="42">I17</f>
        <v>0</v>
      </c>
      <c r="J18" s="82">
        <f t="shared" si="42"/>
        <v>0</v>
      </c>
      <c r="K18" s="252">
        <f t="shared" si="0"/>
        <v>0</v>
      </c>
      <c r="L18" s="82">
        <f t="shared" si="42"/>
        <v>0</v>
      </c>
      <c r="M18" s="112">
        <f t="shared" si="42"/>
        <v>0</v>
      </c>
      <c r="N18" s="417">
        <f t="shared" ref="N18" si="43">N17</f>
        <v>0</v>
      </c>
      <c r="O18" s="82">
        <f t="shared" si="42"/>
        <v>0</v>
      </c>
      <c r="P18" s="82">
        <f t="shared" si="42"/>
        <v>0</v>
      </c>
      <c r="Q18" s="252">
        <f t="shared" si="1"/>
        <v>0</v>
      </c>
      <c r="R18" s="82">
        <f t="shared" ref="R18" si="44">R17</f>
        <v>0</v>
      </c>
      <c r="S18" s="82">
        <f t="shared" si="42"/>
        <v>0</v>
      </c>
      <c r="T18" s="82">
        <f t="shared" si="42"/>
        <v>0</v>
      </c>
      <c r="U18" s="252">
        <f t="shared" si="2"/>
        <v>0</v>
      </c>
      <c r="V18" s="82">
        <f t="shared" si="42"/>
        <v>0</v>
      </c>
      <c r="W18" s="82">
        <f t="shared" si="42"/>
        <v>0</v>
      </c>
      <c r="X18" s="82">
        <f t="shared" ref="X18" si="45">X17</f>
        <v>0</v>
      </c>
      <c r="Y18" s="82">
        <f t="shared" si="42"/>
        <v>0</v>
      </c>
      <c r="Z18" s="112">
        <f t="shared" si="42"/>
        <v>0</v>
      </c>
      <c r="AA18" s="252">
        <f t="shared" si="3"/>
        <v>0</v>
      </c>
      <c r="AB18" s="417">
        <f t="shared" ref="AB18" si="46">AB17</f>
        <v>0</v>
      </c>
      <c r="AC18" s="417">
        <f t="shared" si="42"/>
        <v>0</v>
      </c>
      <c r="AD18" s="82">
        <f t="shared" si="42"/>
        <v>0</v>
      </c>
      <c r="AE18" s="252">
        <f t="shared" si="4"/>
        <v>0</v>
      </c>
      <c r="AF18" s="82">
        <f t="shared" ref="AF18" si="47">AF17</f>
        <v>0</v>
      </c>
      <c r="AG18" s="82">
        <f t="shared" si="42"/>
        <v>0</v>
      </c>
      <c r="AH18" s="82">
        <f t="shared" si="42"/>
        <v>0</v>
      </c>
      <c r="AI18" s="252">
        <f t="shared" si="5"/>
        <v>0</v>
      </c>
      <c r="AJ18" s="82">
        <f t="shared" ref="AJ18" si="48">AJ17</f>
        <v>0</v>
      </c>
      <c r="AK18" s="82">
        <f t="shared" si="42"/>
        <v>0</v>
      </c>
      <c r="AL18" s="82">
        <f t="shared" si="42"/>
        <v>0</v>
      </c>
      <c r="AM18" s="252">
        <f t="shared" si="6"/>
        <v>0</v>
      </c>
      <c r="AN18" s="82">
        <f t="shared" ref="AN18" si="49">AN17</f>
        <v>156.59964164841728</v>
      </c>
      <c r="AO18" s="82">
        <f t="shared" si="42"/>
        <v>133</v>
      </c>
      <c r="AP18" s="82">
        <f t="shared" si="42"/>
        <v>109.17</v>
      </c>
      <c r="AQ18" s="252">
        <f t="shared" si="7"/>
        <v>82.082706766917283</v>
      </c>
      <c r="AR18" s="82">
        <f t="shared" ref="AR18" si="50">AR17</f>
        <v>0</v>
      </c>
      <c r="AS18" s="82">
        <f t="shared" ref="AS18:AT18" si="51">AS17</f>
        <v>0</v>
      </c>
      <c r="AT18" s="82">
        <f t="shared" si="51"/>
        <v>0</v>
      </c>
      <c r="AU18" s="252">
        <f t="shared" si="8"/>
        <v>0</v>
      </c>
      <c r="AV18" s="82">
        <f t="shared" ref="AV18:AX18" si="52">AV17</f>
        <v>0</v>
      </c>
      <c r="AW18" s="83">
        <f t="shared" si="52"/>
        <v>0</v>
      </c>
      <c r="AX18" s="407">
        <f t="shared" si="52"/>
        <v>0</v>
      </c>
      <c r="AY18" s="83">
        <f t="shared" ref="AY18:AZ18" si="53">AY17</f>
        <v>0</v>
      </c>
      <c r="AZ18" s="112">
        <f t="shared" si="53"/>
        <v>0</v>
      </c>
      <c r="BA18" s="407">
        <f t="shared" ref="BA18:BB18" si="54">BA17</f>
        <v>0</v>
      </c>
      <c r="BB18" s="83">
        <f t="shared" si="54"/>
        <v>0</v>
      </c>
      <c r="BC18" s="411">
        <f>BC17</f>
        <v>133</v>
      </c>
      <c r="BD18" s="83">
        <f t="shared" ref="BD18" si="55">BD17</f>
        <v>109.17</v>
      </c>
      <c r="BE18" s="76">
        <v>641</v>
      </c>
      <c r="BF18" s="522"/>
      <c r="BG18" s="489"/>
      <c r="BH18" s="489"/>
      <c r="BI18" s="529"/>
      <c r="BJ18" s="489"/>
      <c r="BK18" s="489"/>
      <c r="BL18" s="489"/>
      <c r="BM18" s="489"/>
    </row>
    <row r="19" spans="1:65" ht="15.75" thickBot="1" x14ac:dyDescent="0.3">
      <c r="A19" s="70">
        <v>661510</v>
      </c>
      <c r="B19" s="502" t="s">
        <v>1</v>
      </c>
      <c r="C19" s="75">
        <f t="shared" si="9"/>
        <v>13496.582387683322</v>
      </c>
      <c r="D19" s="8">
        <f t="shared" si="10"/>
        <v>17918</v>
      </c>
      <c r="E19" s="120">
        <f t="shared" si="11"/>
        <v>13806.9</v>
      </c>
      <c r="F19" s="246">
        <f t="shared" si="12"/>
        <v>102.29923104533387</v>
      </c>
      <c r="G19" s="247">
        <f t="shared" si="13"/>
        <v>77.056033039401711</v>
      </c>
      <c r="H19" s="124"/>
      <c r="I19" s="123">
        <f>'izvršenje PO IZVORIMA-detaljno'!D18</f>
        <v>0</v>
      </c>
      <c r="J19" s="51"/>
      <c r="K19" s="1292">
        <f t="shared" si="0"/>
        <v>0</v>
      </c>
      <c r="L19" s="52"/>
      <c r="M19" s="51"/>
      <c r="N19" s="1312">
        <f>'izvršenje PO IZVORIMA-detaljno'!V21</f>
        <v>0</v>
      </c>
      <c r="O19" s="1312">
        <f>'izvršenje PO IZVORIMA-detaljno'!W21</f>
        <v>0</v>
      </c>
      <c r="P19" s="1315"/>
      <c r="Q19" s="1325">
        <f t="shared" si="1"/>
        <v>0</v>
      </c>
      <c r="R19" s="1315"/>
      <c r="S19" s="1314"/>
      <c r="T19" s="1315"/>
      <c r="U19" s="1325">
        <f t="shared" si="2"/>
        <v>0</v>
      </c>
      <c r="V19" s="1314"/>
      <c r="W19" s="1315"/>
      <c r="X19" s="1307">
        <f>'izvršenje PO IZVORIMA-detaljno'!AH18+'izvršenje PO IZVORIMA-detaljno'!AK18+'izvršenje PO IZVORIMA-detaljno'!AA18</f>
        <v>0</v>
      </c>
      <c r="Y19" s="1307">
        <f>'izvršenje PO IZVORIMA-detaljno'!AI18+'izvršenje PO IZVORIMA-detaljno'!AL18+'izvršenje PO IZVORIMA-detaljno'!AB18</f>
        <v>0</v>
      </c>
      <c r="Z19" s="1315"/>
      <c r="AA19" s="1325">
        <f t="shared" si="3"/>
        <v>0</v>
      </c>
      <c r="AB19" s="1354"/>
      <c r="AC19" s="1354">
        <f>'izvršenje PO IZVORIMA-detaljno'!G19+'izvršenje PO IZVORIMA-detaljno'!M19</f>
        <v>0</v>
      </c>
      <c r="AD19" s="1370"/>
      <c r="AE19" s="1371">
        <f t="shared" si="4"/>
        <v>0</v>
      </c>
      <c r="AF19" s="1356">
        <f>'izvršenje PO IZVORIMA-detaljno'!I18+'izvršenje PO IZVORIMA-detaljno'!O18</f>
        <v>0</v>
      </c>
      <c r="AG19" s="1356">
        <f>'izvršenje PO IZVORIMA-detaljno'!J18+'izvršenje PO IZVORIMA-detaljno'!P18</f>
        <v>0</v>
      </c>
      <c r="AH19" s="1370"/>
      <c r="AI19" s="1371">
        <f t="shared" si="5"/>
        <v>0</v>
      </c>
      <c r="AJ19" s="1366">
        <f>'izvršenje PO IZVORIMA-detaljno'!R18+'izvršenje PO IZVORIMA-detaljno'!S18</f>
        <v>0</v>
      </c>
      <c r="AK19" s="1354">
        <f>'izvršenje PO IZVORIMA-detaljno'!S18</f>
        <v>0</v>
      </c>
      <c r="AL19" s="1370"/>
      <c r="AM19" s="1371">
        <f t="shared" si="6"/>
        <v>0</v>
      </c>
      <c r="AN19" s="1372">
        <f>'izvršenje PO IZVORIMA-detaljno'!AN18</f>
        <v>13496.582387683322</v>
      </c>
      <c r="AO19" s="1351">
        <f>'izvršenje PO IZVORIMA-detaljno'!AO18</f>
        <v>17918</v>
      </c>
      <c r="AP19" s="1372">
        <f>'izvršenje PO IZVORIMA-detaljno'!AP18</f>
        <v>13806.9</v>
      </c>
      <c r="AQ19" s="1371">
        <f t="shared" si="7"/>
        <v>77.056033039401711</v>
      </c>
      <c r="AR19" s="1351">
        <f>'izvršenje PO IZVORIMA-detaljno'!AQ18</f>
        <v>0</v>
      </c>
      <c r="AS19" s="1351">
        <f>'izvršenje PO IZVORIMA-detaljno'!AR18</f>
        <v>0</v>
      </c>
      <c r="AT19" s="1370"/>
      <c r="AU19" s="1371">
        <f t="shared" si="8"/>
        <v>0</v>
      </c>
      <c r="AV19" s="1357"/>
      <c r="AW19" s="1358"/>
      <c r="AX19" s="1433">
        <f>'izvršenje PO IZVORIMA-detaljno'!AT18</f>
        <v>0</v>
      </c>
      <c r="AY19" s="1399">
        <f>'izvršenje PO IZVORIMA-detaljno'!AU18</f>
        <v>0</v>
      </c>
      <c r="AZ19" s="1444"/>
      <c r="BA19" s="181">
        <f>'izvršenje PO IZVORIMA-detaljno'!AW18</f>
        <v>0</v>
      </c>
      <c r="BB19" s="178"/>
      <c r="BC19" s="129">
        <f>AV19+AS19+AO19+AK19+AG19+AC19+Y19+V19+S19+O19+L19+I19</f>
        <v>17918</v>
      </c>
      <c r="BD19" s="126">
        <f>J19+M19+P19+T19+W19+Z19+AD19+AH19+AL19+AP19+AT19+AW19</f>
        <v>13806.9</v>
      </c>
      <c r="BE19" s="70">
        <v>661510</v>
      </c>
      <c r="BG19" s="484"/>
      <c r="BH19" s="484"/>
      <c r="BI19" s="527"/>
    </row>
    <row r="20" spans="1:65" s="24" customFormat="1" ht="15.75" thickBot="1" x14ac:dyDescent="0.3">
      <c r="A20" s="76">
        <v>661</v>
      </c>
      <c r="B20" s="505" t="s">
        <v>11</v>
      </c>
      <c r="C20" s="82">
        <f>SUM(C19)</f>
        <v>13496.582387683322</v>
      </c>
      <c r="D20" s="82">
        <f t="shared" ref="D20:E20" si="56">D19</f>
        <v>17918</v>
      </c>
      <c r="E20" s="83">
        <f t="shared" si="56"/>
        <v>13806.9</v>
      </c>
      <c r="F20" s="253">
        <f t="shared" si="12"/>
        <v>102.29923104533387</v>
      </c>
      <c r="G20" s="252">
        <f t="shared" si="13"/>
        <v>77.056033039401711</v>
      </c>
      <c r="H20" s="411">
        <f t="shared" ref="H20" si="57">H19</f>
        <v>0</v>
      </c>
      <c r="I20" s="115">
        <f t="shared" ref="I20:AP20" si="58">I19</f>
        <v>0</v>
      </c>
      <c r="J20" s="82">
        <f t="shared" si="58"/>
        <v>0</v>
      </c>
      <c r="K20" s="252">
        <f t="shared" si="0"/>
        <v>0</v>
      </c>
      <c r="L20" s="82">
        <f t="shared" si="58"/>
        <v>0</v>
      </c>
      <c r="M20" s="112">
        <f t="shared" si="58"/>
        <v>0</v>
      </c>
      <c r="N20" s="417">
        <f t="shared" ref="N20" si="59">N19</f>
        <v>0</v>
      </c>
      <c r="O20" s="82">
        <f t="shared" si="58"/>
        <v>0</v>
      </c>
      <c r="P20" s="82">
        <f t="shared" si="58"/>
        <v>0</v>
      </c>
      <c r="Q20" s="252">
        <f t="shared" si="1"/>
        <v>0</v>
      </c>
      <c r="R20" s="82">
        <f t="shared" ref="R20" si="60">R19</f>
        <v>0</v>
      </c>
      <c r="S20" s="82">
        <f t="shared" si="58"/>
        <v>0</v>
      </c>
      <c r="T20" s="82">
        <f t="shared" si="58"/>
        <v>0</v>
      </c>
      <c r="U20" s="252">
        <f t="shared" si="2"/>
        <v>0</v>
      </c>
      <c r="V20" s="82">
        <f t="shared" si="58"/>
        <v>0</v>
      </c>
      <c r="W20" s="82">
        <f t="shared" si="58"/>
        <v>0</v>
      </c>
      <c r="X20" s="82">
        <f t="shared" ref="X20" si="61">X19</f>
        <v>0</v>
      </c>
      <c r="Y20" s="82">
        <f t="shared" si="58"/>
        <v>0</v>
      </c>
      <c r="Z20" s="112">
        <f t="shared" si="58"/>
        <v>0</v>
      </c>
      <c r="AA20" s="252">
        <f t="shared" si="3"/>
        <v>0</v>
      </c>
      <c r="AB20" s="417">
        <f t="shared" ref="AB20" si="62">AB19</f>
        <v>0</v>
      </c>
      <c r="AC20" s="417">
        <f t="shared" si="58"/>
        <v>0</v>
      </c>
      <c r="AD20" s="82">
        <f t="shared" si="58"/>
        <v>0</v>
      </c>
      <c r="AE20" s="252">
        <f t="shared" si="4"/>
        <v>0</v>
      </c>
      <c r="AF20" s="82">
        <f t="shared" ref="AF20" si="63">AF19</f>
        <v>0</v>
      </c>
      <c r="AG20" s="82">
        <f t="shared" si="58"/>
        <v>0</v>
      </c>
      <c r="AH20" s="82">
        <f t="shared" si="58"/>
        <v>0</v>
      </c>
      <c r="AI20" s="252">
        <f t="shared" si="5"/>
        <v>0</v>
      </c>
      <c r="AJ20" s="82">
        <f t="shared" ref="AJ20" si="64">AJ19</f>
        <v>0</v>
      </c>
      <c r="AK20" s="82">
        <f t="shared" si="58"/>
        <v>0</v>
      </c>
      <c r="AL20" s="82">
        <f t="shared" si="58"/>
        <v>0</v>
      </c>
      <c r="AM20" s="252">
        <f t="shared" si="6"/>
        <v>0</v>
      </c>
      <c r="AN20" s="82">
        <f t="shared" ref="AN20" si="65">AN19</f>
        <v>13496.582387683322</v>
      </c>
      <c r="AO20" s="82">
        <f t="shared" si="58"/>
        <v>17918</v>
      </c>
      <c r="AP20" s="82">
        <f t="shared" si="58"/>
        <v>13806.9</v>
      </c>
      <c r="AQ20" s="252">
        <f t="shared" si="7"/>
        <v>77.056033039401711</v>
      </c>
      <c r="AR20" s="82">
        <f t="shared" ref="AR20" si="66">AR19</f>
        <v>0</v>
      </c>
      <c r="AS20" s="82">
        <f t="shared" ref="AS20:AT20" si="67">AS19</f>
        <v>0</v>
      </c>
      <c r="AT20" s="82">
        <f t="shared" si="67"/>
        <v>0</v>
      </c>
      <c r="AU20" s="252">
        <f t="shared" si="8"/>
        <v>0</v>
      </c>
      <c r="AV20" s="82">
        <f t="shared" ref="AV20:AX20" si="68">AV19</f>
        <v>0</v>
      </c>
      <c r="AW20" s="83">
        <f t="shared" si="68"/>
        <v>0</v>
      </c>
      <c r="AX20" s="407">
        <f t="shared" si="68"/>
        <v>0</v>
      </c>
      <c r="AY20" s="83">
        <f t="shared" ref="AY20:AZ20" si="69">AY19</f>
        <v>0</v>
      </c>
      <c r="AZ20" s="112">
        <f t="shared" si="69"/>
        <v>0</v>
      </c>
      <c r="BA20" s="407">
        <f t="shared" ref="BA20:BB20" si="70">BA19</f>
        <v>0</v>
      </c>
      <c r="BB20" s="83">
        <f t="shared" si="70"/>
        <v>0</v>
      </c>
      <c r="BC20" s="411">
        <f>BC19</f>
        <v>17918</v>
      </c>
      <c r="BD20" s="83">
        <f t="shared" ref="BD20" si="71">BD19</f>
        <v>13806.9</v>
      </c>
      <c r="BE20" s="76">
        <v>661</v>
      </c>
      <c r="BF20" s="522"/>
      <c r="BG20" s="489"/>
      <c r="BH20" s="489"/>
      <c r="BI20" s="529"/>
      <c r="BJ20" s="489"/>
      <c r="BK20" s="489"/>
      <c r="BL20" s="489"/>
      <c r="BM20" s="489"/>
    </row>
    <row r="21" spans="1:65" ht="15.75" thickBot="1" x14ac:dyDescent="0.3">
      <c r="A21" s="70">
        <v>663140</v>
      </c>
      <c r="B21" s="502" t="s">
        <v>2</v>
      </c>
      <c r="C21" s="75">
        <f t="shared" si="9"/>
        <v>238.90105514632688</v>
      </c>
      <c r="D21" s="8">
        <f t="shared" si="10"/>
        <v>1725</v>
      </c>
      <c r="E21" s="120">
        <f t="shared" si="11"/>
        <v>250</v>
      </c>
      <c r="F21" s="246">
        <f t="shared" si="12"/>
        <v>104.64583333333334</v>
      </c>
      <c r="G21" s="247">
        <f t="shared" si="13"/>
        <v>14.492753623188406</v>
      </c>
      <c r="H21" s="124"/>
      <c r="I21" s="123">
        <f>'izvršenje PO IZVORIMA-detaljno'!D20</f>
        <v>0</v>
      </c>
      <c r="J21" s="51"/>
      <c r="K21" s="1292">
        <f t="shared" si="0"/>
        <v>0</v>
      </c>
      <c r="L21" s="52"/>
      <c r="M21" s="51"/>
      <c r="N21" s="1312"/>
      <c r="O21" s="1312"/>
      <c r="P21" s="1315"/>
      <c r="Q21" s="1325">
        <f t="shared" si="1"/>
        <v>0</v>
      </c>
      <c r="R21" s="1315"/>
      <c r="S21" s="1314"/>
      <c r="T21" s="1315"/>
      <c r="U21" s="1325">
        <f t="shared" si="2"/>
        <v>0</v>
      </c>
      <c r="V21" s="1314"/>
      <c r="W21" s="1315"/>
      <c r="X21" s="1307">
        <f>'izvršenje PO IZVORIMA-detaljno'!AH20+'izvršenje PO IZVORIMA-detaljno'!AK20+'izvršenje PO IZVORIMA-detaljno'!AA20</f>
        <v>0</v>
      </c>
      <c r="Y21" s="1307">
        <f>'izvršenje PO IZVORIMA-detaljno'!AI20+'izvršenje PO IZVORIMA-detaljno'!AL20+'izvršenje PO IZVORIMA-detaljno'!AB20</f>
        <v>0</v>
      </c>
      <c r="Z21" s="1315"/>
      <c r="AA21" s="1325">
        <f t="shared" si="3"/>
        <v>0</v>
      </c>
      <c r="AB21" s="1354"/>
      <c r="AC21" s="1354">
        <f>'izvršenje PO IZVORIMA-detaljno'!G21+'izvršenje PO IZVORIMA-detaljno'!M21</f>
        <v>0</v>
      </c>
      <c r="AD21" s="1370"/>
      <c r="AE21" s="1371">
        <f t="shared" si="4"/>
        <v>0</v>
      </c>
      <c r="AF21" s="1356">
        <f>'izvršenje PO IZVORIMA-detaljno'!I20+'izvršenje PO IZVORIMA-detaljno'!O20</f>
        <v>0</v>
      </c>
      <c r="AG21" s="1356">
        <f>'izvršenje PO IZVORIMA-detaljno'!J20+'izvršenje PO IZVORIMA-detaljno'!P20</f>
        <v>0</v>
      </c>
      <c r="AH21" s="1370"/>
      <c r="AI21" s="1371">
        <f t="shared" si="5"/>
        <v>0</v>
      </c>
      <c r="AJ21" s="1366">
        <f>'izvršenje PO IZVORIMA-detaljno'!R20+'izvršenje PO IZVORIMA-detaljno'!S20</f>
        <v>0</v>
      </c>
      <c r="AK21" s="1354">
        <f>'izvršenje PO IZVORIMA-detaljno'!S20</f>
        <v>0</v>
      </c>
      <c r="AL21" s="1370"/>
      <c r="AM21" s="1371">
        <f t="shared" si="6"/>
        <v>0</v>
      </c>
      <c r="AN21" s="1351">
        <f>'izvršenje PO IZVORIMA-detaljno'!AN20</f>
        <v>0</v>
      </c>
      <c r="AO21" s="1351">
        <f>'izvršenje PO IZVORIMA-detaljno'!AO20</f>
        <v>0</v>
      </c>
      <c r="AP21" s="1370"/>
      <c r="AQ21" s="1371">
        <f t="shared" si="7"/>
        <v>0</v>
      </c>
      <c r="AR21" s="1351">
        <f>'izvršenje PO IZVORIMA-detaljno'!AQ20</f>
        <v>238.90105514632688</v>
      </c>
      <c r="AS21" s="1351">
        <f>'izvršenje PO IZVORIMA-detaljno'!AR20</f>
        <v>1725</v>
      </c>
      <c r="AT21" s="1372">
        <f>'izvršenje PO IZVORIMA-detaljno'!AS20</f>
        <v>250</v>
      </c>
      <c r="AU21" s="1371">
        <f t="shared" si="8"/>
        <v>14.492753623188406</v>
      </c>
      <c r="AV21" s="1357"/>
      <c r="AW21" s="1358"/>
      <c r="AX21" s="1433">
        <f>'izvršenje PO IZVORIMA-detaljno'!AT20</f>
        <v>0</v>
      </c>
      <c r="AY21" s="1399">
        <f>'izvršenje PO IZVORIMA-detaljno'!AU20</f>
        <v>0</v>
      </c>
      <c r="AZ21" s="1444"/>
      <c r="BA21" s="181">
        <f>'izvršenje PO IZVORIMA-detaljno'!AW20</f>
        <v>0</v>
      </c>
      <c r="BB21" s="178"/>
      <c r="BC21" s="129">
        <f>AV21+AS21+AO21+AK21+AG21+AC21+Y21+V21+S21+O21+L21+I21</f>
        <v>1725</v>
      </c>
      <c r="BD21" s="126">
        <f>J21+M21+P21+T21+W21+Z21+AD21+AH21+AL21+AP21+AT21+AW21</f>
        <v>250</v>
      </c>
      <c r="BE21" s="70">
        <v>663140</v>
      </c>
      <c r="BG21" s="484"/>
      <c r="BH21" s="484"/>
      <c r="BI21" s="527"/>
    </row>
    <row r="22" spans="1:65" s="24" customFormat="1" ht="15.75" thickBot="1" x14ac:dyDescent="0.3">
      <c r="A22" s="76">
        <v>663</v>
      </c>
      <c r="B22" s="505" t="s">
        <v>12</v>
      </c>
      <c r="C22" s="82">
        <f>SUM(C21)</f>
        <v>238.90105514632688</v>
      </c>
      <c r="D22" s="82">
        <f>D21</f>
        <v>1725</v>
      </c>
      <c r="E22" s="83">
        <f t="shared" ref="E22" si="72">E21</f>
        <v>250</v>
      </c>
      <c r="F22" s="253">
        <f t="shared" si="12"/>
        <v>104.64583333333334</v>
      </c>
      <c r="G22" s="252">
        <f t="shared" si="13"/>
        <v>14.492753623188406</v>
      </c>
      <c r="H22" s="411">
        <f t="shared" ref="H22" si="73">H21</f>
        <v>0</v>
      </c>
      <c r="I22" s="115">
        <f t="shared" ref="I22:AP22" si="74">I21</f>
        <v>0</v>
      </c>
      <c r="J22" s="82">
        <f t="shared" si="74"/>
        <v>0</v>
      </c>
      <c r="K22" s="252">
        <f t="shared" si="0"/>
        <v>0</v>
      </c>
      <c r="L22" s="82">
        <f t="shared" si="74"/>
        <v>0</v>
      </c>
      <c r="M22" s="112">
        <f t="shared" si="74"/>
        <v>0</v>
      </c>
      <c r="N22" s="417">
        <f t="shared" ref="N22" si="75">N21</f>
        <v>0</v>
      </c>
      <c r="O22" s="82">
        <f t="shared" si="74"/>
        <v>0</v>
      </c>
      <c r="P22" s="82">
        <f t="shared" si="74"/>
        <v>0</v>
      </c>
      <c r="Q22" s="252">
        <f t="shared" si="1"/>
        <v>0</v>
      </c>
      <c r="R22" s="82">
        <f t="shared" ref="R22" si="76">R21</f>
        <v>0</v>
      </c>
      <c r="S22" s="82">
        <f t="shared" si="74"/>
        <v>0</v>
      </c>
      <c r="T22" s="82">
        <f t="shared" si="74"/>
        <v>0</v>
      </c>
      <c r="U22" s="252">
        <f t="shared" si="2"/>
        <v>0</v>
      </c>
      <c r="V22" s="82">
        <f t="shared" si="74"/>
        <v>0</v>
      </c>
      <c r="W22" s="82">
        <f t="shared" si="74"/>
        <v>0</v>
      </c>
      <c r="X22" s="82">
        <f t="shared" ref="X22" si="77">X21</f>
        <v>0</v>
      </c>
      <c r="Y22" s="82">
        <f t="shared" si="74"/>
        <v>0</v>
      </c>
      <c r="Z22" s="112">
        <f t="shared" si="74"/>
        <v>0</v>
      </c>
      <c r="AA22" s="252">
        <f t="shared" si="3"/>
        <v>0</v>
      </c>
      <c r="AB22" s="417">
        <f t="shared" ref="AB22" si="78">AB21</f>
        <v>0</v>
      </c>
      <c r="AC22" s="417">
        <f t="shared" si="74"/>
        <v>0</v>
      </c>
      <c r="AD22" s="82">
        <f t="shared" si="74"/>
        <v>0</v>
      </c>
      <c r="AE22" s="252">
        <f t="shared" si="4"/>
        <v>0</v>
      </c>
      <c r="AF22" s="82">
        <f t="shared" ref="AF22" si="79">AF21</f>
        <v>0</v>
      </c>
      <c r="AG22" s="82">
        <f t="shared" si="74"/>
        <v>0</v>
      </c>
      <c r="AH22" s="82">
        <f t="shared" si="74"/>
        <v>0</v>
      </c>
      <c r="AI22" s="252">
        <f t="shared" si="5"/>
        <v>0</v>
      </c>
      <c r="AJ22" s="82">
        <f t="shared" ref="AJ22" si="80">AJ21</f>
        <v>0</v>
      </c>
      <c r="AK22" s="82">
        <f t="shared" si="74"/>
        <v>0</v>
      </c>
      <c r="AL22" s="82">
        <f t="shared" si="74"/>
        <v>0</v>
      </c>
      <c r="AM22" s="252">
        <f t="shared" si="6"/>
        <v>0</v>
      </c>
      <c r="AN22" s="82">
        <f t="shared" ref="AN22" si="81">AN21</f>
        <v>0</v>
      </c>
      <c r="AO22" s="82">
        <f t="shared" si="74"/>
        <v>0</v>
      </c>
      <c r="AP22" s="82">
        <f t="shared" si="74"/>
        <v>0</v>
      </c>
      <c r="AQ22" s="252">
        <f t="shared" si="7"/>
        <v>0</v>
      </c>
      <c r="AR22" s="82">
        <f t="shared" ref="AR22" si="82">AR21</f>
        <v>238.90105514632688</v>
      </c>
      <c r="AS22" s="82">
        <f t="shared" ref="AS22:AT22" si="83">AS21</f>
        <v>1725</v>
      </c>
      <c r="AT22" s="82">
        <f t="shared" si="83"/>
        <v>250</v>
      </c>
      <c r="AU22" s="252">
        <f t="shared" si="8"/>
        <v>14.492753623188406</v>
      </c>
      <c r="AV22" s="82">
        <f t="shared" ref="AV22:AX22" si="84">AV21</f>
        <v>0</v>
      </c>
      <c r="AW22" s="83">
        <f t="shared" si="84"/>
        <v>0</v>
      </c>
      <c r="AX22" s="407">
        <f t="shared" si="84"/>
        <v>0</v>
      </c>
      <c r="AY22" s="83">
        <f t="shared" ref="AY22:AZ22" si="85">AY21</f>
        <v>0</v>
      </c>
      <c r="AZ22" s="112">
        <f t="shared" si="85"/>
        <v>0</v>
      </c>
      <c r="BA22" s="407">
        <f t="shared" ref="BA22:BB22" si="86">BA21</f>
        <v>0</v>
      </c>
      <c r="BB22" s="83">
        <f t="shared" si="86"/>
        <v>0</v>
      </c>
      <c r="BC22" s="411">
        <f>BC21</f>
        <v>1725</v>
      </c>
      <c r="BD22" s="83">
        <f t="shared" ref="BD22" si="87">BD21</f>
        <v>250</v>
      </c>
      <c r="BE22" s="76">
        <v>663</v>
      </c>
      <c r="BF22" s="522"/>
      <c r="BG22" s="489"/>
      <c r="BH22" s="489"/>
      <c r="BI22" s="529"/>
      <c r="BJ22" s="489"/>
      <c r="BK22" s="489"/>
      <c r="BL22" s="489"/>
      <c r="BM22" s="489"/>
    </row>
    <row r="23" spans="1:65" x14ac:dyDescent="0.25">
      <c r="A23" s="68">
        <v>671110</v>
      </c>
      <c r="B23" s="498" t="s">
        <v>3</v>
      </c>
      <c r="C23" s="75">
        <f t="shared" si="9"/>
        <v>102234.15488751743</v>
      </c>
      <c r="D23" s="8">
        <f t="shared" si="10"/>
        <v>137726</v>
      </c>
      <c r="E23" s="120">
        <f t="shared" si="11"/>
        <v>130101.24999999999</v>
      </c>
      <c r="F23" s="240">
        <f t="shared" si="12"/>
        <v>127.25810678744611</v>
      </c>
      <c r="G23" s="241">
        <f t="shared" si="13"/>
        <v>94.463826728431798</v>
      </c>
      <c r="H23" s="124"/>
      <c r="I23" s="123">
        <f>'izvršenje PO IZVORIMA-detaljno'!D22</f>
        <v>0</v>
      </c>
      <c r="J23" s="51"/>
      <c r="K23" s="1286">
        <f t="shared" si="0"/>
        <v>0</v>
      </c>
      <c r="L23" s="52"/>
      <c r="M23" s="51"/>
      <c r="N23" s="1312">
        <f>'izvršenje PO IZVORIMA-detaljno'!V22</f>
        <v>100571.95168889774</v>
      </c>
      <c r="O23" s="1312">
        <f>'izvršenje PO IZVORIMA-detaljno'!W22</f>
        <v>113431</v>
      </c>
      <c r="P23" s="1326">
        <f>'izvršenje PO IZVORIMA-detaljno'!X22</f>
        <v>113459.37999999999</v>
      </c>
      <c r="Q23" s="1309">
        <f t="shared" si="1"/>
        <v>100.02501961544903</v>
      </c>
      <c r="R23" s="1326">
        <f>'izvršenje PO IZVORIMA-detaljno'!Y22</f>
        <v>0</v>
      </c>
      <c r="S23" s="1312">
        <f>'izvršenje PO IZVORIMA-detaljno'!Z22</f>
        <v>19135</v>
      </c>
      <c r="T23" s="1326">
        <f>'izvršenje PO IZVORIMA-detaljno'!AA22</f>
        <v>13804.080000000002</v>
      </c>
      <c r="U23" s="1309">
        <f t="shared" si="2"/>
        <v>72.140475568330302</v>
      </c>
      <c r="V23" s="1312">
        <f>'izvršenje PO IZVORIMA-detaljno'!AD22+'izvršenje PO IZVORIMA-detaljno'!AF22</f>
        <v>0</v>
      </c>
      <c r="W23" s="1315"/>
      <c r="X23" s="1465">
        <f>'izvršenje PO IZVORIMA-detaljno'!AH22+'izvršenje PO IZVORIMA-detaljno'!AK22</f>
        <v>589.28926936093967</v>
      </c>
      <c r="Y23" s="1307">
        <f>'izvršenje PO IZVORIMA-detaljno'!AI22+'izvršenje PO IZVORIMA-detaljno'!AL22+'izvršenje PO IZVORIMA-detaljno'!AB22</f>
        <v>5160</v>
      </c>
      <c r="Z23" s="1326">
        <f>'izvršenje PO IZVORIMA-detaljno'!AJ22+'izvršenje PO IZVORIMA-detaljno'!AM22+'izvršenje PO IZVORIMA-detaljno'!AC22</f>
        <v>2837.79</v>
      </c>
      <c r="AA23" s="1309">
        <f t="shared" si="3"/>
        <v>54.995930232558145</v>
      </c>
      <c r="AB23" s="1354"/>
      <c r="AC23" s="1354">
        <f>'izvršenje PO IZVORIMA-detaljno'!G23+'izvršenje PO IZVORIMA-detaljno'!M23</f>
        <v>0</v>
      </c>
      <c r="AD23" s="1370"/>
      <c r="AE23" s="1350">
        <f t="shared" si="4"/>
        <v>0</v>
      </c>
      <c r="AF23" s="1356">
        <f>'izvršenje PO IZVORIMA-detaljno'!I22+'izvršenje PO IZVORIMA-detaljno'!O22</f>
        <v>0</v>
      </c>
      <c r="AG23" s="1356">
        <f>'izvršenje PO IZVORIMA-detaljno'!J22+'izvršenje PO IZVORIMA-detaljno'!P22</f>
        <v>0</v>
      </c>
      <c r="AH23" s="1370"/>
      <c r="AI23" s="1350">
        <f t="shared" si="5"/>
        <v>0</v>
      </c>
      <c r="AJ23" s="1366">
        <f>'izvršenje PO IZVORIMA-detaljno'!R22+'izvršenje PO IZVORIMA-detaljno'!S22</f>
        <v>0</v>
      </c>
      <c r="AK23" s="1354">
        <f>'izvršenje PO IZVORIMA-detaljno'!S22</f>
        <v>0</v>
      </c>
      <c r="AL23" s="1370"/>
      <c r="AM23" s="1350">
        <f t="shared" si="6"/>
        <v>0</v>
      </c>
      <c r="AN23" s="1351">
        <f>'izvršenje PO IZVORIMA-detaljno'!AN22</f>
        <v>0</v>
      </c>
      <c r="AO23" s="1351">
        <f>'izvršenje PO IZVORIMA-detaljno'!AO22</f>
        <v>0</v>
      </c>
      <c r="AP23" s="1370"/>
      <c r="AQ23" s="1350">
        <f t="shared" si="7"/>
        <v>0</v>
      </c>
      <c r="AR23" s="1351">
        <f>'izvršenje PO IZVORIMA-detaljno'!AQ22</f>
        <v>0</v>
      </c>
      <c r="AS23" s="1351">
        <f>'izvršenje PO IZVORIMA-detaljno'!AR22</f>
        <v>0</v>
      </c>
      <c r="AT23" s="1370"/>
      <c r="AU23" s="1350">
        <f t="shared" si="8"/>
        <v>0</v>
      </c>
      <c r="AV23" s="1357"/>
      <c r="AW23" s="1358"/>
      <c r="AX23" s="1433">
        <f>'izvršenje PO IZVORIMA-detaljno'!AT22</f>
        <v>1072.9139292587429</v>
      </c>
      <c r="AY23" s="1399">
        <f>'izvršenje PO IZVORIMA-detaljno'!AU22</f>
        <v>0</v>
      </c>
      <c r="AZ23" s="1448">
        <f>'izvršenje PO IZVORIMA-detaljno'!AV22+'izvršenje PO IZVORIMA-detaljno'!AW22+'izvršenje PO IZVORIMA-detaljno'!AX22</f>
        <v>0</v>
      </c>
      <c r="BA23" s="181">
        <f>'izvršenje PO IZVORIMA-detaljno'!AW22</f>
        <v>0</v>
      </c>
      <c r="BB23" s="408">
        <f>'izvršenje PO IZVORIMA-detaljno'!AX22+'izvršenje PO IZVORIMA-detaljno'!AY22+'izvršenje PO IZVORIMA-detaljno'!AZ22</f>
        <v>0</v>
      </c>
      <c r="BC23" s="129">
        <f>AV23+AS23+AO23+AK23+AG23+AC23+Y23+V23+S23+O23+L23+I23+AY23</f>
        <v>137726</v>
      </c>
      <c r="BD23" s="126">
        <f>J23+M23+P23+T23+W23+Z23+AD23+AH23+AL23+AP23+AT23+AW23+AZ23</f>
        <v>130101.24999999999</v>
      </c>
      <c r="BE23" s="68">
        <v>671110</v>
      </c>
      <c r="BG23" s="484"/>
      <c r="BH23" s="484"/>
      <c r="BI23" s="527"/>
    </row>
    <row r="24" spans="1:65" x14ac:dyDescent="0.25">
      <c r="A24" s="73">
        <v>671210</v>
      </c>
      <c r="B24" s="500" t="s">
        <v>143</v>
      </c>
      <c r="C24" s="75">
        <f t="shared" si="9"/>
        <v>168031.77782201872</v>
      </c>
      <c r="D24" s="8">
        <f t="shared" si="10"/>
        <v>148147</v>
      </c>
      <c r="E24" s="120">
        <f t="shared" si="11"/>
        <v>168716.50999999998</v>
      </c>
      <c r="F24" s="242">
        <f t="shared" si="12"/>
        <v>100.40750159693397</v>
      </c>
      <c r="G24" s="243">
        <f t="shared" si="13"/>
        <v>113.88452685508312</v>
      </c>
      <c r="H24" s="124"/>
      <c r="I24" s="123">
        <f>'izvršenje PO IZVORIMA-detaljno'!D23</f>
        <v>0</v>
      </c>
      <c r="J24" s="51"/>
      <c r="K24" s="1288">
        <f t="shared" si="0"/>
        <v>0</v>
      </c>
      <c r="L24" s="52"/>
      <c r="M24" s="51"/>
      <c r="N24" s="1312">
        <f>'izvršenje PO IZVORIMA-detaljno'!V23</f>
        <v>68489.671511049164</v>
      </c>
      <c r="O24" s="1312">
        <f>'izvršenje PO IZVORIMA-detaljno'!W23</f>
        <v>1747</v>
      </c>
      <c r="P24" s="1326">
        <f>'izvršenje PO IZVORIMA-detaljno'!X23</f>
        <v>1718.6200000000001</v>
      </c>
      <c r="Q24" s="1316">
        <f t="shared" si="1"/>
        <v>98.375500858614771</v>
      </c>
      <c r="R24" s="1326">
        <f>'izvršenje PO IZVORIMA-detaljno'!Y23</f>
        <v>99542.106310969539</v>
      </c>
      <c r="S24" s="1312">
        <f>'izvršenje PO IZVORIMA-detaljno'!Z23</f>
        <v>146400</v>
      </c>
      <c r="T24" s="1326">
        <f>'izvršenje PO IZVORIMA-detaljno'!AA23</f>
        <v>166997.88999999998</v>
      </c>
      <c r="U24" s="1316">
        <f t="shared" si="2"/>
        <v>114.06959699453552</v>
      </c>
      <c r="V24" s="1314"/>
      <c r="W24" s="1315"/>
      <c r="X24" s="1466"/>
      <c r="Y24" s="1307">
        <f>'izvršenje PO IZVORIMA-detaljno'!AI23+'izvršenje PO IZVORIMA-detaljno'!AL23+'izvršenje PO IZVORIMA-detaljno'!AB23</f>
        <v>0</v>
      </c>
      <c r="Z24" s="1315"/>
      <c r="AA24" s="1316">
        <f t="shared" si="3"/>
        <v>0</v>
      </c>
      <c r="AB24" s="1354"/>
      <c r="AC24" s="1354">
        <f>'izvršenje PO IZVORIMA-detaljno'!G25+'izvršenje PO IZVORIMA-detaljno'!M25</f>
        <v>0</v>
      </c>
      <c r="AD24" s="1370"/>
      <c r="AE24" s="1359">
        <f t="shared" si="4"/>
        <v>0</v>
      </c>
      <c r="AF24" s="1356">
        <f>'izvršenje PO IZVORIMA-detaljno'!I23+'izvršenje PO IZVORIMA-detaljno'!O23</f>
        <v>0</v>
      </c>
      <c r="AG24" s="1356">
        <f>'izvršenje PO IZVORIMA-detaljno'!J23+'izvršenje PO IZVORIMA-detaljno'!P23</f>
        <v>0</v>
      </c>
      <c r="AH24" s="1370"/>
      <c r="AI24" s="1359">
        <f t="shared" si="5"/>
        <v>0</v>
      </c>
      <c r="AJ24" s="1366">
        <f>'izvršenje PO IZVORIMA-detaljno'!R23+'izvršenje PO IZVORIMA-detaljno'!S23</f>
        <v>0</v>
      </c>
      <c r="AK24" s="1354">
        <f>'izvršenje PO IZVORIMA-detaljno'!S23</f>
        <v>0</v>
      </c>
      <c r="AL24" s="1370"/>
      <c r="AM24" s="1359">
        <f t="shared" si="6"/>
        <v>0</v>
      </c>
      <c r="AN24" s="1351">
        <f>'izvršenje PO IZVORIMA-detaljno'!AN23</f>
        <v>0</v>
      </c>
      <c r="AO24" s="1351">
        <f>'izvršenje PO IZVORIMA-detaljno'!AO23</f>
        <v>0</v>
      </c>
      <c r="AP24" s="1370"/>
      <c r="AQ24" s="1359">
        <f t="shared" si="7"/>
        <v>0</v>
      </c>
      <c r="AR24" s="1351">
        <f>'izvršenje PO IZVORIMA-detaljno'!AQ23</f>
        <v>0</v>
      </c>
      <c r="AS24" s="1351">
        <f>'izvršenje PO IZVORIMA-detaljno'!AR23</f>
        <v>0</v>
      </c>
      <c r="AT24" s="1370"/>
      <c r="AU24" s="1359">
        <f t="shared" si="8"/>
        <v>0</v>
      </c>
      <c r="AV24" s="1357"/>
      <c r="AW24" s="1358"/>
      <c r="AX24" s="1433">
        <f>'izvršenje PO IZVORIMA-detaljno'!AT23</f>
        <v>0</v>
      </c>
      <c r="AY24" s="1399">
        <f>'izvršenje PO IZVORIMA-detaljno'!AU23</f>
        <v>0</v>
      </c>
      <c r="AZ24" s="1444"/>
      <c r="BA24" s="181">
        <f>'izvršenje PO IZVORIMA-detaljno'!AW23</f>
        <v>0</v>
      </c>
      <c r="BB24" s="178"/>
      <c r="BC24" s="129">
        <f>AV24+AS24+AO24+AK24+AG24+AC24+Y24+V24+S24+O24+L24+I24</f>
        <v>148147</v>
      </c>
      <c r="BD24" s="126">
        <f>J24+M24+P24+T24+W24+Z24+AD24+AH24+AL24+AP24+AT24+AW24</f>
        <v>168716.50999999998</v>
      </c>
      <c r="BE24" s="73">
        <v>671210</v>
      </c>
      <c r="BG24" s="484"/>
      <c r="BH24" s="484"/>
      <c r="BI24" s="527"/>
    </row>
    <row r="25" spans="1:65" ht="15.75" thickBot="1" x14ac:dyDescent="0.3">
      <c r="A25" s="73">
        <v>671410</v>
      </c>
      <c r="B25" s="500" t="s">
        <v>263</v>
      </c>
      <c r="C25" s="75">
        <f t="shared" si="9"/>
        <v>0</v>
      </c>
      <c r="D25" s="8">
        <f>BC25</f>
        <v>0</v>
      </c>
      <c r="E25" s="120">
        <f>BD25</f>
        <v>0</v>
      </c>
      <c r="F25" s="242"/>
      <c r="G25" s="243"/>
      <c r="H25" s="124"/>
      <c r="I25" s="123"/>
      <c r="J25" s="51"/>
      <c r="K25" s="1288"/>
      <c r="L25" s="52"/>
      <c r="M25" s="51"/>
      <c r="N25" s="1312"/>
      <c r="O25" s="1312"/>
      <c r="P25" s="1326"/>
      <c r="Q25" s="1316"/>
      <c r="R25" s="1326"/>
      <c r="S25" s="1312">
        <f>'izvršenje PO IZVORIMA-detaljno'!Z24</f>
        <v>0</v>
      </c>
      <c r="T25" s="1326"/>
      <c r="U25" s="1316"/>
      <c r="V25" s="1314"/>
      <c r="W25" s="1315"/>
      <c r="X25" s="1467"/>
      <c r="Y25" s="1307"/>
      <c r="Z25" s="1315"/>
      <c r="AA25" s="1316"/>
      <c r="AB25" s="1354"/>
      <c r="AC25" s="1354"/>
      <c r="AD25" s="1370"/>
      <c r="AE25" s="1359"/>
      <c r="AF25" s="1356"/>
      <c r="AG25" s="1356"/>
      <c r="AH25" s="1370"/>
      <c r="AI25" s="1359"/>
      <c r="AJ25" s="1366">
        <f>'izvršenje PO IZVORIMA-detaljno'!R24+'izvršenje PO IZVORIMA-detaljno'!S24</f>
        <v>0</v>
      </c>
      <c r="AK25" s="1354"/>
      <c r="AL25" s="1370"/>
      <c r="AM25" s="1359"/>
      <c r="AN25" s="1351"/>
      <c r="AO25" s="1351"/>
      <c r="AP25" s="1370"/>
      <c r="AQ25" s="1359"/>
      <c r="AR25" s="1351"/>
      <c r="AS25" s="1351"/>
      <c r="AT25" s="1370"/>
      <c r="AU25" s="1359"/>
      <c r="AV25" s="1357"/>
      <c r="AW25" s="1358"/>
      <c r="AX25" s="1433"/>
      <c r="AY25" s="1399"/>
      <c r="AZ25" s="1444"/>
      <c r="BA25" s="181"/>
      <c r="BB25" s="178"/>
      <c r="BC25" s="129">
        <f>AV25+AS25+AO25+AK25+AG25+AC25+Y25+V25+S25+O25+L25+I25</f>
        <v>0</v>
      </c>
      <c r="BD25" s="126">
        <f>J25+M25+P25+T25+W25+Z25+AD25+AH25+AL25+AP25+AT25+AW25</f>
        <v>0</v>
      </c>
      <c r="BE25" s="73">
        <v>671410</v>
      </c>
      <c r="BG25" s="484"/>
      <c r="BH25" s="484"/>
      <c r="BI25" s="527"/>
    </row>
    <row r="26" spans="1:65" s="24" customFormat="1" ht="15.75" thickBot="1" x14ac:dyDescent="0.3">
      <c r="A26" s="76">
        <v>671</v>
      </c>
      <c r="B26" s="505" t="s">
        <v>13</v>
      </c>
      <c r="C26" s="82">
        <f>SUM(C23:C25)</f>
        <v>270265.93270953617</v>
      </c>
      <c r="D26" s="82">
        <f>SUM(D23:D25)</f>
        <v>285873</v>
      </c>
      <c r="E26" s="83">
        <f>SUM(E23:E24)</f>
        <v>298817.75999999995</v>
      </c>
      <c r="F26" s="253">
        <f t="shared" si="12"/>
        <v>110.56434564438773</v>
      </c>
      <c r="G26" s="252">
        <f t="shared" si="13"/>
        <v>104.52815061233483</v>
      </c>
      <c r="H26" s="411">
        <f t="shared" ref="H26" si="88">SUM(H23:H24)</f>
        <v>0</v>
      </c>
      <c r="I26" s="115">
        <f t="shared" ref="I26:AP26" si="89">SUM(I23:I24)</f>
        <v>0</v>
      </c>
      <c r="J26" s="82">
        <f t="shared" si="89"/>
        <v>0</v>
      </c>
      <c r="K26" s="252">
        <f t="shared" ref="K26:K35" si="90">IF(I26&lt;&gt;0,J26/I26*100,0)</f>
        <v>0</v>
      </c>
      <c r="L26" s="82">
        <f t="shared" si="89"/>
        <v>0</v>
      </c>
      <c r="M26" s="112">
        <f t="shared" si="89"/>
        <v>0</v>
      </c>
      <c r="N26" s="417">
        <f t="shared" ref="N26" si="91">SUM(N23:N24)</f>
        <v>169061.62319994689</v>
      </c>
      <c r="O26" s="82">
        <f t="shared" si="89"/>
        <v>115178</v>
      </c>
      <c r="P26" s="82">
        <f t="shared" si="89"/>
        <v>115177.99999999999</v>
      </c>
      <c r="Q26" s="252">
        <f t="shared" ref="Q26:Q35" si="92">IF(O26&lt;&gt;0,P26/O26*100,0)</f>
        <v>99.999999999999986</v>
      </c>
      <c r="R26" s="82">
        <f>SUM(R23:R25)</f>
        <v>99542.106310969539</v>
      </c>
      <c r="S26" s="82">
        <f>SUM(S23:S25)</f>
        <v>165535</v>
      </c>
      <c r="T26" s="82">
        <f>SUM(T23:T24)</f>
        <v>180801.96999999997</v>
      </c>
      <c r="U26" s="252">
        <f t="shared" ref="U26:U35" si="93">IF(S26&lt;&gt;0,T26/S26*100,0)</f>
        <v>109.22280484489684</v>
      </c>
      <c r="V26" s="82">
        <f t="shared" si="89"/>
        <v>0</v>
      </c>
      <c r="W26" s="82">
        <f t="shared" si="89"/>
        <v>0</v>
      </c>
      <c r="X26" s="82">
        <f>SUM(X23:X25)</f>
        <v>589.28926936093967</v>
      </c>
      <c r="Y26" s="82">
        <f t="shared" si="89"/>
        <v>5160</v>
      </c>
      <c r="Z26" s="112">
        <f t="shared" si="89"/>
        <v>2837.79</v>
      </c>
      <c r="AA26" s="252">
        <f t="shared" ref="AA26:AA35" si="94">IF(Y26&lt;&gt;0,Z26/Y26*100,0)</f>
        <v>54.995930232558145</v>
      </c>
      <c r="AB26" s="417">
        <f t="shared" ref="AB26" si="95">SUM(AB23:AB24)</f>
        <v>0</v>
      </c>
      <c r="AC26" s="417">
        <f t="shared" si="89"/>
        <v>0</v>
      </c>
      <c r="AD26" s="82">
        <f t="shared" si="89"/>
        <v>0</v>
      </c>
      <c r="AE26" s="252">
        <f t="shared" ref="AE26:AE35" si="96">IF(AC26&lt;&gt;0,AD26/AC26*100,0)</f>
        <v>0</v>
      </c>
      <c r="AF26" s="82">
        <f t="shared" ref="AF26" si="97">SUM(AF23:AF24)</f>
        <v>0</v>
      </c>
      <c r="AG26" s="82">
        <f t="shared" si="89"/>
        <v>0</v>
      </c>
      <c r="AH26" s="82">
        <f t="shared" si="89"/>
        <v>0</v>
      </c>
      <c r="AI26" s="252">
        <f t="shared" ref="AI26:AI35" si="98">IF(AG26&lt;&gt;0,AH26/AG26*100,0)</f>
        <v>0</v>
      </c>
      <c r="AJ26" s="82">
        <f t="shared" ref="AJ26" si="99">SUM(AJ23:AJ24)</f>
        <v>0</v>
      </c>
      <c r="AK26" s="82">
        <f t="shared" si="89"/>
        <v>0</v>
      </c>
      <c r="AL26" s="82">
        <f t="shared" si="89"/>
        <v>0</v>
      </c>
      <c r="AM26" s="252">
        <f t="shared" ref="AM26:AM35" si="100">IF(AK26&lt;&gt;0,AL26/AK26*100,0)</f>
        <v>0</v>
      </c>
      <c r="AN26" s="82">
        <f t="shared" ref="AN26" si="101">SUM(AN23:AN24)</f>
        <v>0</v>
      </c>
      <c r="AO26" s="82">
        <f t="shared" si="89"/>
        <v>0</v>
      </c>
      <c r="AP26" s="82">
        <f t="shared" si="89"/>
        <v>0</v>
      </c>
      <c r="AQ26" s="252">
        <f t="shared" ref="AQ26:AQ35" si="102">IF(AO26&lt;&gt;0,AP26/AO26*100,0)</f>
        <v>0</v>
      </c>
      <c r="AR26" s="82">
        <f t="shared" ref="AR26" si="103">SUM(AR23:AR24)</f>
        <v>0</v>
      </c>
      <c r="AS26" s="82">
        <f t="shared" ref="AS26:AT26" si="104">SUM(AS23:AS24)</f>
        <v>0</v>
      </c>
      <c r="AT26" s="82">
        <f t="shared" si="104"/>
        <v>0</v>
      </c>
      <c r="AU26" s="252">
        <f t="shared" ref="AU26:AU35" si="105">IF(AS26&lt;&gt;0,AT26/AS26*100,0)</f>
        <v>0</v>
      </c>
      <c r="AV26" s="82">
        <f t="shared" ref="AV26:AX26" si="106">SUM(AV23:AV24)</f>
        <v>0</v>
      </c>
      <c r="AW26" s="83">
        <f t="shared" si="106"/>
        <v>0</v>
      </c>
      <c r="AX26" s="407">
        <f t="shared" si="106"/>
        <v>1072.9139292587429</v>
      </c>
      <c r="AY26" s="83">
        <f t="shared" ref="AY26:AZ26" si="107">SUM(AY23:AY24)</f>
        <v>0</v>
      </c>
      <c r="AZ26" s="112">
        <f t="shared" si="107"/>
        <v>0</v>
      </c>
      <c r="BA26" s="407">
        <f t="shared" ref="BA26:BB26" si="108">SUM(BA23:BA24)</f>
        <v>0</v>
      </c>
      <c r="BB26" s="83">
        <f t="shared" si="108"/>
        <v>0</v>
      </c>
      <c r="BC26" s="411">
        <f>SUM(BC23:BC25)</f>
        <v>285873</v>
      </c>
      <c r="BD26" s="83">
        <f>SUM(BD23:BD25)</f>
        <v>298817.75999999995</v>
      </c>
      <c r="BE26" s="76">
        <v>671</v>
      </c>
      <c r="BF26" s="522"/>
      <c r="BG26" s="489"/>
      <c r="BH26" s="489"/>
      <c r="BI26" s="529"/>
      <c r="BJ26" s="489"/>
      <c r="BK26" s="489"/>
      <c r="BL26" s="489"/>
      <c r="BM26" s="489"/>
    </row>
    <row r="27" spans="1:65" ht="15.75" thickBot="1" x14ac:dyDescent="0.3">
      <c r="A27" s="70">
        <v>683110</v>
      </c>
      <c r="B27" s="502" t="s">
        <v>4</v>
      </c>
      <c r="C27" s="75">
        <f t="shared" si="9"/>
        <v>8170.9429955537853</v>
      </c>
      <c r="D27" s="8">
        <f t="shared" si="10"/>
        <v>12476</v>
      </c>
      <c r="E27" s="120">
        <f>BD27</f>
        <v>5607.03</v>
      </c>
      <c r="F27" s="246">
        <f t="shared" si="12"/>
        <v>68.621577742630961</v>
      </c>
      <c r="G27" s="247">
        <f t="shared" si="13"/>
        <v>44.942529656941325</v>
      </c>
      <c r="H27" s="124"/>
      <c r="I27" s="123">
        <f>'izvršenje PO IZVORIMA-detaljno'!D26</f>
        <v>0</v>
      </c>
      <c r="J27" s="51"/>
      <c r="K27" s="1292">
        <f t="shared" si="90"/>
        <v>0</v>
      </c>
      <c r="L27" s="52"/>
      <c r="M27" s="51"/>
      <c r="N27" s="1312">
        <f>'izvršenje PO IZVORIMA-detaljno'!V34</f>
        <v>0</v>
      </c>
      <c r="O27" s="1312">
        <f>'izvršenje PO IZVORIMA-detaljno'!W34</f>
        <v>0</v>
      </c>
      <c r="P27" s="1315"/>
      <c r="Q27" s="1325">
        <f t="shared" si="92"/>
        <v>0</v>
      </c>
      <c r="R27" s="1314"/>
      <c r="S27" s="1314"/>
      <c r="T27" s="1315"/>
      <c r="U27" s="1325">
        <f t="shared" si="93"/>
        <v>0</v>
      </c>
      <c r="V27" s="1314"/>
      <c r="W27" s="1315"/>
      <c r="X27" s="1315"/>
      <c r="Y27" s="1307">
        <f>'izvršenje PO IZVORIMA-detaljno'!AI26+'izvršenje PO IZVORIMA-detaljno'!AL26+'izvršenje PO IZVORIMA-detaljno'!AB26</f>
        <v>0</v>
      </c>
      <c r="Z27" s="1315"/>
      <c r="AA27" s="1325">
        <f t="shared" si="94"/>
        <v>0</v>
      </c>
      <c r="AB27" s="1354"/>
      <c r="AC27" s="1354">
        <f>'izvršenje PO IZVORIMA-detaljno'!G27+'izvršenje PO IZVORIMA-detaljno'!M27</f>
        <v>0</v>
      </c>
      <c r="AD27" s="1370"/>
      <c r="AE27" s="1371">
        <f t="shared" si="96"/>
        <v>0</v>
      </c>
      <c r="AF27" s="1356">
        <f>'izvršenje PO IZVORIMA-detaljno'!I26+'izvršenje PO IZVORIMA-detaljno'!O26</f>
        <v>0</v>
      </c>
      <c r="AG27" s="1356">
        <f>'izvršenje PO IZVORIMA-detaljno'!J26+'izvršenje PO IZVORIMA-detaljno'!P26</f>
        <v>0</v>
      </c>
      <c r="AH27" s="1370"/>
      <c r="AI27" s="1371">
        <f t="shared" si="98"/>
        <v>0</v>
      </c>
      <c r="AJ27" s="1354">
        <f>'izvršenje PO IZVORIMA-detaljno'!R26</f>
        <v>0</v>
      </c>
      <c r="AK27" s="1354">
        <f>'izvršenje PO IZVORIMA-detaljno'!S26</f>
        <v>0</v>
      </c>
      <c r="AL27" s="1370"/>
      <c r="AM27" s="1371">
        <f t="shared" si="100"/>
        <v>0</v>
      </c>
      <c r="AN27" s="1372">
        <f>'izvršenje PO IZVORIMA-detaljno'!AN26</f>
        <v>8170.9429955537853</v>
      </c>
      <c r="AO27" s="1351">
        <f>'izvršenje PO IZVORIMA-detaljno'!AO26</f>
        <v>12476</v>
      </c>
      <c r="AP27" s="1372">
        <f>'izvršenje PO IZVORIMA-detaljno'!AP26</f>
        <v>5607.03</v>
      </c>
      <c r="AQ27" s="1371">
        <f t="shared" si="102"/>
        <v>44.942529656941325</v>
      </c>
      <c r="AR27" s="1351">
        <f>'izvršenje PO IZVORIMA-detaljno'!AQ26</f>
        <v>0</v>
      </c>
      <c r="AS27" s="1351">
        <f>'izvršenje PO IZVORIMA-detaljno'!AR26</f>
        <v>0</v>
      </c>
      <c r="AT27" s="1370"/>
      <c r="AU27" s="1371">
        <f t="shared" si="105"/>
        <v>0</v>
      </c>
      <c r="AV27" s="1357"/>
      <c r="AW27" s="1358"/>
      <c r="AX27" s="1433">
        <f>'izvršenje PO IZVORIMA-detaljno'!AT26</f>
        <v>0</v>
      </c>
      <c r="AY27" s="1399">
        <f>'izvršenje PO IZVORIMA-detaljno'!AU26</f>
        <v>0</v>
      </c>
      <c r="AZ27" s="1444"/>
      <c r="BA27" s="181">
        <f>'izvršenje PO IZVORIMA-detaljno'!AW26</f>
        <v>0</v>
      </c>
      <c r="BB27" s="178"/>
      <c r="BC27" s="129">
        <f>AV27+AS27+AO27+AK27+AG27+AC27+Y27+V27+S27+O27+L27+I27</f>
        <v>12476</v>
      </c>
      <c r="BD27" s="126">
        <f>J27+M27+P27+T27+W27+Z27+AD27+AH27+AL27+AP27+AT27+AW27</f>
        <v>5607.03</v>
      </c>
      <c r="BE27" s="70">
        <v>683110</v>
      </c>
      <c r="BG27" s="484"/>
      <c r="BH27" s="484"/>
      <c r="BI27" s="527"/>
    </row>
    <row r="28" spans="1:65" s="24" customFormat="1" ht="15.75" thickBot="1" x14ac:dyDescent="0.3">
      <c r="A28" s="76">
        <v>683</v>
      </c>
      <c r="B28" s="505" t="s">
        <v>4</v>
      </c>
      <c r="C28" s="82">
        <f>SUM(C27)</f>
        <v>8170.9429955537853</v>
      </c>
      <c r="D28" s="82">
        <f>D27</f>
        <v>12476</v>
      </c>
      <c r="E28" s="83">
        <f t="shared" ref="E28" si="109">E27</f>
        <v>5607.03</v>
      </c>
      <c r="F28" s="253">
        <f t="shared" si="12"/>
        <v>68.621577742630961</v>
      </c>
      <c r="G28" s="252">
        <f t="shared" si="13"/>
        <v>44.942529656941325</v>
      </c>
      <c r="H28" s="411">
        <f t="shared" ref="H28" si="110">H27</f>
        <v>0</v>
      </c>
      <c r="I28" s="115">
        <f t="shared" ref="I28:AP28" si="111">I27</f>
        <v>0</v>
      </c>
      <c r="J28" s="82">
        <f t="shared" si="111"/>
        <v>0</v>
      </c>
      <c r="K28" s="252">
        <f t="shared" si="90"/>
        <v>0</v>
      </c>
      <c r="L28" s="82">
        <f t="shared" si="111"/>
        <v>0</v>
      </c>
      <c r="M28" s="112">
        <f t="shared" si="111"/>
        <v>0</v>
      </c>
      <c r="N28" s="417">
        <f t="shared" ref="N28" si="112">N27</f>
        <v>0</v>
      </c>
      <c r="O28" s="82">
        <f t="shared" si="111"/>
        <v>0</v>
      </c>
      <c r="P28" s="82">
        <f t="shared" si="111"/>
        <v>0</v>
      </c>
      <c r="Q28" s="252">
        <f t="shared" si="92"/>
        <v>0</v>
      </c>
      <c r="R28" s="82">
        <f t="shared" ref="R28" si="113">R27</f>
        <v>0</v>
      </c>
      <c r="S28" s="82">
        <f t="shared" si="111"/>
        <v>0</v>
      </c>
      <c r="T28" s="82">
        <f t="shared" si="111"/>
        <v>0</v>
      </c>
      <c r="U28" s="252">
        <f t="shared" si="93"/>
        <v>0</v>
      </c>
      <c r="V28" s="82">
        <f t="shared" si="111"/>
        <v>0</v>
      </c>
      <c r="W28" s="82">
        <f t="shared" si="111"/>
        <v>0</v>
      </c>
      <c r="X28" s="82">
        <f t="shared" ref="X28" si="114">X27</f>
        <v>0</v>
      </c>
      <c r="Y28" s="82">
        <f t="shared" si="111"/>
        <v>0</v>
      </c>
      <c r="Z28" s="112">
        <f t="shared" si="111"/>
        <v>0</v>
      </c>
      <c r="AA28" s="252">
        <f t="shared" si="94"/>
        <v>0</v>
      </c>
      <c r="AB28" s="417">
        <f t="shared" ref="AB28" si="115">AB27</f>
        <v>0</v>
      </c>
      <c r="AC28" s="417">
        <f t="shared" si="111"/>
        <v>0</v>
      </c>
      <c r="AD28" s="82">
        <f t="shared" si="111"/>
        <v>0</v>
      </c>
      <c r="AE28" s="252">
        <f t="shared" si="96"/>
        <v>0</v>
      </c>
      <c r="AF28" s="82">
        <f t="shared" ref="AF28" si="116">AF27</f>
        <v>0</v>
      </c>
      <c r="AG28" s="82">
        <f t="shared" si="111"/>
        <v>0</v>
      </c>
      <c r="AH28" s="82">
        <f t="shared" si="111"/>
        <v>0</v>
      </c>
      <c r="AI28" s="252">
        <f t="shared" si="98"/>
        <v>0</v>
      </c>
      <c r="AJ28" s="82">
        <f t="shared" ref="AJ28" si="117">AJ27</f>
        <v>0</v>
      </c>
      <c r="AK28" s="82">
        <f t="shared" si="111"/>
        <v>0</v>
      </c>
      <c r="AL28" s="82">
        <f t="shared" si="111"/>
        <v>0</v>
      </c>
      <c r="AM28" s="252">
        <f t="shared" si="100"/>
        <v>0</v>
      </c>
      <c r="AN28" s="82">
        <f t="shared" ref="AN28" si="118">AN27</f>
        <v>8170.9429955537853</v>
      </c>
      <c r="AO28" s="82">
        <f t="shared" si="111"/>
        <v>12476</v>
      </c>
      <c r="AP28" s="82">
        <f t="shared" si="111"/>
        <v>5607.03</v>
      </c>
      <c r="AQ28" s="252">
        <f t="shared" si="102"/>
        <v>44.942529656941325</v>
      </c>
      <c r="AR28" s="82">
        <f t="shared" ref="AR28" si="119">AR27</f>
        <v>0</v>
      </c>
      <c r="AS28" s="82">
        <f t="shared" ref="AS28:AT28" si="120">AS27</f>
        <v>0</v>
      </c>
      <c r="AT28" s="82">
        <f t="shared" si="120"/>
        <v>0</v>
      </c>
      <c r="AU28" s="252">
        <f t="shared" si="105"/>
        <v>0</v>
      </c>
      <c r="AV28" s="82">
        <f t="shared" ref="AV28:AX28" si="121">AV27</f>
        <v>0</v>
      </c>
      <c r="AW28" s="83">
        <f t="shared" si="121"/>
        <v>0</v>
      </c>
      <c r="AX28" s="407">
        <f t="shared" si="121"/>
        <v>0</v>
      </c>
      <c r="AY28" s="83">
        <f t="shared" ref="AY28:AZ28" si="122">AY27</f>
        <v>0</v>
      </c>
      <c r="AZ28" s="112">
        <f t="shared" si="122"/>
        <v>0</v>
      </c>
      <c r="BA28" s="407">
        <f t="shared" ref="BA28:BB28" si="123">BA27</f>
        <v>0</v>
      </c>
      <c r="BB28" s="83">
        <f t="shared" si="123"/>
        <v>0</v>
      </c>
      <c r="BC28" s="411">
        <f>BC27</f>
        <v>12476</v>
      </c>
      <c r="BD28" s="83">
        <f t="shared" ref="BD28" si="124">BD27</f>
        <v>5607.03</v>
      </c>
      <c r="BE28" s="76">
        <v>683</v>
      </c>
      <c r="BF28" s="522"/>
      <c r="BG28" s="489"/>
      <c r="BH28" s="489"/>
      <c r="BI28" s="529"/>
      <c r="BJ28" s="489"/>
      <c r="BK28" s="489"/>
      <c r="BL28" s="489"/>
      <c r="BM28" s="489"/>
    </row>
    <row r="29" spans="1:65" s="24" customFormat="1" ht="15.75" thickBot="1" x14ac:dyDescent="0.3">
      <c r="A29" s="76">
        <v>6</v>
      </c>
      <c r="B29" s="505" t="s">
        <v>14</v>
      </c>
      <c r="C29" s="83">
        <f>C12+C16+C18+C20+C22+C26+C28</f>
        <v>3920110.8500895882</v>
      </c>
      <c r="D29" s="82">
        <f>D12+D16+D18+D20+D22+D26+D28</f>
        <v>3597406</v>
      </c>
      <c r="E29" s="83">
        <f>E12+E16+E18+E20+E22+E26+E28</f>
        <v>3527367.59</v>
      </c>
      <c r="F29" s="253">
        <f t="shared" si="12"/>
        <v>89.981322592430956</v>
      </c>
      <c r="G29" s="252">
        <f t="shared" si="13"/>
        <v>98.05308575123297</v>
      </c>
      <c r="H29" s="411">
        <f t="shared" ref="H29" si="125">H12+H16+H18+H20+H22+H26+H28</f>
        <v>890737.37076116516</v>
      </c>
      <c r="I29" s="115">
        <f t="shared" ref="I29:AP29" si="126">I12+I16+I18+I20+I22+I26+I28</f>
        <v>1133558</v>
      </c>
      <c r="J29" s="82">
        <f>J12+J16+J18+J20+J22+J26+J28</f>
        <v>1054392.9300000002</v>
      </c>
      <c r="K29" s="252">
        <f t="shared" si="90"/>
        <v>93.01623119416918</v>
      </c>
      <c r="L29" s="82">
        <f t="shared" si="126"/>
        <v>0</v>
      </c>
      <c r="M29" s="112">
        <f t="shared" si="126"/>
        <v>0</v>
      </c>
      <c r="N29" s="417">
        <f t="shared" ref="N29" si="127">N12+N16+N18+N20+N22+N26+N28</f>
        <v>169061.62319994689</v>
      </c>
      <c r="O29" s="82">
        <f t="shared" si="126"/>
        <v>115178</v>
      </c>
      <c r="P29" s="82">
        <f t="shared" si="126"/>
        <v>115177.99999999999</v>
      </c>
      <c r="Q29" s="252">
        <f t="shared" si="92"/>
        <v>99.999999999999986</v>
      </c>
      <c r="R29" s="82">
        <f t="shared" ref="R29" si="128">R12+R16+R18+R20+R22+R26+R28</f>
        <v>99542.106310969539</v>
      </c>
      <c r="S29" s="82">
        <f t="shared" si="126"/>
        <v>165535</v>
      </c>
      <c r="T29" s="82">
        <f t="shared" si="126"/>
        <v>180801.96999999997</v>
      </c>
      <c r="U29" s="252">
        <f t="shared" si="93"/>
        <v>109.22280484489684</v>
      </c>
      <c r="V29" s="82">
        <f t="shared" si="126"/>
        <v>0</v>
      </c>
      <c r="W29" s="82">
        <f t="shared" si="126"/>
        <v>0</v>
      </c>
      <c r="X29" s="82">
        <f t="shared" ref="X29" si="129">X12+X16+X18+X20+X22+X26+X28</f>
        <v>589.28926936093967</v>
      </c>
      <c r="Y29" s="82">
        <f t="shared" si="126"/>
        <v>5160</v>
      </c>
      <c r="Z29" s="112">
        <f t="shared" si="126"/>
        <v>2837.79</v>
      </c>
      <c r="AA29" s="252">
        <f t="shared" si="94"/>
        <v>54.995930232558145</v>
      </c>
      <c r="AB29" s="417">
        <f t="shared" si="126"/>
        <v>1559145.6460282698</v>
      </c>
      <c r="AC29" s="417">
        <f t="shared" si="126"/>
        <v>179875</v>
      </c>
      <c r="AD29" s="82">
        <f t="shared" si="126"/>
        <v>944335.94000000006</v>
      </c>
      <c r="AE29" s="252">
        <f t="shared" si="96"/>
        <v>524.99565809590001</v>
      </c>
      <c r="AF29" s="82">
        <f t="shared" si="126"/>
        <v>1156714.6101267503</v>
      </c>
      <c r="AG29" s="82">
        <f t="shared" si="126"/>
        <v>1881868</v>
      </c>
      <c r="AH29" s="82">
        <f t="shared" si="126"/>
        <v>1130527.06</v>
      </c>
      <c r="AI29" s="252">
        <f t="shared" si="98"/>
        <v>60.074726813995461</v>
      </c>
      <c r="AJ29" s="82">
        <f t="shared" ref="AJ29" si="130">AJ12+AJ16+AJ18+AJ20+AJ22+AJ26+AJ28</f>
        <v>21184.264383834361</v>
      </c>
      <c r="AK29" s="82">
        <f t="shared" si="126"/>
        <v>83980</v>
      </c>
      <c r="AL29" s="82">
        <f t="shared" si="126"/>
        <v>79520.800000000003</v>
      </c>
      <c r="AM29" s="252">
        <f t="shared" si="100"/>
        <v>94.690164324839259</v>
      </c>
      <c r="AN29" s="82">
        <f t="shared" si="126"/>
        <v>21824.125024885525</v>
      </c>
      <c r="AO29" s="82">
        <f t="shared" si="126"/>
        <v>30527</v>
      </c>
      <c r="AP29" s="82">
        <f t="shared" si="126"/>
        <v>19523.099999999999</v>
      </c>
      <c r="AQ29" s="252">
        <f t="shared" si="102"/>
        <v>63.953549316998057</v>
      </c>
      <c r="AR29" s="82">
        <f t="shared" ref="AR29" si="131">AR12+AR16+AR18+AR20+AR22+AR26+AR28</f>
        <v>238.90105514632688</v>
      </c>
      <c r="AS29" s="82">
        <f t="shared" ref="AS29:AT29" si="132">AS12+AS16+AS18+AS20+AS22+AS26+AS28</f>
        <v>1725</v>
      </c>
      <c r="AT29" s="82">
        <f t="shared" si="132"/>
        <v>250</v>
      </c>
      <c r="AU29" s="252">
        <f t="shared" si="105"/>
        <v>14.492753623188406</v>
      </c>
      <c r="AV29" s="82">
        <f t="shared" ref="AV29:AX29" si="133">AV12+AV16+AV18+AV20+AV22+AV26+AV28</f>
        <v>0</v>
      </c>
      <c r="AW29" s="83">
        <f t="shared" si="133"/>
        <v>0</v>
      </c>
      <c r="AX29" s="407">
        <f t="shared" si="133"/>
        <v>1072.9139292587429</v>
      </c>
      <c r="AY29" s="83">
        <f t="shared" ref="AY29:AZ29" si="134">AY12+AY16+AY18+AY20+AY22+AY26+AY28</f>
        <v>0</v>
      </c>
      <c r="AZ29" s="112">
        <f t="shared" si="134"/>
        <v>0</v>
      </c>
      <c r="BA29" s="407">
        <f t="shared" ref="BA29:BB29" si="135">BA12+BA16+BA18+BA20+BA22+BA26+BA28</f>
        <v>0</v>
      </c>
      <c r="BB29" s="83">
        <f t="shared" si="135"/>
        <v>0</v>
      </c>
      <c r="BC29" s="411">
        <f>BC12+BC16+BC18+BC20+BC22+BC26+BC28</f>
        <v>3597406</v>
      </c>
      <c r="BD29" s="83">
        <f>BD12+BD16+BD18+BD20+BD22+BD26+BD28</f>
        <v>3527367.59</v>
      </c>
      <c r="BE29" s="76">
        <v>6</v>
      </c>
      <c r="BF29" s="522"/>
      <c r="BG29" s="489"/>
      <c r="BH29" s="489"/>
      <c r="BI29" s="529"/>
      <c r="BJ29" s="489"/>
      <c r="BK29" s="489"/>
      <c r="BL29" s="489"/>
      <c r="BM29" s="489"/>
    </row>
    <row r="30" spans="1:65" s="24" customFormat="1" ht="15.75" thickBot="1" x14ac:dyDescent="0.3">
      <c r="A30" s="1126"/>
      <c r="B30" s="1489"/>
      <c r="C30" s="273"/>
      <c r="D30" s="1574"/>
      <c r="E30" s="1471"/>
      <c r="F30" s="1538"/>
      <c r="G30" s="247"/>
      <c r="H30" s="1490"/>
      <c r="I30" s="1491"/>
      <c r="J30" s="1574"/>
      <c r="K30" s="247"/>
      <c r="L30" s="1574"/>
      <c r="M30" s="1575"/>
      <c r="N30" s="1492"/>
      <c r="O30" s="1574"/>
      <c r="P30" s="1574"/>
      <c r="Q30" s="247"/>
      <c r="R30" s="1574"/>
      <c r="S30" s="1574"/>
      <c r="T30" s="1574"/>
      <c r="U30" s="247"/>
      <c r="V30" s="1574"/>
      <c r="W30" s="1574"/>
      <c r="X30" s="1574"/>
      <c r="Y30" s="1574"/>
      <c r="Z30" s="1575"/>
      <c r="AA30" s="247"/>
      <c r="AB30" s="1492"/>
      <c r="AC30" s="1492"/>
      <c r="AD30" s="1574"/>
      <c r="AE30" s="247"/>
      <c r="AF30" s="1574"/>
      <c r="AG30" s="1574"/>
      <c r="AH30" s="1574"/>
      <c r="AI30" s="247"/>
      <c r="AJ30" s="1574"/>
      <c r="AK30" s="1574"/>
      <c r="AL30" s="1574"/>
      <c r="AM30" s="247"/>
      <c r="AN30" s="1574"/>
      <c r="AO30" s="1574"/>
      <c r="AP30" s="1574"/>
      <c r="AQ30" s="247"/>
      <c r="AR30" s="1574"/>
      <c r="AS30" s="1574"/>
      <c r="AT30" s="1574"/>
      <c r="AU30" s="247"/>
      <c r="AV30" s="1574"/>
      <c r="AW30" s="1471"/>
      <c r="AX30" s="1470"/>
      <c r="AY30" s="1471"/>
      <c r="AZ30" s="1575"/>
      <c r="BA30" s="1470"/>
      <c r="BB30" s="1471"/>
      <c r="BC30" s="1490"/>
      <c r="BD30" s="1471"/>
      <c r="BE30" s="1126"/>
      <c r="BF30" s="522"/>
      <c r="BG30" s="489"/>
      <c r="BH30" s="489"/>
      <c r="BI30" s="529"/>
      <c r="BJ30" s="489"/>
      <c r="BK30" s="489"/>
      <c r="BL30" s="489"/>
      <c r="BM30" s="489"/>
    </row>
    <row r="31" spans="1:65" ht="15.75" thickTop="1" x14ac:dyDescent="0.25">
      <c r="A31" s="171">
        <v>844320</v>
      </c>
      <c r="B31" s="1473" t="s">
        <v>259</v>
      </c>
      <c r="C31" s="1474"/>
      <c r="D31" s="1475">
        <v>1459951</v>
      </c>
      <c r="E31" s="1474">
        <f>BD31</f>
        <v>1459950.8900000001</v>
      </c>
      <c r="F31" s="1476">
        <f t="shared" si="12"/>
        <v>0</v>
      </c>
      <c r="G31" s="1564">
        <f t="shared" si="13"/>
        <v>99.999992465500569</v>
      </c>
      <c r="H31" s="1561"/>
      <c r="I31" s="1478"/>
      <c r="J31" s="1477"/>
      <c r="K31" s="1476">
        <f t="shared" si="90"/>
        <v>0</v>
      </c>
      <c r="L31" s="1477"/>
      <c r="M31" s="1477"/>
      <c r="N31" s="1478"/>
      <c r="O31" s="1478"/>
      <c r="P31" s="1477"/>
      <c r="Q31" s="1476">
        <f t="shared" si="92"/>
        <v>0</v>
      </c>
      <c r="R31" s="1477"/>
      <c r="S31" s="1477"/>
      <c r="T31" s="1477"/>
      <c r="U31" s="1476">
        <f t="shared" si="93"/>
        <v>0</v>
      </c>
      <c r="V31" s="1477"/>
      <c r="W31" s="1477"/>
      <c r="X31" s="1478"/>
      <c r="Y31" s="1478"/>
      <c r="Z31" s="1477"/>
      <c r="AA31" s="1476">
        <f t="shared" si="94"/>
        <v>0</v>
      </c>
      <c r="AB31" s="1479"/>
      <c r="AC31" s="1479">
        <f>SUM(AC30)</f>
        <v>0</v>
      </c>
      <c r="AD31" s="1478">
        <f>'izvršenje PO IZVORIMA-detaljno'!N30+'izvršenje PO IZVORIMA-detaljno'!H30</f>
        <v>0</v>
      </c>
      <c r="AE31" s="1476">
        <f t="shared" si="96"/>
        <v>0</v>
      </c>
      <c r="AF31" s="1478"/>
      <c r="AG31" s="1478"/>
      <c r="AH31" s="1477"/>
      <c r="AI31" s="1476">
        <f t="shared" si="98"/>
        <v>0</v>
      </c>
      <c r="AJ31" s="1479"/>
      <c r="AK31" s="1479"/>
      <c r="AL31" s="1477"/>
      <c r="AM31" s="1476">
        <f t="shared" si="100"/>
        <v>0</v>
      </c>
      <c r="AN31" s="1478"/>
      <c r="AO31" s="1478"/>
      <c r="AP31" s="1478"/>
      <c r="AQ31" s="1476">
        <f t="shared" si="102"/>
        <v>0</v>
      </c>
      <c r="AR31" s="1478"/>
      <c r="AS31" s="1478"/>
      <c r="AT31" s="1477"/>
      <c r="AU31" s="1476">
        <f t="shared" si="105"/>
        <v>0</v>
      </c>
      <c r="AV31" s="1477"/>
      <c r="AW31" s="1477"/>
      <c r="AX31" s="1478"/>
      <c r="AY31" s="1478"/>
      <c r="AZ31" s="1477"/>
      <c r="BA31" s="1478">
        <f>'izvršenje PO IZVORIMA-detaljno'!AY30</f>
        <v>1459951</v>
      </c>
      <c r="BB31" s="1478">
        <f>'izvršenje PO IZVORIMA-detaljno'!AZ30</f>
        <v>1459950.8900000001</v>
      </c>
      <c r="BC31" s="1478">
        <f>AV31+AS31+AO31+AK31+AG31+AC31+Y31+V31+S31+O31+L31+I31+BA31</f>
        <v>1459951</v>
      </c>
      <c r="BD31" s="1478">
        <f>J31+M31+P31+T31+W31+Z31+AD31+AH31+AL31+AP31+AT31+AW31+BB31</f>
        <v>1459950.8900000001</v>
      </c>
      <c r="BE31" s="1480">
        <v>844320</v>
      </c>
      <c r="BG31" s="484"/>
      <c r="BH31" s="484"/>
      <c r="BI31" s="527"/>
    </row>
    <row r="32" spans="1:65" x14ac:dyDescent="0.25">
      <c r="A32" s="45">
        <v>847210</v>
      </c>
      <c r="B32" s="1481" t="s">
        <v>416</v>
      </c>
      <c r="C32" s="13"/>
      <c r="D32" s="1468">
        <f>BC32</f>
        <v>0</v>
      </c>
      <c r="E32" s="13">
        <f t="shared" ref="E32" si="136">BD32</f>
        <v>175041.97</v>
      </c>
      <c r="F32" s="1482">
        <f t="shared" ref="F32" si="137">IF(C32&lt;&gt;0,E32/C32*100,0)</f>
        <v>0</v>
      </c>
      <c r="G32" s="1565">
        <f t="shared" ref="G32" si="138">IF(D32&lt;&gt;0,E32/D32*100,0)</f>
        <v>0</v>
      </c>
      <c r="H32" s="1562"/>
      <c r="I32" s="1484"/>
      <c r="J32" s="1483"/>
      <c r="K32" s="1482">
        <f t="shared" ref="K32" si="139">IF(I32&lt;&gt;0,J32/I32*100,0)</f>
        <v>0</v>
      </c>
      <c r="L32" s="1483"/>
      <c r="M32" s="1483"/>
      <c r="N32" s="1484"/>
      <c r="O32" s="1484"/>
      <c r="P32" s="1483"/>
      <c r="Q32" s="1482">
        <f t="shared" ref="Q32" si="140">IF(O32&lt;&gt;0,P32/O32*100,0)</f>
        <v>0</v>
      </c>
      <c r="R32" s="1483"/>
      <c r="S32" s="1483"/>
      <c r="T32" s="1483"/>
      <c r="U32" s="1482">
        <f t="shared" ref="U32" si="141">IF(S32&lt;&gt;0,T32/S32*100,0)</f>
        <v>0</v>
      </c>
      <c r="V32" s="1483"/>
      <c r="W32" s="1483"/>
      <c r="X32" s="1484"/>
      <c r="Y32" s="1484"/>
      <c r="Z32" s="1483"/>
      <c r="AA32" s="1482">
        <f t="shared" ref="AA32" si="142">IF(Y32&lt;&gt;0,Z32/Y32*100,0)</f>
        <v>0</v>
      </c>
      <c r="AB32" s="1485"/>
      <c r="AC32" s="1485">
        <f>SUM(AC31)</f>
        <v>0</v>
      </c>
      <c r="AD32" s="1484">
        <f>'izvršenje PO IZVORIMA-detaljno'!N31+'izvršenje PO IZVORIMA-detaljno'!H31</f>
        <v>0</v>
      </c>
      <c r="AE32" s="1482">
        <f t="shared" ref="AE32" si="143">IF(AC32&lt;&gt;0,AD32/AC32*100,0)</f>
        <v>0</v>
      </c>
      <c r="AF32" s="1484"/>
      <c r="AG32" s="1484"/>
      <c r="AH32" s="1483"/>
      <c r="AI32" s="1482">
        <f t="shared" ref="AI32" si="144">IF(AG32&lt;&gt;0,AH32/AG32*100,0)</f>
        <v>0</v>
      </c>
      <c r="AJ32" s="1485"/>
      <c r="AK32" s="1485"/>
      <c r="AL32" s="1483"/>
      <c r="AM32" s="1482">
        <f t="shared" ref="AM32" si="145">IF(AK32&lt;&gt;0,AL32/AK32*100,0)</f>
        <v>0</v>
      </c>
      <c r="AN32" s="1484"/>
      <c r="AO32" s="1484"/>
      <c r="AP32" s="1484"/>
      <c r="AQ32" s="1482">
        <f t="shared" ref="AQ32" si="146">IF(AO32&lt;&gt;0,AP32/AO32*100,0)</f>
        <v>0</v>
      </c>
      <c r="AR32" s="1484"/>
      <c r="AS32" s="1484"/>
      <c r="AT32" s="1483"/>
      <c r="AU32" s="1482">
        <f t="shared" ref="AU32" si="147">IF(AS32&lt;&gt;0,AT32/AS32*100,0)</f>
        <v>0</v>
      </c>
      <c r="AV32" s="1483"/>
      <c r="AW32" s="1483"/>
      <c r="AX32" s="1484"/>
      <c r="AY32" s="1484"/>
      <c r="AZ32" s="1483"/>
      <c r="BA32" s="1484"/>
      <c r="BB32" s="1484">
        <f>'izvršenje PO IZVORIMA-detaljno'!AZ31</f>
        <v>175041.97</v>
      </c>
      <c r="BC32" s="1484">
        <f>AV32+AS32+AO32+AK32+AG32+AC32+Y32+V32+S32+O32+L32+I32</f>
        <v>0</v>
      </c>
      <c r="BD32" s="1484">
        <f>J32+M32+P32+T32+W32+Z32+AD32+AH32+AL32+AP32+AT32+AW32+BB32</f>
        <v>175041.97</v>
      </c>
      <c r="BE32" s="1486">
        <v>847210</v>
      </c>
      <c r="BG32" s="484"/>
      <c r="BH32" s="484"/>
      <c r="BI32" s="527"/>
    </row>
    <row r="33" spans="1:65" s="2" customFormat="1" ht="15.75" thickBot="1" x14ac:dyDescent="0.3">
      <c r="A33" s="1576">
        <v>844</v>
      </c>
      <c r="B33" s="1577" t="s">
        <v>251</v>
      </c>
      <c r="C33" s="1578"/>
      <c r="D33" s="1578">
        <f>SUM(D31)</f>
        <v>1459951</v>
      </c>
      <c r="E33" s="1578">
        <f>SUM(E31:E32)</f>
        <v>1634992.86</v>
      </c>
      <c r="F33" s="1579">
        <f t="shared" si="12"/>
        <v>0</v>
      </c>
      <c r="G33" s="1580">
        <f t="shared" si="13"/>
        <v>111.98957088285842</v>
      </c>
      <c r="H33" s="1581"/>
      <c r="I33" s="1578"/>
      <c r="J33" s="1578"/>
      <c r="K33" s="1579">
        <f t="shared" si="90"/>
        <v>0</v>
      </c>
      <c r="L33" s="1578"/>
      <c r="M33" s="1578"/>
      <c r="N33" s="1578"/>
      <c r="O33" s="1578"/>
      <c r="P33" s="1578"/>
      <c r="Q33" s="1579">
        <f t="shared" si="92"/>
        <v>0</v>
      </c>
      <c r="R33" s="1578"/>
      <c r="S33" s="1578"/>
      <c r="T33" s="1578"/>
      <c r="U33" s="1579">
        <f t="shared" si="93"/>
        <v>0</v>
      </c>
      <c r="V33" s="1578"/>
      <c r="W33" s="1578"/>
      <c r="X33" s="1578"/>
      <c r="Y33" s="1578"/>
      <c r="Z33" s="1578"/>
      <c r="AA33" s="1579">
        <f t="shared" si="94"/>
        <v>0</v>
      </c>
      <c r="AB33" s="1578">
        <f>SUM(AB31)</f>
        <v>0</v>
      </c>
      <c r="AC33" s="1578">
        <f>SUM(AC31)</f>
        <v>0</v>
      </c>
      <c r="AD33" s="1578">
        <f>SUM(AD31)</f>
        <v>0</v>
      </c>
      <c r="AE33" s="1579">
        <f t="shared" si="96"/>
        <v>0</v>
      </c>
      <c r="AF33" s="1578"/>
      <c r="AG33" s="1578"/>
      <c r="AH33" s="1578"/>
      <c r="AI33" s="1579">
        <f t="shared" si="98"/>
        <v>0</v>
      </c>
      <c r="AJ33" s="1578"/>
      <c r="AK33" s="1578"/>
      <c r="AL33" s="1578"/>
      <c r="AM33" s="1579">
        <f t="shared" si="100"/>
        <v>0</v>
      </c>
      <c r="AN33" s="1578"/>
      <c r="AO33" s="1578"/>
      <c r="AP33" s="1578"/>
      <c r="AQ33" s="1579">
        <f t="shared" si="102"/>
        <v>0</v>
      </c>
      <c r="AR33" s="1578"/>
      <c r="AS33" s="1578"/>
      <c r="AT33" s="1578"/>
      <c r="AU33" s="1579">
        <f t="shared" si="105"/>
        <v>0</v>
      </c>
      <c r="AV33" s="1578"/>
      <c r="AW33" s="1578"/>
      <c r="AX33" s="1578"/>
      <c r="AY33" s="1578"/>
      <c r="AZ33" s="1578"/>
      <c r="BA33" s="1578">
        <f>SUM(BA31:BA32)</f>
        <v>1459951</v>
      </c>
      <c r="BB33" s="1578">
        <f>SUM(BB31:BB32)</f>
        <v>1634992.86</v>
      </c>
      <c r="BC33" s="1578">
        <f>SUM(BC31)</f>
        <v>1459951</v>
      </c>
      <c r="BD33" s="1578">
        <f>BD31+BD32</f>
        <v>1634992.86</v>
      </c>
      <c r="BE33" s="1487">
        <v>844</v>
      </c>
      <c r="BF33" s="522"/>
      <c r="BG33" s="489"/>
      <c r="BH33" s="489"/>
      <c r="BI33" s="529"/>
      <c r="BJ33" s="486"/>
      <c r="BK33" s="486"/>
      <c r="BL33" s="486"/>
      <c r="BM33" s="486"/>
    </row>
    <row r="34" spans="1:65" s="9" customFormat="1" ht="16.5" thickTop="1" thickBot="1" x14ac:dyDescent="0.3">
      <c r="A34" s="1582">
        <v>922110</v>
      </c>
      <c r="B34" s="1583" t="s">
        <v>146</v>
      </c>
      <c r="C34" s="1584">
        <f t="shared" ref="C34" si="148">H34+O34+R34+X34+AB34+AF34+AJ34+AN34+AR34+AX34</f>
        <v>0</v>
      </c>
      <c r="D34" s="1378">
        <f>BC34</f>
        <v>17292</v>
      </c>
      <c r="E34" s="1379"/>
      <c r="F34" s="1585">
        <f t="shared" si="12"/>
        <v>0</v>
      </c>
      <c r="G34" s="1373">
        <f t="shared" si="13"/>
        <v>0</v>
      </c>
      <c r="H34" s="1586"/>
      <c r="I34" s="1587"/>
      <c r="J34" s="1586"/>
      <c r="K34" s="1373">
        <f t="shared" si="90"/>
        <v>0</v>
      </c>
      <c r="L34" s="1588"/>
      <c r="M34" s="1586"/>
      <c r="N34" s="1588"/>
      <c r="O34" s="1588"/>
      <c r="P34" s="1586"/>
      <c r="Q34" s="1373">
        <f t="shared" si="92"/>
        <v>0</v>
      </c>
      <c r="R34" s="1588"/>
      <c r="S34" s="1588"/>
      <c r="T34" s="1586"/>
      <c r="U34" s="1373">
        <f t="shared" si="93"/>
        <v>0</v>
      </c>
      <c r="V34" s="1588"/>
      <c r="W34" s="1586"/>
      <c r="X34" s="1377">
        <f>'izvršenje PO IZVORIMA-detaljno'!AH34+'izvršenje PO IZVORIMA-detaljno'!AK34+'izvršenje PO IZVORIMA-detaljno'!AA34</f>
        <v>0</v>
      </c>
      <c r="Y34" s="1377">
        <f>'izvršenje PO IZVORIMA-detaljno'!AI34+'izvršenje PO IZVORIMA-detaljno'!AL34+'izvršenje PO IZVORIMA-detaljno'!AB34</f>
        <v>0</v>
      </c>
      <c r="Z34" s="1586"/>
      <c r="AA34" s="1373">
        <f t="shared" si="94"/>
        <v>0</v>
      </c>
      <c r="AB34" s="1589"/>
      <c r="AC34" s="1589"/>
      <c r="AD34" s="1586"/>
      <c r="AE34" s="1373">
        <f t="shared" si="96"/>
        <v>0</v>
      </c>
      <c r="AF34" s="1588"/>
      <c r="AG34" s="1588"/>
      <c r="AH34" s="1586"/>
      <c r="AI34" s="1373">
        <f t="shared" si="98"/>
        <v>0</v>
      </c>
      <c r="AJ34" s="1590">
        <f>'izvršenje PO IZVORIMA-detaljno'!R33+'izvršenje PO IZVORIMA-detaljno'!S33</f>
        <v>0</v>
      </c>
      <c r="AK34" s="1591">
        <f>'izvršenje PO IZVORIMA-detaljno'!S34</f>
        <v>17292</v>
      </c>
      <c r="AL34" s="1586"/>
      <c r="AM34" s="1373">
        <f t="shared" si="100"/>
        <v>0</v>
      </c>
      <c r="AN34" s="1588"/>
      <c r="AO34" s="1588"/>
      <c r="AP34" s="1586"/>
      <c r="AQ34" s="1373">
        <f t="shared" si="102"/>
        <v>0</v>
      </c>
      <c r="AR34" s="1377">
        <f>'izvršenje PO IZVORIMA-detaljno'!AQ34</f>
        <v>0</v>
      </c>
      <c r="AS34" s="1377">
        <f>'izvršenje PO IZVORIMA-detaljno'!AR34</f>
        <v>0</v>
      </c>
      <c r="AT34" s="1586"/>
      <c r="AU34" s="1373">
        <f t="shared" si="105"/>
        <v>0</v>
      </c>
      <c r="AV34" s="1588"/>
      <c r="AW34" s="1587"/>
      <c r="AX34" s="1377">
        <f>'izvršenje PO IZVORIMA-detaljno'!AT34</f>
        <v>0</v>
      </c>
      <c r="AY34" s="1592">
        <f>'izvršenje PO IZVORIMA-detaljno'!AU34</f>
        <v>0</v>
      </c>
      <c r="AZ34" s="1586"/>
      <c r="BA34" s="1377">
        <f>'izvršenje PO IZVORIMA-detaljno'!AW34</f>
        <v>0</v>
      </c>
      <c r="BB34" s="1587"/>
      <c r="BC34" s="1592">
        <f>AV34+AS34+AO34+AK34+AG34+AC34+Y34+V34+S34+O34+L34+I34</f>
        <v>17292</v>
      </c>
      <c r="BD34" s="1587"/>
      <c r="BE34" s="1472">
        <v>922110</v>
      </c>
      <c r="BF34" s="523"/>
      <c r="BG34" s="494"/>
      <c r="BH34" s="494"/>
      <c r="BI34" s="531"/>
      <c r="BJ34" s="488"/>
      <c r="BK34" s="488"/>
      <c r="BL34" s="488"/>
      <c r="BM34" s="488"/>
    </row>
    <row r="35" spans="1:65" s="1607" customFormat="1" ht="15.75" customHeight="1" thickBot="1" x14ac:dyDescent="0.3">
      <c r="A35" s="1900" t="s">
        <v>260</v>
      </c>
      <c r="B35" s="1901"/>
      <c r="C35" s="1594">
        <f>C29+C34</f>
        <v>3920110.8500895882</v>
      </c>
      <c r="D35" s="1594">
        <f>D29+D34+D33</f>
        <v>5074649</v>
      </c>
      <c r="E35" s="1594">
        <f>E29+E34+E33</f>
        <v>5162360.45</v>
      </c>
      <c r="F35" s="1595">
        <f t="shared" si="12"/>
        <v>131.68914470574276</v>
      </c>
      <c r="G35" s="1596">
        <f t="shared" si="13"/>
        <v>101.7284239757272</v>
      </c>
      <c r="H35" s="1597">
        <f t="shared" ref="H35" si="149">H29+H34</f>
        <v>890737.37076116516</v>
      </c>
      <c r="I35" s="1598">
        <f t="shared" ref="I35:AP35" si="150">I29+I34</f>
        <v>1133558</v>
      </c>
      <c r="J35" s="1594">
        <f t="shared" si="150"/>
        <v>1054392.9300000002</v>
      </c>
      <c r="K35" s="1596">
        <f t="shared" si="90"/>
        <v>93.01623119416918</v>
      </c>
      <c r="L35" s="1594">
        <f t="shared" si="150"/>
        <v>0</v>
      </c>
      <c r="M35" s="1599">
        <f t="shared" si="150"/>
        <v>0</v>
      </c>
      <c r="N35" s="1600">
        <f t="shared" ref="N35" si="151">N29+N34</f>
        <v>169061.62319994689</v>
      </c>
      <c r="O35" s="1594">
        <f t="shared" si="150"/>
        <v>115178</v>
      </c>
      <c r="P35" s="1594">
        <f t="shared" si="150"/>
        <v>115177.99999999999</v>
      </c>
      <c r="Q35" s="1596">
        <f t="shared" si="92"/>
        <v>99.999999999999986</v>
      </c>
      <c r="R35" s="1594">
        <f t="shared" ref="R35" si="152">R29+R34</f>
        <v>99542.106310969539</v>
      </c>
      <c r="S35" s="1594">
        <f t="shared" si="150"/>
        <v>165535</v>
      </c>
      <c r="T35" s="1594">
        <f t="shared" si="150"/>
        <v>180801.96999999997</v>
      </c>
      <c r="U35" s="1596">
        <f t="shared" si="93"/>
        <v>109.22280484489684</v>
      </c>
      <c r="V35" s="1594">
        <f t="shared" si="150"/>
        <v>0</v>
      </c>
      <c r="W35" s="1594">
        <f t="shared" si="150"/>
        <v>0</v>
      </c>
      <c r="X35" s="1594">
        <f t="shared" ref="X35" si="153">X29+X34</f>
        <v>589.28926936093967</v>
      </c>
      <c r="Y35" s="1594">
        <f t="shared" si="150"/>
        <v>5160</v>
      </c>
      <c r="Z35" s="1599">
        <f t="shared" si="150"/>
        <v>2837.79</v>
      </c>
      <c r="AA35" s="1596">
        <f t="shared" si="94"/>
        <v>54.995930232558145</v>
      </c>
      <c r="AB35" s="1600">
        <f>AB29+AB34+AB33</f>
        <v>1559145.6460282698</v>
      </c>
      <c r="AC35" s="1600">
        <f>AC29+AC34+AC33</f>
        <v>179875</v>
      </c>
      <c r="AD35" s="1600">
        <f>AD29+AD34+AD33</f>
        <v>944335.94000000006</v>
      </c>
      <c r="AE35" s="1596">
        <f t="shared" si="96"/>
        <v>524.99565809590001</v>
      </c>
      <c r="AF35" s="1594">
        <f t="shared" ref="AF35" si="154">AF29+AF34</f>
        <v>1156714.6101267503</v>
      </c>
      <c r="AG35" s="1594">
        <f t="shared" si="150"/>
        <v>1881868</v>
      </c>
      <c r="AH35" s="1594">
        <f t="shared" si="150"/>
        <v>1130527.06</v>
      </c>
      <c r="AI35" s="1596">
        <f t="shared" si="98"/>
        <v>60.074726813995461</v>
      </c>
      <c r="AJ35" s="1594">
        <f>AJ29+AJ34</f>
        <v>21184.264383834361</v>
      </c>
      <c r="AK35" s="1594">
        <f>AK29+AK34</f>
        <v>101272</v>
      </c>
      <c r="AL35" s="1594">
        <f t="shared" si="150"/>
        <v>79520.800000000003</v>
      </c>
      <c r="AM35" s="1596">
        <f t="shared" si="100"/>
        <v>78.522000157990362</v>
      </c>
      <c r="AN35" s="1594">
        <f t="shared" ref="AN35" si="155">AN29+AN34</f>
        <v>21824.125024885525</v>
      </c>
      <c r="AO35" s="1594">
        <f t="shared" si="150"/>
        <v>30527</v>
      </c>
      <c r="AP35" s="1594">
        <f t="shared" si="150"/>
        <v>19523.099999999999</v>
      </c>
      <c r="AQ35" s="1596">
        <f t="shared" si="102"/>
        <v>63.953549316998057</v>
      </c>
      <c r="AR35" s="1594">
        <f t="shared" ref="AR35" si="156">AR29+AR34</f>
        <v>238.90105514632688</v>
      </c>
      <c r="AS35" s="1594">
        <f t="shared" ref="AS35:AT35" si="157">AS29+AS34</f>
        <v>1725</v>
      </c>
      <c r="AT35" s="1594">
        <f t="shared" si="157"/>
        <v>250</v>
      </c>
      <c r="AU35" s="1596">
        <f t="shared" si="105"/>
        <v>14.492753623188406</v>
      </c>
      <c r="AV35" s="1594">
        <f t="shared" ref="AV35:AX35" si="158">AV29+AV34</f>
        <v>0</v>
      </c>
      <c r="AW35" s="1601">
        <f t="shared" si="158"/>
        <v>0</v>
      </c>
      <c r="AX35" s="1602">
        <f t="shared" si="158"/>
        <v>1072.9139292587429</v>
      </c>
      <c r="AY35" s="1601">
        <f>AY29+AY34</f>
        <v>0</v>
      </c>
      <c r="AZ35" s="1599">
        <f t="shared" ref="AZ35" si="159">AZ29+AZ34</f>
        <v>0</v>
      </c>
      <c r="BA35" s="1600">
        <f>BA29+BA34+BA33</f>
        <v>1459951</v>
      </c>
      <c r="BB35" s="1601">
        <f>BB29+BB34+BB33</f>
        <v>1634992.86</v>
      </c>
      <c r="BC35" s="1597">
        <f>BC29+BC34+BC33</f>
        <v>5074649</v>
      </c>
      <c r="BD35" s="1601">
        <f>BD29+BD34+BD33</f>
        <v>5162360.45</v>
      </c>
      <c r="BE35" s="1603"/>
      <c r="BF35" s="1604"/>
      <c r="BG35" s="1605"/>
      <c r="BH35" s="1605"/>
      <c r="BI35" s="1606"/>
      <c r="BJ35" s="1605"/>
      <c r="BK35" s="1605"/>
      <c r="BL35" s="1605"/>
      <c r="BM35" s="1605"/>
    </row>
    <row r="36" spans="1:65" s="24" customFormat="1" ht="15.75" thickBot="1" x14ac:dyDescent="0.3">
      <c r="A36" s="1897" t="s">
        <v>173</v>
      </c>
      <c r="B36" s="1898"/>
      <c r="C36" s="1898"/>
      <c r="D36" s="1898"/>
      <c r="E36" s="1898"/>
      <c r="F36" s="1898"/>
      <c r="G36" s="1899"/>
      <c r="H36" s="1898"/>
      <c r="I36" s="1898"/>
      <c r="J36" s="1898"/>
      <c r="K36" s="1898"/>
      <c r="L36" s="1898"/>
      <c r="M36" s="1899"/>
      <c r="N36" s="1826"/>
      <c r="O36" s="1827"/>
      <c r="P36" s="1827"/>
      <c r="Q36" s="1827"/>
      <c r="R36" s="1827"/>
      <c r="S36" s="1827"/>
      <c r="T36" s="1827"/>
      <c r="U36" s="1827"/>
      <c r="V36" s="1827"/>
      <c r="W36" s="1827"/>
      <c r="X36" s="1827"/>
      <c r="Y36" s="1827"/>
      <c r="Z36" s="1827"/>
      <c r="AA36" s="1828"/>
      <c r="AB36" s="1826"/>
      <c r="AC36" s="1827"/>
      <c r="AD36" s="1827"/>
      <c r="AE36" s="1827"/>
      <c r="AF36" s="1827"/>
      <c r="AG36" s="1827"/>
      <c r="AH36" s="1827"/>
      <c r="AI36" s="1827"/>
      <c r="AJ36" s="1827"/>
      <c r="AK36" s="1827"/>
      <c r="AL36" s="1827"/>
      <c r="AM36" s="1827"/>
      <c r="AN36" s="1827"/>
      <c r="AO36" s="1827"/>
      <c r="AP36" s="1827"/>
      <c r="AQ36" s="1827"/>
      <c r="AR36" s="1827"/>
      <c r="AS36" s="1827"/>
      <c r="AT36" s="1827"/>
      <c r="AU36" s="1827"/>
      <c r="AV36" s="1827"/>
      <c r="AW36" s="1828"/>
      <c r="AX36" s="1826"/>
      <c r="AY36" s="1827"/>
      <c r="AZ36" s="1828"/>
      <c r="BA36" s="1826"/>
      <c r="BB36" s="1827"/>
      <c r="BC36" s="1828"/>
      <c r="BD36" s="419"/>
      <c r="BE36" s="119"/>
      <c r="BF36" s="254"/>
      <c r="BG36" s="489"/>
      <c r="BH36" s="489"/>
      <c r="BI36" s="529"/>
      <c r="BJ36" s="489"/>
      <c r="BK36" s="489"/>
      <c r="BL36" s="489"/>
      <c r="BM36" s="489"/>
    </row>
    <row r="37" spans="1:65" x14ac:dyDescent="0.25">
      <c r="A37" s="62">
        <v>311111</v>
      </c>
      <c r="B37" s="498" t="s">
        <v>15</v>
      </c>
      <c r="C37" s="75">
        <f t="shared" ref="C37:C49" si="160">H37+N37+R37+X37+AB37+AF37+AJ37+AN37+AR37+AX37</f>
        <v>838638.74444223242</v>
      </c>
      <c r="D37" s="248"/>
      <c r="E37" s="212">
        <f>BD37</f>
        <v>1005493.8200000003</v>
      </c>
      <c r="F37" s="240">
        <f t="shared" si="12"/>
        <v>119.89594168687508</v>
      </c>
      <c r="G37" s="241">
        <f t="shared" si="13"/>
        <v>0</v>
      </c>
      <c r="H37" s="1295">
        <f>'izvršenje PO IZVORIMA-detaljno'!C37</f>
        <v>676986.0149976773</v>
      </c>
      <c r="I37" s="123"/>
      <c r="J37" s="127">
        <f>'izvršenje PO IZVORIMA-detaljno'!E37</f>
        <v>811744.38000000024</v>
      </c>
      <c r="K37" s="1286">
        <f t="shared" ref="K37:K55" si="161">IF(I37&lt;&gt;0,J37/I37*100,0)</f>
        <v>0</v>
      </c>
      <c r="L37" s="104"/>
      <c r="M37" s="105"/>
      <c r="N37" s="1307"/>
      <c r="O37" s="1307"/>
      <c r="P37" s="1308">
        <f>'izvršenje PO IZVORIMA-detaljno'!X37</f>
        <v>0</v>
      </c>
      <c r="Q37" s="1309">
        <f t="shared" ref="Q37:Q69" si="162">IF(O37&lt;&gt;0,P37/O37*100,0)</f>
        <v>0</v>
      </c>
      <c r="R37" s="1308">
        <f>'izvršenje PO IZVORIMA-detaljno'!Y37</f>
        <v>272.75466188864556</v>
      </c>
      <c r="S37" s="1310"/>
      <c r="T37" s="1308">
        <f>'izvršenje PO IZVORIMA-detaljno'!AA37</f>
        <v>149.98999999999998</v>
      </c>
      <c r="U37" s="1309">
        <f t="shared" ref="U37:U69" si="163">IF(S37&lt;&gt;0,T37/S37*100,0)</f>
        <v>0</v>
      </c>
      <c r="V37" s="1310"/>
      <c r="W37" s="1311"/>
      <c r="X37" s="1307"/>
      <c r="Y37" s="1307"/>
      <c r="Z37" s="1311"/>
      <c r="AA37" s="1309">
        <f t="shared" ref="AA37:AA69" si="164">IF(Y37&lt;&gt;0,Z37/Y37*100,0)</f>
        <v>0</v>
      </c>
      <c r="AB37" s="1425">
        <f>'izvršenje PO IZVORIMA-detaljno'!F37+'izvršenje PO IZVORIMA-detaljno'!L37</f>
        <v>4975.6652730771784</v>
      </c>
      <c r="AC37" s="1351"/>
      <c r="AD37" s="1348">
        <f>'izvršenje PO IZVORIMA-detaljno'!H37+'izvršenje PO IZVORIMA-detaljno'!N37</f>
        <v>2735.68</v>
      </c>
      <c r="AE37" s="1350">
        <f t="shared" ref="AE37:AE69" si="165">IF(AC37&lt;&gt;0,AD37/AC37*100,0)</f>
        <v>0</v>
      </c>
      <c r="AF37" s="1348">
        <f>'izvršenje PO IZVORIMA-detaljno'!I37+'izvršenje PO IZVORIMA-detaljno'!O37</f>
        <v>155508.43055279049</v>
      </c>
      <c r="AG37" s="1375"/>
      <c r="AH37" s="1348">
        <f>'izvršenje PO IZVORIMA-detaljno'!K37+'izvršenje PO IZVORIMA-detaljno'!Q37</f>
        <v>190863.77000000002</v>
      </c>
      <c r="AI37" s="1350">
        <f t="shared" ref="AI37:AI69" si="166">IF(AG37&lt;&gt;0,AH37/AG37*100,0)</f>
        <v>0</v>
      </c>
      <c r="AJ37" s="1352"/>
      <c r="AK37" s="1352"/>
      <c r="AL37" s="1348">
        <f>'izvršenje PO IZVORIMA-detaljno'!T37+'izvršenje PO IZVORIMA-detaljno'!U37</f>
        <v>0</v>
      </c>
      <c r="AM37" s="1350">
        <f t="shared" ref="AM37:AM69" si="167">IF(AK37&lt;&gt;0,AL37/AK37*100,0)</f>
        <v>0</v>
      </c>
      <c r="AN37" s="1348">
        <f>'izvršenje PO IZVORIMA-detaljno'!AN37</f>
        <v>0</v>
      </c>
      <c r="AO37" s="1352"/>
      <c r="AP37" s="1348">
        <f>'izvršenje PO IZVORIMA-detaljno'!AP37</f>
        <v>0</v>
      </c>
      <c r="AQ37" s="1350">
        <f t="shared" ref="AQ37:AQ69" si="168">IF(AO37&lt;&gt;0,AP37/AO37*100,0)</f>
        <v>0</v>
      </c>
      <c r="AR37" s="1351"/>
      <c r="AS37" s="1351"/>
      <c r="AT37" s="1376"/>
      <c r="AU37" s="1350">
        <f t="shared" ref="AU37:AU69" si="169">IF(AS37&lt;&gt;0,AT37/AS37*100,0)</f>
        <v>0</v>
      </c>
      <c r="AV37" s="1352"/>
      <c r="AW37" s="1353"/>
      <c r="AX37" s="1433">
        <f>'izvršenje PO IZVORIMA-detaljno'!AT37</f>
        <v>895.87895679872577</v>
      </c>
      <c r="AY37" s="1399">
        <f>'izvršenje PO IZVORIMA-detaljno'!AU37</f>
        <v>0</v>
      </c>
      <c r="AZ37" s="1449">
        <f>'izvršenje PO IZVORIMA-detaljno'!AV37+'izvršenje PO IZVORIMA-detaljno'!AW37+'izvršenje PO IZVORIMA-detaljno'!AX37</f>
        <v>0</v>
      </c>
      <c r="BA37" s="181">
        <f>'izvršenje PO IZVORIMA-detaljno'!AW37</f>
        <v>0</v>
      </c>
      <c r="BB37" s="211">
        <f>'izvršenje PO IZVORIMA-detaljno'!AX37+'izvršenje PO IZVORIMA-detaljno'!AY37+'izvršenje PO IZVORIMA-detaljno'!AZ37</f>
        <v>0</v>
      </c>
      <c r="BC37" s="106"/>
      <c r="BD37" s="126">
        <f>J37+M37+P37+T37+W37+Z37+AD37+AH37+AL37+AP37+AT37+AW37+AZ37</f>
        <v>1005493.8200000003</v>
      </c>
      <c r="BE37" s="44">
        <v>311111</v>
      </c>
      <c r="BG37" s="484"/>
      <c r="BH37" s="484"/>
      <c r="BI37" s="527"/>
    </row>
    <row r="38" spans="1:65" x14ac:dyDescent="0.25">
      <c r="A38" s="44">
        <v>311131</v>
      </c>
      <c r="B38" s="499" t="s">
        <v>161</v>
      </c>
      <c r="C38" s="75">
        <f t="shared" si="160"/>
        <v>13447.59970800982</v>
      </c>
      <c r="D38" s="8"/>
      <c r="E38" s="122">
        <f t="shared" ref="E38:E39" si="170">BD38</f>
        <v>0</v>
      </c>
      <c r="F38" s="235">
        <f t="shared" si="12"/>
        <v>0</v>
      </c>
      <c r="G38" s="237">
        <f t="shared" si="13"/>
        <v>0</v>
      </c>
      <c r="H38" s="126">
        <f>'izvršenje PO IZVORIMA-detaljno'!C38</f>
        <v>13443.12429491008</v>
      </c>
      <c r="I38" s="123"/>
      <c r="J38" s="127">
        <f>'izvršenje PO IZVORIMA-detaljno'!E38</f>
        <v>0</v>
      </c>
      <c r="K38" s="1287">
        <f t="shared" si="161"/>
        <v>0</v>
      </c>
      <c r="L38" s="52"/>
      <c r="M38" s="51"/>
      <c r="N38" s="1307"/>
      <c r="O38" s="1307"/>
      <c r="P38" s="1308">
        <f>'izvršenje PO IZVORIMA-detaljno'!X38</f>
        <v>0</v>
      </c>
      <c r="Q38" s="1313">
        <f t="shared" si="162"/>
        <v>0</v>
      </c>
      <c r="R38" s="1308">
        <f>'izvršenje PO IZVORIMA-detaljno'!Y38</f>
        <v>0</v>
      </c>
      <c r="S38" s="1314"/>
      <c r="T38" s="1308">
        <f>'izvršenje PO IZVORIMA-detaljno'!AA38</f>
        <v>0</v>
      </c>
      <c r="U38" s="1313">
        <f t="shared" si="163"/>
        <v>0</v>
      </c>
      <c r="V38" s="1314"/>
      <c r="W38" s="1315"/>
      <c r="X38" s="1307"/>
      <c r="Y38" s="1307"/>
      <c r="Z38" s="1315"/>
      <c r="AA38" s="1313">
        <f t="shared" si="164"/>
        <v>0</v>
      </c>
      <c r="AB38" s="1425">
        <f>'izvršenje PO IZVORIMA-detaljno'!F38+'izvršenje PO IZVORIMA-detaljno'!L38</f>
        <v>0</v>
      </c>
      <c r="AC38" s="1351"/>
      <c r="AD38" s="1348">
        <f>'izvršenje PO IZVORIMA-detaljno'!H38+'izvršenje PO IZVORIMA-detaljno'!N38</f>
        <v>0</v>
      </c>
      <c r="AE38" s="1355">
        <f t="shared" si="165"/>
        <v>0</v>
      </c>
      <c r="AF38" s="1348">
        <f>'izvršenje PO IZVORIMA-detaljno'!I38+'izvršenje PO IZVORIMA-detaljno'!O38</f>
        <v>0</v>
      </c>
      <c r="AG38" s="1351"/>
      <c r="AH38" s="1348">
        <f>'izvršenje PO IZVORIMA-detaljno'!K38+'izvršenje PO IZVORIMA-detaljno'!Q38</f>
        <v>0</v>
      </c>
      <c r="AI38" s="1355">
        <f t="shared" si="166"/>
        <v>0</v>
      </c>
      <c r="AJ38" s="1357"/>
      <c r="AK38" s="1357"/>
      <c r="AL38" s="1370"/>
      <c r="AM38" s="1355">
        <f t="shared" si="167"/>
        <v>0</v>
      </c>
      <c r="AN38" s="1348">
        <f>'izvršenje PO IZVORIMA-detaljno'!AN38</f>
        <v>4.4754130997411901</v>
      </c>
      <c r="AO38" s="1357"/>
      <c r="AP38" s="1348">
        <f>'izvršenje PO IZVORIMA-detaljno'!AP38</f>
        <v>0</v>
      </c>
      <c r="AQ38" s="1355">
        <f t="shared" si="168"/>
        <v>0</v>
      </c>
      <c r="AR38" s="1357"/>
      <c r="AS38" s="1357"/>
      <c r="AT38" s="1370"/>
      <c r="AU38" s="1355">
        <f t="shared" si="169"/>
        <v>0</v>
      </c>
      <c r="AV38" s="1357"/>
      <c r="AW38" s="1358"/>
      <c r="AX38" s="1433">
        <f>'izvršenje PO IZVORIMA-detaljno'!AT38</f>
        <v>0</v>
      </c>
      <c r="AY38" s="1399">
        <f>'izvršenje PO IZVORIMA-detaljno'!AU38</f>
        <v>0</v>
      </c>
      <c r="AZ38" s="1444"/>
      <c r="BA38" s="181">
        <f>'izvršenje PO IZVORIMA-detaljno'!AW38</f>
        <v>0</v>
      </c>
      <c r="BB38" s="178"/>
      <c r="BC38" s="57"/>
      <c r="BD38" s="126">
        <f>J38+M38+P38+T38+W38+Z38+AD38+AH38+AL38+AP38+AT38+AW38</f>
        <v>0</v>
      </c>
      <c r="BE38" s="44">
        <v>311131</v>
      </c>
      <c r="BG38" s="484"/>
      <c r="BH38" s="484"/>
      <c r="BI38" s="527"/>
    </row>
    <row r="39" spans="1:65" ht="15.75" thickBot="1" x14ac:dyDescent="0.3">
      <c r="A39" s="47">
        <v>311311</v>
      </c>
      <c r="B39" s="500" t="s">
        <v>16</v>
      </c>
      <c r="C39" s="75">
        <f t="shared" si="160"/>
        <v>25067.078107372748</v>
      </c>
      <c r="D39" s="10"/>
      <c r="E39" s="122">
        <f t="shared" si="170"/>
        <v>36692</v>
      </c>
      <c r="F39" s="242">
        <f t="shared" si="12"/>
        <v>146.37525699179164</v>
      </c>
      <c r="G39" s="243">
        <f t="shared" si="13"/>
        <v>0</v>
      </c>
      <c r="H39" s="126">
        <f>'izvršenje PO IZVORIMA-detaljno'!C39</f>
        <v>25067.078107372748</v>
      </c>
      <c r="I39" s="123"/>
      <c r="J39" s="127">
        <f>'izvršenje PO IZVORIMA-detaljno'!E39</f>
        <v>36467.53</v>
      </c>
      <c r="K39" s="1288">
        <f t="shared" si="161"/>
        <v>0</v>
      </c>
      <c r="L39" s="52"/>
      <c r="M39" s="51"/>
      <c r="N39" s="1307"/>
      <c r="O39" s="1307"/>
      <c r="P39" s="1308">
        <f>'izvršenje PO IZVORIMA-detaljno'!X39</f>
        <v>0</v>
      </c>
      <c r="Q39" s="1316">
        <f t="shared" si="162"/>
        <v>0</v>
      </c>
      <c r="R39" s="1308">
        <f>'izvršenje PO IZVORIMA-detaljno'!Y39</f>
        <v>0</v>
      </c>
      <c r="S39" s="1314"/>
      <c r="T39" s="1308">
        <f>'izvršenje PO IZVORIMA-detaljno'!AA39</f>
        <v>0</v>
      </c>
      <c r="U39" s="1316">
        <f t="shared" si="163"/>
        <v>0</v>
      </c>
      <c r="V39" s="1314"/>
      <c r="W39" s="1315"/>
      <c r="X39" s="1307"/>
      <c r="Y39" s="1307"/>
      <c r="Z39" s="1315"/>
      <c r="AA39" s="1316">
        <f t="shared" si="164"/>
        <v>0</v>
      </c>
      <c r="AB39" s="1425">
        <f>'izvršenje PO IZVORIMA-detaljno'!F39+'izvršenje PO IZVORIMA-detaljno'!L39</f>
        <v>0</v>
      </c>
      <c r="AC39" s="1351"/>
      <c r="AD39" s="1348">
        <f>'izvršenje PO IZVORIMA-detaljno'!H39+'izvršenje PO IZVORIMA-detaljno'!N39</f>
        <v>0</v>
      </c>
      <c r="AE39" s="1359">
        <f t="shared" si="165"/>
        <v>0</v>
      </c>
      <c r="AF39" s="1348">
        <f>'izvršenje PO IZVORIMA-detaljno'!I39+'izvršenje PO IZVORIMA-detaljno'!O39</f>
        <v>0</v>
      </c>
      <c r="AG39" s="1351"/>
      <c r="AH39" s="1348">
        <f>'izvršenje PO IZVORIMA-detaljno'!K39+'izvršenje PO IZVORIMA-detaljno'!Q39</f>
        <v>224.47000000000003</v>
      </c>
      <c r="AI39" s="1359">
        <f t="shared" si="166"/>
        <v>0</v>
      </c>
      <c r="AJ39" s="1357"/>
      <c r="AK39" s="1357"/>
      <c r="AL39" s="1370"/>
      <c r="AM39" s="1359">
        <f t="shared" si="167"/>
        <v>0</v>
      </c>
      <c r="AN39" s="1348">
        <f>'izvršenje PO IZVORIMA-detaljno'!AN39</f>
        <v>0</v>
      </c>
      <c r="AO39" s="1357"/>
      <c r="AP39" s="1348">
        <f>'izvršenje PO IZVORIMA-detaljno'!AP39</f>
        <v>0</v>
      </c>
      <c r="AQ39" s="1359">
        <f t="shared" si="168"/>
        <v>0</v>
      </c>
      <c r="AR39" s="1357"/>
      <c r="AS39" s="1357"/>
      <c r="AT39" s="1370"/>
      <c r="AU39" s="1359">
        <f t="shared" si="169"/>
        <v>0</v>
      </c>
      <c r="AV39" s="1357"/>
      <c r="AW39" s="1358"/>
      <c r="AX39" s="1433">
        <f>'izvršenje PO IZVORIMA-detaljno'!AT39</f>
        <v>0</v>
      </c>
      <c r="AY39" s="1399">
        <f>'izvršenje PO IZVORIMA-detaljno'!AU39</f>
        <v>0</v>
      </c>
      <c r="AZ39" s="1444"/>
      <c r="BA39" s="181">
        <f>'izvršenje PO IZVORIMA-detaljno'!AW39</f>
        <v>0</v>
      </c>
      <c r="BB39" s="178"/>
      <c r="BC39" s="57"/>
      <c r="BD39" s="126">
        <f>J39+M39+P39+T39+W39+Z39+AD39+AH39+AL39+AP39+AT39+AW39</f>
        <v>36692</v>
      </c>
      <c r="BE39" s="47">
        <v>311311</v>
      </c>
      <c r="BG39" s="484"/>
      <c r="BH39" s="484"/>
      <c r="BI39" s="527"/>
    </row>
    <row r="40" spans="1:65" s="24" customFormat="1" ht="15.75" thickBot="1" x14ac:dyDescent="0.3">
      <c r="A40" s="76">
        <v>311</v>
      </c>
      <c r="B40" s="505" t="s">
        <v>17</v>
      </c>
      <c r="C40" s="82">
        <f>SUM(C37:C39)</f>
        <v>877153.42225761502</v>
      </c>
      <c r="D40" s="82">
        <f>BC40</f>
        <v>1103550</v>
      </c>
      <c r="E40" s="83">
        <f t="shared" ref="E40" si="171">SUM(E37:E39)</f>
        <v>1042185.8200000003</v>
      </c>
      <c r="F40" s="253">
        <f t="shared" si="12"/>
        <v>118.8145418526243</v>
      </c>
      <c r="G40" s="252">
        <f>IF(D40&lt;&gt;0,E40/D40*100,0)</f>
        <v>94.439383806805338</v>
      </c>
      <c r="H40" s="411">
        <f>SUM(H37:H39)</f>
        <v>715496.21739996015</v>
      </c>
      <c r="I40" s="1608">
        <f>'izvršenje PO IZVORIMA-detaljno'!D40</f>
        <v>910000</v>
      </c>
      <c r="J40" s="82">
        <f>SUM(J37:J39)</f>
        <v>848211.91000000027</v>
      </c>
      <c r="K40" s="252">
        <f t="shared" si="161"/>
        <v>93.210100000000025</v>
      </c>
      <c r="L40" s="82">
        <f t="shared" ref="L40:AP40" si="172">SUM(L37:L39)</f>
        <v>0</v>
      </c>
      <c r="M40" s="112">
        <f t="shared" si="172"/>
        <v>0</v>
      </c>
      <c r="N40" s="417">
        <f t="shared" ref="N40" si="173">SUM(N37:N39)</f>
        <v>0</v>
      </c>
      <c r="O40" s="82">
        <f t="shared" si="172"/>
        <v>0</v>
      </c>
      <c r="P40" s="82">
        <f t="shared" si="172"/>
        <v>0</v>
      </c>
      <c r="Q40" s="252">
        <f t="shared" si="162"/>
        <v>0</v>
      </c>
      <c r="R40" s="82">
        <f>SUM(R37:R39)</f>
        <v>272.75466188864556</v>
      </c>
      <c r="S40" s="82">
        <f>'izvršenje PO IZVORIMA-detaljno'!Z40</f>
        <v>150</v>
      </c>
      <c r="T40" s="82">
        <f t="shared" si="172"/>
        <v>149.98999999999998</v>
      </c>
      <c r="U40" s="252">
        <f t="shared" si="163"/>
        <v>99.993333333333325</v>
      </c>
      <c r="V40" s="82">
        <f t="shared" si="172"/>
        <v>0</v>
      </c>
      <c r="W40" s="82">
        <f t="shared" si="172"/>
        <v>0</v>
      </c>
      <c r="X40" s="82"/>
      <c r="Y40" s="82">
        <f>'izvršenje PO IZVORIMA-detaljno'!AI40+'izvršenje PO IZVORIMA-detaljno'!AL40+'izvršenje PO IZVORIMA-detaljno'!AB40</f>
        <v>0</v>
      </c>
      <c r="Z40" s="112">
        <f t="shared" si="172"/>
        <v>0</v>
      </c>
      <c r="AA40" s="252">
        <f t="shared" si="164"/>
        <v>0</v>
      </c>
      <c r="AB40" s="417">
        <f>SUM(AB37:AB39)</f>
        <v>4975.6652730771784</v>
      </c>
      <c r="AC40" s="417">
        <f>'izvršenje PO IZVORIMA-detaljno'!G40+'izvršenje PO IZVORIMA-detaljno'!M40</f>
        <v>2736</v>
      </c>
      <c r="AD40" s="112">
        <f t="shared" si="172"/>
        <v>2735.68</v>
      </c>
      <c r="AE40" s="252">
        <f t="shared" si="165"/>
        <v>99.988304093567251</v>
      </c>
      <c r="AF40" s="108">
        <f>SUM(AF37:AF39)</f>
        <v>155508.43055279049</v>
      </c>
      <c r="AG40" s="108">
        <f>'izvršenje PO IZVORIMA-detaljno'!J40+'izvršenje PO IZVORIMA-detaljno'!P40</f>
        <v>190000</v>
      </c>
      <c r="AH40" s="115">
        <f>SUM(AH37:AH39)</f>
        <v>191088.24000000002</v>
      </c>
      <c r="AI40" s="252">
        <f t="shared" si="166"/>
        <v>100.57275789473685</v>
      </c>
      <c r="AJ40" s="82">
        <f>'izvršenje PO IZVORIMA-detaljno'!R40</f>
        <v>0</v>
      </c>
      <c r="AK40" s="82">
        <f>'izvršenje PO IZVORIMA-detaljno'!S40</f>
        <v>0</v>
      </c>
      <c r="AL40" s="82">
        <f t="shared" si="172"/>
        <v>0</v>
      </c>
      <c r="AM40" s="252">
        <f t="shared" si="167"/>
        <v>0</v>
      </c>
      <c r="AN40" s="82">
        <f>SUM(AN37:AN39)</f>
        <v>4.4754130997411901</v>
      </c>
      <c r="AO40" s="82">
        <f>'izvršenje PO IZVORIMA-detaljno'!AO40</f>
        <v>664</v>
      </c>
      <c r="AP40" s="82">
        <f t="shared" si="172"/>
        <v>0</v>
      </c>
      <c r="AQ40" s="252">
        <f t="shared" si="168"/>
        <v>0</v>
      </c>
      <c r="AR40" s="82">
        <f>'izvršenje PO IZVORIMA-detaljno'!AQ40</f>
        <v>0</v>
      </c>
      <c r="AS40" s="82">
        <f>'izvršenje PO IZVORIMA-detaljno'!AR40</f>
        <v>0</v>
      </c>
      <c r="AT40" s="82">
        <f t="shared" ref="AT40" si="174">SUM(AT37:AT39)</f>
        <v>0</v>
      </c>
      <c r="AU40" s="252">
        <f t="shared" si="169"/>
        <v>0</v>
      </c>
      <c r="AV40" s="82">
        <f t="shared" ref="AV40:AW40" si="175">SUM(AV37:AV39)</f>
        <v>0</v>
      </c>
      <c r="AW40" s="83">
        <f t="shared" si="175"/>
        <v>0</v>
      </c>
      <c r="AX40" s="407">
        <f>'izvršenje PO IZVORIMA-detaljno'!AT40</f>
        <v>895.87895679872577</v>
      </c>
      <c r="AY40" s="83">
        <f>'izvršenje PO IZVORIMA-detaljno'!AU40</f>
        <v>0</v>
      </c>
      <c r="AZ40" s="112">
        <f t="shared" ref="AZ40:BB40" si="176">SUM(AZ37:AZ39)</f>
        <v>0</v>
      </c>
      <c r="BA40" s="407">
        <f>'izvršenje PO IZVORIMA-detaljno'!AW40</f>
        <v>0</v>
      </c>
      <c r="BB40" s="83">
        <f t="shared" si="176"/>
        <v>0</v>
      </c>
      <c r="BC40" s="411">
        <f>AV40+AS40+AO40+AK40+AG40+AC40+Y40+V40+S40+O40+L40+I40+AY40</f>
        <v>1103550</v>
      </c>
      <c r="BD40" s="83">
        <f t="shared" ref="BD40" si="177">SUM(BD37:BD39)</f>
        <v>1042185.8200000003</v>
      </c>
      <c r="BE40" s="76">
        <v>311</v>
      </c>
      <c r="BF40" s="522"/>
      <c r="BG40" s="489"/>
      <c r="BH40" s="489"/>
      <c r="BI40" s="529"/>
      <c r="BJ40" s="489"/>
      <c r="BK40" s="489"/>
      <c r="BL40" s="489"/>
      <c r="BM40" s="489"/>
    </row>
    <row r="41" spans="1:65" x14ac:dyDescent="0.25">
      <c r="A41" s="74">
        <v>312121</v>
      </c>
      <c r="B41" s="498" t="s">
        <v>18</v>
      </c>
      <c r="C41" s="75">
        <f t="shared" si="160"/>
        <v>21536.180237573826</v>
      </c>
      <c r="D41" s="69"/>
      <c r="E41" s="122">
        <f t="shared" ref="E41:E49" si="178">BD41</f>
        <v>23959.72</v>
      </c>
      <c r="F41" s="240">
        <f t="shared" si="12"/>
        <v>111.25334082316911</v>
      </c>
      <c r="G41" s="241">
        <f t="shared" si="13"/>
        <v>0</v>
      </c>
      <c r="H41" s="123">
        <f>'izvršenje PO IZVORIMA-detaljno'!C41</f>
        <v>19389.023823744112</v>
      </c>
      <c r="I41" s="126"/>
      <c r="J41" s="176">
        <f>'izvršenje PO IZVORIMA-detaljno'!E41</f>
        <v>23959.72</v>
      </c>
      <c r="K41" s="1286">
        <f t="shared" si="161"/>
        <v>0</v>
      </c>
      <c r="L41" s="52"/>
      <c r="M41" s="51"/>
      <c r="N41" s="1314"/>
      <c r="O41" s="1314"/>
      <c r="P41" s="1315"/>
      <c r="Q41" s="1309">
        <f t="shared" si="162"/>
        <v>0</v>
      </c>
      <c r="R41" s="1314"/>
      <c r="S41" s="1314"/>
      <c r="T41" s="1315"/>
      <c r="U41" s="1309">
        <f t="shared" si="163"/>
        <v>0</v>
      </c>
      <c r="V41" s="1314"/>
      <c r="W41" s="1315"/>
      <c r="X41" s="1307"/>
      <c r="Y41" s="1307"/>
      <c r="Z41" s="1315"/>
      <c r="AA41" s="1309">
        <f t="shared" si="164"/>
        <v>0</v>
      </c>
      <c r="AB41" s="1357"/>
      <c r="AC41" s="1357"/>
      <c r="AD41" s="1370"/>
      <c r="AE41" s="1350">
        <f t="shared" si="165"/>
        <v>0</v>
      </c>
      <c r="AF41" s="1372">
        <f>'izvršenje PO IZVORIMA-detaljno'!O41+'izvršenje PO IZVORIMA-detaljno'!I41</f>
        <v>2147.1564138297163</v>
      </c>
      <c r="AG41" s="1352"/>
      <c r="AH41" s="1372">
        <f>'izvršenje PO IZVORIMA-detaljno'!Q41+'izvršenje PO IZVORIMA-detaljno'!K41</f>
        <v>0</v>
      </c>
      <c r="AI41" s="1350">
        <f t="shared" si="166"/>
        <v>0</v>
      </c>
      <c r="AJ41" s="1357"/>
      <c r="AK41" s="1357"/>
      <c r="AL41" s="1370"/>
      <c r="AM41" s="1350">
        <f t="shared" si="167"/>
        <v>0</v>
      </c>
      <c r="AN41" s="1370"/>
      <c r="AO41" s="1357"/>
      <c r="AP41" s="1370"/>
      <c r="AQ41" s="1350">
        <f t="shared" si="168"/>
        <v>0</v>
      </c>
      <c r="AR41" s="1357"/>
      <c r="AS41" s="1357"/>
      <c r="AT41" s="1370"/>
      <c r="AU41" s="1350">
        <f t="shared" si="169"/>
        <v>0</v>
      </c>
      <c r="AV41" s="1357"/>
      <c r="AW41" s="1358"/>
      <c r="AX41" s="1435"/>
      <c r="AY41" s="1401"/>
      <c r="AZ41" s="1444"/>
      <c r="BA41" s="180"/>
      <c r="BB41" s="178"/>
      <c r="BC41" s="57"/>
      <c r="BD41" s="126">
        <f>J41+M41+P41+T41+W41+Z41+AD41+AH41+AL41+AP41+AT41+AW41</f>
        <v>23959.72</v>
      </c>
      <c r="BE41" s="74">
        <v>312121</v>
      </c>
      <c r="BG41" s="484"/>
      <c r="BH41" s="484"/>
      <c r="BI41" s="527"/>
    </row>
    <row r="42" spans="1:65" s="6" customFormat="1" x14ac:dyDescent="0.25">
      <c r="A42" s="45">
        <v>312131</v>
      </c>
      <c r="B42" s="499" t="s">
        <v>19</v>
      </c>
      <c r="C42" s="75">
        <f t="shared" si="160"/>
        <v>5200.0398168425236</v>
      </c>
      <c r="D42" s="5"/>
      <c r="E42" s="122">
        <f t="shared" si="178"/>
        <v>4000</v>
      </c>
      <c r="F42" s="235">
        <f t="shared" si="12"/>
        <v>76.922487921040755</v>
      </c>
      <c r="G42" s="237">
        <f t="shared" si="13"/>
        <v>0</v>
      </c>
      <c r="H42" s="123">
        <f>'izvršenje PO IZVORIMA-detaljno'!C42</f>
        <v>5200.0398168425236</v>
      </c>
      <c r="I42" s="124"/>
      <c r="J42" s="176">
        <f>'izvršenje PO IZVORIMA-detaljno'!E42</f>
        <v>4000</v>
      </c>
      <c r="K42" s="1287">
        <f t="shared" si="161"/>
        <v>0</v>
      </c>
      <c r="L42" s="52"/>
      <c r="M42" s="51"/>
      <c r="N42" s="1314"/>
      <c r="O42" s="1314"/>
      <c r="P42" s="1315"/>
      <c r="Q42" s="1313">
        <f t="shared" si="162"/>
        <v>0</v>
      </c>
      <c r="R42" s="1314"/>
      <c r="S42" s="1314"/>
      <c r="T42" s="1315"/>
      <c r="U42" s="1313">
        <f t="shared" si="163"/>
        <v>0</v>
      </c>
      <c r="V42" s="1314"/>
      <c r="W42" s="1315"/>
      <c r="X42" s="1307"/>
      <c r="Y42" s="1307"/>
      <c r="Z42" s="1315"/>
      <c r="AA42" s="1313">
        <f t="shared" si="164"/>
        <v>0</v>
      </c>
      <c r="AB42" s="1357"/>
      <c r="AC42" s="1357"/>
      <c r="AD42" s="1370"/>
      <c r="AE42" s="1355">
        <f t="shared" si="165"/>
        <v>0</v>
      </c>
      <c r="AF42" s="1370"/>
      <c r="AG42" s="1357"/>
      <c r="AH42" s="1370"/>
      <c r="AI42" s="1355">
        <f t="shared" si="166"/>
        <v>0</v>
      </c>
      <c r="AJ42" s="1357"/>
      <c r="AK42" s="1357"/>
      <c r="AL42" s="1370"/>
      <c r="AM42" s="1355">
        <f t="shared" si="167"/>
        <v>0</v>
      </c>
      <c r="AN42" s="1370"/>
      <c r="AO42" s="1357"/>
      <c r="AP42" s="1370"/>
      <c r="AQ42" s="1355">
        <f t="shared" si="168"/>
        <v>0</v>
      </c>
      <c r="AR42" s="1357"/>
      <c r="AS42" s="1357"/>
      <c r="AT42" s="1370"/>
      <c r="AU42" s="1355">
        <f t="shared" si="169"/>
        <v>0</v>
      </c>
      <c r="AV42" s="1357"/>
      <c r="AW42" s="1358"/>
      <c r="AX42" s="1435"/>
      <c r="AY42" s="1401"/>
      <c r="AZ42" s="1444"/>
      <c r="BA42" s="180"/>
      <c r="BB42" s="178"/>
      <c r="BC42" s="57"/>
      <c r="BD42" s="126">
        <f>J42+M42+P42+T42+W42+Z42+AD42+AH42+AL42+AP42+AT42+AW42</f>
        <v>4000</v>
      </c>
      <c r="BE42" s="45">
        <v>312131</v>
      </c>
      <c r="BF42" s="518"/>
      <c r="BG42" s="493"/>
      <c r="BH42" s="493"/>
      <c r="BI42" s="530"/>
      <c r="BJ42" s="487"/>
      <c r="BK42" s="487"/>
      <c r="BL42" s="487"/>
      <c r="BM42" s="487"/>
    </row>
    <row r="43" spans="1:65" x14ac:dyDescent="0.25">
      <c r="A43" s="45">
        <v>312141</v>
      </c>
      <c r="B43" s="499" t="s">
        <v>20</v>
      </c>
      <c r="C43" s="75">
        <f t="shared" si="160"/>
        <v>0</v>
      </c>
      <c r="D43" s="5"/>
      <c r="E43" s="122">
        <f t="shared" si="178"/>
        <v>0</v>
      </c>
      <c r="F43" s="235">
        <f t="shared" si="12"/>
        <v>0</v>
      </c>
      <c r="G43" s="237">
        <f t="shared" si="13"/>
        <v>0</v>
      </c>
      <c r="H43" s="123">
        <f>'izvršenje PO IZVORIMA-detaljno'!C43</f>
        <v>0</v>
      </c>
      <c r="I43" s="124"/>
      <c r="J43" s="176">
        <f>'izvršenje PO IZVORIMA-detaljno'!E43</f>
        <v>0</v>
      </c>
      <c r="K43" s="1287">
        <f t="shared" si="161"/>
        <v>0</v>
      </c>
      <c r="L43" s="52"/>
      <c r="M43" s="51"/>
      <c r="N43" s="1314"/>
      <c r="O43" s="1314"/>
      <c r="P43" s="1315"/>
      <c r="Q43" s="1313">
        <f t="shared" si="162"/>
        <v>0</v>
      </c>
      <c r="R43" s="1314"/>
      <c r="S43" s="1314"/>
      <c r="T43" s="1315"/>
      <c r="U43" s="1313">
        <f t="shared" si="163"/>
        <v>0</v>
      </c>
      <c r="V43" s="1314"/>
      <c r="W43" s="1315"/>
      <c r="X43" s="1307"/>
      <c r="Y43" s="1307"/>
      <c r="Z43" s="1315"/>
      <c r="AA43" s="1313">
        <f t="shared" si="164"/>
        <v>0</v>
      </c>
      <c r="AB43" s="1357"/>
      <c r="AC43" s="1357"/>
      <c r="AD43" s="1370"/>
      <c r="AE43" s="1355">
        <f t="shared" si="165"/>
        <v>0</v>
      </c>
      <c r="AF43" s="1370"/>
      <c r="AG43" s="1357"/>
      <c r="AH43" s="1370"/>
      <c r="AI43" s="1355">
        <f t="shared" si="166"/>
        <v>0</v>
      </c>
      <c r="AJ43" s="1357"/>
      <c r="AK43" s="1357"/>
      <c r="AL43" s="1370"/>
      <c r="AM43" s="1355">
        <f t="shared" si="167"/>
        <v>0</v>
      </c>
      <c r="AN43" s="1370"/>
      <c r="AO43" s="1357"/>
      <c r="AP43" s="1370"/>
      <c r="AQ43" s="1355">
        <f t="shared" si="168"/>
        <v>0</v>
      </c>
      <c r="AR43" s="1357"/>
      <c r="AS43" s="1357"/>
      <c r="AT43" s="1370"/>
      <c r="AU43" s="1355">
        <f t="shared" si="169"/>
        <v>0</v>
      </c>
      <c r="AV43" s="1357"/>
      <c r="AW43" s="1358"/>
      <c r="AX43" s="1435"/>
      <c r="AY43" s="1401"/>
      <c r="AZ43" s="1444"/>
      <c r="BA43" s="180"/>
      <c r="BB43" s="178"/>
      <c r="BC43" s="57"/>
      <c r="BD43" s="126">
        <f>J43+M43+P43+T43+W43+Z43+AD43+AH43+AL43+AP43+AT43+AW43</f>
        <v>0</v>
      </c>
      <c r="BE43" s="45">
        <v>312141</v>
      </c>
      <c r="BG43" s="484"/>
      <c r="BH43" s="484"/>
      <c r="BI43" s="527"/>
    </row>
    <row r="44" spans="1:65" s="6" customFormat="1" x14ac:dyDescent="0.25">
      <c r="A44" s="45">
        <v>312151</v>
      </c>
      <c r="B44" s="499" t="s">
        <v>21</v>
      </c>
      <c r="C44" s="75">
        <f t="shared" si="160"/>
        <v>3548.6707810737271</v>
      </c>
      <c r="D44" s="5"/>
      <c r="E44" s="122">
        <f t="shared" si="178"/>
        <v>1445.34</v>
      </c>
      <c r="F44" s="235">
        <f t="shared" si="12"/>
        <v>40.729052909289067</v>
      </c>
      <c r="G44" s="237">
        <f t="shared" si="13"/>
        <v>0</v>
      </c>
      <c r="H44" s="123">
        <f>'izvršenje PO IZVORIMA-detaljno'!C44</f>
        <v>3548.6707810737271</v>
      </c>
      <c r="I44" s="124"/>
      <c r="J44" s="176">
        <f>'izvršenje PO IZVORIMA-detaljno'!E44</f>
        <v>1445.34</v>
      </c>
      <c r="K44" s="1287">
        <f t="shared" si="161"/>
        <v>0</v>
      </c>
      <c r="L44" s="52"/>
      <c r="M44" s="51"/>
      <c r="N44" s="1314"/>
      <c r="O44" s="1314"/>
      <c r="P44" s="1315"/>
      <c r="Q44" s="1313">
        <f t="shared" si="162"/>
        <v>0</v>
      </c>
      <c r="R44" s="1314"/>
      <c r="S44" s="1314"/>
      <c r="T44" s="1315"/>
      <c r="U44" s="1313">
        <f t="shared" si="163"/>
        <v>0</v>
      </c>
      <c r="V44" s="1314"/>
      <c r="W44" s="1315"/>
      <c r="X44" s="1307"/>
      <c r="Y44" s="1307"/>
      <c r="Z44" s="1315"/>
      <c r="AA44" s="1313">
        <f t="shared" si="164"/>
        <v>0</v>
      </c>
      <c r="AB44" s="1357"/>
      <c r="AC44" s="1357"/>
      <c r="AD44" s="1370"/>
      <c r="AE44" s="1355">
        <f t="shared" si="165"/>
        <v>0</v>
      </c>
      <c r="AF44" s="1370"/>
      <c r="AG44" s="1357"/>
      <c r="AH44" s="1370"/>
      <c r="AI44" s="1355">
        <f t="shared" si="166"/>
        <v>0</v>
      </c>
      <c r="AJ44" s="1357"/>
      <c r="AK44" s="1357"/>
      <c r="AL44" s="1370"/>
      <c r="AM44" s="1355">
        <f t="shared" si="167"/>
        <v>0</v>
      </c>
      <c r="AN44" s="1372">
        <f>'izvršenje PO IZVORIMA-detaljno'!AN44</f>
        <v>0</v>
      </c>
      <c r="AO44" s="1357"/>
      <c r="AP44" s="1372">
        <f>'izvršenje PO IZVORIMA-detaljno'!AP44</f>
        <v>0</v>
      </c>
      <c r="AQ44" s="1355">
        <f t="shared" si="168"/>
        <v>0</v>
      </c>
      <c r="AR44" s="1357"/>
      <c r="AS44" s="1357"/>
      <c r="AT44" s="1370"/>
      <c r="AU44" s="1355">
        <f t="shared" si="169"/>
        <v>0</v>
      </c>
      <c r="AV44" s="1357"/>
      <c r="AW44" s="1358"/>
      <c r="AX44" s="1435"/>
      <c r="AY44" s="1401"/>
      <c r="AZ44" s="1444"/>
      <c r="BA44" s="180"/>
      <c r="BB44" s="178"/>
      <c r="BC44" s="57"/>
      <c r="BD44" s="126">
        <f>J44+M44+P44+T44+W44+Z44+AD44+AH44+AL44+AP44+AT44+AW44</f>
        <v>1445.34</v>
      </c>
      <c r="BE44" s="45">
        <v>312151</v>
      </c>
      <c r="BF44" s="518"/>
      <c r="BG44" s="493"/>
      <c r="BH44" s="493"/>
      <c r="BI44" s="530"/>
      <c r="BJ44" s="487"/>
      <c r="BK44" s="487"/>
      <c r="BL44" s="487"/>
      <c r="BM44" s="487"/>
    </row>
    <row r="45" spans="1:65" s="6" customFormat="1" ht="15.75" thickBot="1" x14ac:dyDescent="0.3">
      <c r="A45" s="46">
        <v>312161</v>
      </c>
      <c r="B45" s="500" t="s">
        <v>22</v>
      </c>
      <c r="C45" s="75">
        <f t="shared" si="160"/>
        <v>12144.136969938285</v>
      </c>
      <c r="D45" s="4"/>
      <c r="E45" s="122">
        <f t="shared" si="178"/>
        <v>18595.810000000001</v>
      </c>
      <c r="F45" s="242">
        <f t="shared" si="12"/>
        <v>153.12582562295083</v>
      </c>
      <c r="G45" s="243">
        <f t="shared" si="13"/>
        <v>0</v>
      </c>
      <c r="H45" s="123">
        <f>'izvršenje PO IZVORIMA-detaljno'!C45</f>
        <v>10741.510385559759</v>
      </c>
      <c r="I45" s="124"/>
      <c r="J45" s="176">
        <f>'izvršenje PO IZVORIMA-detaljno'!E45</f>
        <v>15966.94</v>
      </c>
      <c r="K45" s="1288">
        <f t="shared" si="161"/>
        <v>0</v>
      </c>
      <c r="L45" s="52"/>
      <c r="M45" s="51"/>
      <c r="N45" s="1314"/>
      <c r="O45" s="1314"/>
      <c r="P45" s="1315"/>
      <c r="Q45" s="1316">
        <f t="shared" si="162"/>
        <v>0</v>
      </c>
      <c r="R45" s="1314"/>
      <c r="S45" s="1314"/>
      <c r="T45" s="1315"/>
      <c r="U45" s="1316">
        <f t="shared" si="163"/>
        <v>0</v>
      </c>
      <c r="V45" s="1314"/>
      <c r="W45" s="1315"/>
      <c r="X45" s="1307"/>
      <c r="Y45" s="1307"/>
      <c r="Z45" s="1315"/>
      <c r="AA45" s="1316">
        <f t="shared" si="164"/>
        <v>0</v>
      </c>
      <c r="AB45" s="1357"/>
      <c r="AC45" s="1357"/>
      <c r="AD45" s="1370"/>
      <c r="AE45" s="1359">
        <f t="shared" si="165"/>
        <v>0</v>
      </c>
      <c r="AF45" s="1372">
        <f>'izvršenje PO IZVORIMA-detaljno'!I45+'izvršenje PO IZVORIMA-detaljno'!O45</f>
        <v>1402.6265843785252</v>
      </c>
      <c r="AG45" s="1357"/>
      <c r="AH45" s="1372">
        <f>'izvršenje PO IZVORIMA-detaljno'!K45+'izvršenje PO IZVORIMA-detaljno'!Q45</f>
        <v>2628.87</v>
      </c>
      <c r="AI45" s="1359">
        <f t="shared" si="166"/>
        <v>0</v>
      </c>
      <c r="AJ45" s="1357"/>
      <c r="AK45" s="1357"/>
      <c r="AL45" s="1370"/>
      <c r="AM45" s="1359">
        <f t="shared" si="167"/>
        <v>0</v>
      </c>
      <c r="AN45" s="1370"/>
      <c r="AO45" s="1357"/>
      <c r="AP45" s="1370"/>
      <c r="AQ45" s="1359">
        <f t="shared" si="168"/>
        <v>0</v>
      </c>
      <c r="AR45" s="1357"/>
      <c r="AS45" s="1357"/>
      <c r="AT45" s="1370"/>
      <c r="AU45" s="1359">
        <f t="shared" si="169"/>
        <v>0</v>
      </c>
      <c r="AV45" s="1357"/>
      <c r="AW45" s="1358"/>
      <c r="AX45" s="1435"/>
      <c r="AY45" s="1401"/>
      <c r="AZ45" s="1444"/>
      <c r="BA45" s="180"/>
      <c r="BB45" s="178"/>
      <c r="BC45" s="57"/>
      <c r="BD45" s="126">
        <f>J45+M45+P45+T45+W45+Z45+AD45+AH45+AL45+AP45+AT45+AW45</f>
        <v>18595.810000000001</v>
      </c>
      <c r="BE45" s="46">
        <v>312161</v>
      </c>
      <c r="BF45" s="518"/>
      <c r="BG45" s="493"/>
      <c r="BH45" s="493"/>
      <c r="BI45" s="530"/>
      <c r="BJ45" s="487"/>
      <c r="BK45" s="487"/>
      <c r="BL45" s="487"/>
      <c r="BM45" s="487"/>
    </row>
    <row r="46" spans="1:65" s="22" customFormat="1" ht="15.75" thickBot="1" x14ac:dyDescent="0.3">
      <c r="A46" s="76">
        <v>312</v>
      </c>
      <c r="B46" s="505" t="s">
        <v>23</v>
      </c>
      <c r="C46" s="83">
        <f>SUM(C41:C45)</f>
        <v>42429.027805428363</v>
      </c>
      <c r="D46" s="82">
        <f>BC46</f>
        <v>53500</v>
      </c>
      <c r="E46" s="83">
        <f t="shared" ref="E46" si="179">SUM(E41:E45)</f>
        <v>48000.87</v>
      </c>
      <c r="F46" s="253">
        <f t="shared" si="12"/>
        <v>113.13214674661667</v>
      </c>
      <c r="G46" s="252">
        <f>IF(D46&lt;&gt;0,E46/D46*100,0)</f>
        <v>89.7212523364486</v>
      </c>
      <c r="H46" s="411">
        <f>SUM(H41:H45)</f>
        <v>38879.244807220122</v>
      </c>
      <c r="I46" s="115">
        <f>'izvršenje PO IZVORIMA-detaljno'!D46</f>
        <v>50000</v>
      </c>
      <c r="J46" s="82">
        <f>SUM(J41:J45)</f>
        <v>45372</v>
      </c>
      <c r="K46" s="252">
        <f t="shared" si="161"/>
        <v>90.744</v>
      </c>
      <c r="L46" s="82">
        <f t="shared" ref="L46:AP46" si="180">SUM(L41:L45)</f>
        <v>0</v>
      </c>
      <c r="M46" s="112">
        <f t="shared" si="180"/>
        <v>0</v>
      </c>
      <c r="N46" s="417">
        <f t="shared" ref="N46" si="181">SUM(N41:N45)</f>
        <v>0</v>
      </c>
      <c r="O46" s="82">
        <f t="shared" si="180"/>
        <v>0</v>
      </c>
      <c r="P46" s="82">
        <f t="shared" si="180"/>
        <v>0</v>
      </c>
      <c r="Q46" s="252">
        <f t="shared" si="162"/>
        <v>0</v>
      </c>
      <c r="R46" s="82">
        <f t="shared" ref="R46" si="182">SUM(R41:R45)</f>
        <v>0</v>
      </c>
      <c r="S46" s="82">
        <f t="shared" si="180"/>
        <v>0</v>
      </c>
      <c r="T46" s="82">
        <f t="shared" si="180"/>
        <v>0</v>
      </c>
      <c r="U46" s="252">
        <f t="shared" si="163"/>
        <v>0</v>
      </c>
      <c r="V46" s="82">
        <f t="shared" si="180"/>
        <v>0</v>
      </c>
      <c r="W46" s="82">
        <f t="shared" si="180"/>
        <v>0</v>
      </c>
      <c r="X46" s="82"/>
      <c r="Y46" s="82">
        <f>'izvršenje PO IZVORIMA-detaljno'!AI46+'izvršenje PO IZVORIMA-detaljno'!AL46+'izvršenje PO IZVORIMA-detaljno'!AB46</f>
        <v>0</v>
      </c>
      <c r="Z46" s="112">
        <f t="shared" si="180"/>
        <v>0</v>
      </c>
      <c r="AA46" s="252">
        <f t="shared" si="164"/>
        <v>0</v>
      </c>
      <c r="AB46" s="417">
        <f>'izvršenje PO IZVORIMA-detaljno'!F46+'izvršenje PO IZVORIMA-detaljno'!L46</f>
        <v>0</v>
      </c>
      <c r="AC46" s="417">
        <f>'izvršenje PO IZVORIMA-detaljno'!G46+'izvršenje PO IZVORIMA-detaljno'!M46</f>
        <v>0</v>
      </c>
      <c r="AD46" s="82">
        <f t="shared" si="180"/>
        <v>0</v>
      </c>
      <c r="AE46" s="252">
        <f t="shared" si="165"/>
        <v>0</v>
      </c>
      <c r="AF46" s="108">
        <f>SUM(AF41:AF45)</f>
        <v>3549.7829982082412</v>
      </c>
      <c r="AG46" s="108">
        <f>'izvršenje PO IZVORIMA-detaljno'!J46+'izvršenje PO IZVORIMA-detaljno'!P46</f>
        <v>3500</v>
      </c>
      <c r="AH46" s="82">
        <f t="shared" si="180"/>
        <v>2628.87</v>
      </c>
      <c r="AI46" s="252">
        <f t="shared" si="166"/>
        <v>75.110571428571433</v>
      </c>
      <c r="AJ46" s="82"/>
      <c r="AK46" s="82">
        <f>'izvršenje PO IZVORIMA-detaljno'!S46</f>
        <v>0</v>
      </c>
      <c r="AL46" s="82">
        <f t="shared" si="180"/>
        <v>0</v>
      </c>
      <c r="AM46" s="252">
        <f t="shared" si="167"/>
        <v>0</v>
      </c>
      <c r="AN46" s="82"/>
      <c r="AO46" s="82">
        <f>'izvršenje PO IZVORIMA-detaljno'!AO46</f>
        <v>0</v>
      </c>
      <c r="AP46" s="82">
        <f t="shared" si="180"/>
        <v>0</v>
      </c>
      <c r="AQ46" s="252">
        <f t="shared" si="168"/>
        <v>0</v>
      </c>
      <c r="AR46" s="82">
        <f>'izvršenje PO IZVORIMA-detaljno'!AQ46</f>
        <v>0</v>
      </c>
      <c r="AS46" s="82">
        <f>'izvršenje PO IZVORIMA-detaljno'!AR46</f>
        <v>0</v>
      </c>
      <c r="AT46" s="82">
        <f t="shared" ref="AT46" si="183">SUM(AT41:AT45)</f>
        <v>0</v>
      </c>
      <c r="AU46" s="252">
        <f t="shared" si="169"/>
        <v>0</v>
      </c>
      <c r="AV46" s="82">
        <f t="shared" ref="AV46:AW46" si="184">SUM(AV41:AV45)</f>
        <v>0</v>
      </c>
      <c r="AW46" s="83">
        <f t="shared" si="184"/>
        <v>0</v>
      </c>
      <c r="AX46" s="407">
        <f>'izvršenje PO IZVORIMA-detaljno'!AT46</f>
        <v>0</v>
      </c>
      <c r="AY46" s="83">
        <f>'izvršenje PO IZVORIMA-detaljno'!AU46</f>
        <v>0</v>
      </c>
      <c r="AZ46" s="112">
        <f t="shared" ref="AZ46:BB46" si="185">SUM(AZ41:AZ45)</f>
        <v>0</v>
      </c>
      <c r="BA46" s="407">
        <f>'izvršenje PO IZVORIMA-detaljno'!AW46</f>
        <v>0</v>
      </c>
      <c r="BB46" s="83">
        <f t="shared" si="185"/>
        <v>0</v>
      </c>
      <c r="BC46" s="411">
        <f>AV46+AS46+AO46+AK46+AG46+AC46+Y46+V46+S46+O46+L46+I46+AY46</f>
        <v>53500</v>
      </c>
      <c r="BD46" s="83">
        <f t="shared" ref="BD46" si="186">SUM(BD41:BD45)</f>
        <v>48000.87</v>
      </c>
      <c r="BE46" s="76">
        <v>312</v>
      </c>
      <c r="BF46" s="522"/>
      <c r="BG46" s="484"/>
      <c r="BH46" s="484"/>
      <c r="BI46" s="527"/>
      <c r="BJ46" s="484"/>
      <c r="BK46" s="484"/>
      <c r="BL46" s="484"/>
      <c r="BM46" s="484"/>
    </row>
    <row r="47" spans="1:65" s="6" customFormat="1" x14ac:dyDescent="0.25">
      <c r="A47" s="62">
        <v>313211</v>
      </c>
      <c r="B47" s="498" t="s">
        <v>24</v>
      </c>
      <c r="C47" s="75">
        <f>H47+N47+R47+X47+AB47+AF47+AJ47+AN47+AR47+AX47</f>
        <v>141007.19490344415</v>
      </c>
      <c r="D47" s="64"/>
      <c r="E47" s="122">
        <f t="shared" si="178"/>
        <v>167134.38</v>
      </c>
      <c r="F47" s="240">
        <f t="shared" si="12"/>
        <v>118.52897301761563</v>
      </c>
      <c r="G47" s="241">
        <f t="shared" si="13"/>
        <v>0</v>
      </c>
      <c r="H47" s="123">
        <f>'izvršenje PO IZVORIMA-detaljno'!C47</f>
        <v>114478.79753135575</v>
      </c>
      <c r="I47" s="124"/>
      <c r="J47" s="176">
        <f>'izvršenje PO IZVORIMA-detaljno'!E47</f>
        <v>135272.55000000002</v>
      </c>
      <c r="K47" s="1286">
        <f t="shared" si="161"/>
        <v>0</v>
      </c>
      <c r="L47" s="52"/>
      <c r="M47" s="51"/>
      <c r="N47" s="1314"/>
      <c r="O47" s="1314"/>
      <c r="P47" s="1315"/>
      <c r="Q47" s="1309">
        <f t="shared" si="162"/>
        <v>0</v>
      </c>
      <c r="R47" s="1326">
        <f>'izvršenje PO IZVORIMA-detaljno'!Y47</f>
        <v>45.00497710531554</v>
      </c>
      <c r="S47" s="1314"/>
      <c r="T47" s="1326">
        <f>'izvršenje PO IZVORIMA-detaljno'!AA47</f>
        <v>24.75</v>
      </c>
      <c r="U47" s="1309">
        <f t="shared" si="163"/>
        <v>0</v>
      </c>
      <c r="V47" s="1314"/>
      <c r="W47" s="1315"/>
      <c r="X47" s="1307"/>
      <c r="Y47" s="1307"/>
      <c r="Z47" s="1315"/>
      <c r="AA47" s="1309">
        <f t="shared" si="164"/>
        <v>0</v>
      </c>
      <c r="AB47" s="1427">
        <f>'izvršenje PO IZVORIMA-detaljno'!F47+'izvršenje PO IZVORIMA-detaljno'!L47</f>
        <v>820.98745769460481</v>
      </c>
      <c r="AC47" s="1357"/>
      <c r="AD47" s="1372">
        <f>'izvršenje PO IZVORIMA-detaljno'!H47+'izvršenje PO IZVORIMA-detaljno'!N47</f>
        <v>451.35999999999996</v>
      </c>
      <c r="AE47" s="1350">
        <f t="shared" si="165"/>
        <v>0</v>
      </c>
      <c r="AF47" s="1372">
        <f>'izvršenje PO IZVORIMA-detaljno'!I47+'izvršenje PO IZVORIMA-detaljno'!O47</f>
        <v>25514.583582188599</v>
      </c>
      <c r="AG47" s="1357"/>
      <c r="AH47" s="1372">
        <f>'izvršenje PO IZVORIMA-detaljno'!K47+'izvršenje PO IZVORIMA-detaljno'!Q47</f>
        <v>31385.719999999994</v>
      </c>
      <c r="AI47" s="1350">
        <f t="shared" si="166"/>
        <v>0</v>
      </c>
      <c r="AJ47" s="1357"/>
      <c r="AK47" s="1357"/>
      <c r="AL47" s="1370"/>
      <c r="AM47" s="1350">
        <f t="shared" si="167"/>
        <v>0</v>
      </c>
      <c r="AN47" s="1357"/>
      <c r="AO47" s="1357"/>
      <c r="AP47" s="1370"/>
      <c r="AQ47" s="1350">
        <f t="shared" si="168"/>
        <v>0</v>
      </c>
      <c r="AR47" s="1357"/>
      <c r="AS47" s="1357"/>
      <c r="AT47" s="1370"/>
      <c r="AU47" s="1350">
        <f t="shared" si="169"/>
        <v>0</v>
      </c>
      <c r="AV47" s="1357"/>
      <c r="AW47" s="1358"/>
      <c r="AX47" s="1436">
        <f>'izvršenje PO IZVORIMA-detaljno'!AT47+'izvršenje PO IZVORIMA-detaljno'!AU47+'izvršenje PO IZVORIMA-detaljno'!AV47</f>
        <v>147.8213550998739</v>
      </c>
      <c r="AY47" s="1401"/>
      <c r="AZ47" s="1448">
        <f>'izvršenje PO IZVORIMA-detaljno'!AV47+'izvršenje PO IZVORIMA-detaljno'!AW47+'izvršenje PO IZVORIMA-detaljno'!AX47</f>
        <v>0</v>
      </c>
      <c r="BA47" s="180"/>
      <c r="BB47" s="408">
        <f>'izvršenje PO IZVORIMA-detaljno'!AX47+'izvršenje PO IZVORIMA-detaljno'!AY47+'izvršenje PO IZVORIMA-detaljno'!AZ47</f>
        <v>0</v>
      </c>
      <c r="BC47" s="57"/>
      <c r="BD47" s="126">
        <f>J47+M47+P47+T47+W47+Z47+AD47+AH47+AL47+AP47+AT47+AW47+AZ47</f>
        <v>167134.38</v>
      </c>
      <c r="BE47" s="62">
        <v>313211</v>
      </c>
      <c r="BF47" s="518"/>
      <c r="BG47" s="493"/>
      <c r="BH47" s="493"/>
      <c r="BI47" s="530"/>
      <c r="BJ47" s="487"/>
      <c r="BK47" s="487"/>
      <c r="BL47" s="487"/>
      <c r="BM47" s="487"/>
    </row>
    <row r="48" spans="1:65" x14ac:dyDescent="0.25">
      <c r="A48" s="44">
        <v>313221</v>
      </c>
      <c r="B48" s="499" t="s">
        <v>162</v>
      </c>
      <c r="C48" s="75">
        <f t="shared" si="160"/>
        <v>62.507133850952279</v>
      </c>
      <c r="D48" s="5"/>
      <c r="E48" s="122">
        <f t="shared" si="178"/>
        <v>0</v>
      </c>
      <c r="F48" s="235">
        <f t="shared" si="12"/>
        <v>0</v>
      </c>
      <c r="G48" s="237">
        <f t="shared" si="13"/>
        <v>0</v>
      </c>
      <c r="H48" s="123">
        <f>'izvršenje PO IZVORIMA-detaljno'!C48</f>
        <v>62.507133850952279</v>
      </c>
      <c r="I48" s="124"/>
      <c r="J48" s="176">
        <f>'izvršenje PO IZVORIMA-detaljno'!E48</f>
        <v>0</v>
      </c>
      <c r="K48" s="1287">
        <f t="shared" si="161"/>
        <v>0</v>
      </c>
      <c r="L48" s="52"/>
      <c r="M48" s="51"/>
      <c r="N48" s="1314"/>
      <c r="O48" s="1314"/>
      <c r="P48" s="1315"/>
      <c r="Q48" s="1313">
        <f t="shared" si="162"/>
        <v>0</v>
      </c>
      <c r="R48" s="1326">
        <f>'izvršenje PO IZVORIMA-detaljno'!Y48</f>
        <v>0</v>
      </c>
      <c r="S48" s="1314"/>
      <c r="T48" s="1326">
        <f>'izvršenje PO IZVORIMA-detaljno'!AA48</f>
        <v>0</v>
      </c>
      <c r="U48" s="1313">
        <f t="shared" si="163"/>
        <v>0</v>
      </c>
      <c r="V48" s="1314"/>
      <c r="W48" s="1315"/>
      <c r="X48" s="1307"/>
      <c r="Y48" s="1307"/>
      <c r="Z48" s="1315"/>
      <c r="AA48" s="1313">
        <f t="shared" si="164"/>
        <v>0</v>
      </c>
      <c r="AB48" s="1427">
        <f>'izvršenje PO IZVORIMA-detaljno'!F48+'izvršenje PO IZVORIMA-detaljno'!L48</f>
        <v>0</v>
      </c>
      <c r="AC48" s="1357"/>
      <c r="AD48" s="1372">
        <f>'izvršenje PO IZVORIMA-detaljno'!H48+'izvršenje PO IZVORIMA-detaljno'!N48</f>
        <v>0</v>
      </c>
      <c r="AE48" s="1355">
        <f t="shared" si="165"/>
        <v>0</v>
      </c>
      <c r="AF48" s="1372">
        <f>'izvršenje PO IZVORIMA-detaljno'!I48+'izvršenje PO IZVORIMA-detaljno'!O48</f>
        <v>0</v>
      </c>
      <c r="AG48" s="1357"/>
      <c r="AH48" s="1372">
        <f>'izvršenje PO IZVORIMA-detaljno'!K48+'izvršenje PO IZVORIMA-detaljno'!Q48</f>
        <v>0</v>
      </c>
      <c r="AI48" s="1355">
        <f t="shared" si="166"/>
        <v>0</v>
      </c>
      <c r="AJ48" s="1357"/>
      <c r="AK48" s="1357"/>
      <c r="AL48" s="1370"/>
      <c r="AM48" s="1355">
        <f t="shared" si="167"/>
        <v>0</v>
      </c>
      <c r="AN48" s="1357"/>
      <c r="AO48" s="1357"/>
      <c r="AP48" s="1370"/>
      <c r="AQ48" s="1355">
        <f t="shared" si="168"/>
        <v>0</v>
      </c>
      <c r="AR48" s="1357"/>
      <c r="AS48" s="1357"/>
      <c r="AT48" s="1370"/>
      <c r="AU48" s="1355">
        <f t="shared" si="169"/>
        <v>0</v>
      </c>
      <c r="AV48" s="1357"/>
      <c r="AW48" s="1358"/>
      <c r="AX48" s="1435"/>
      <c r="AY48" s="1401"/>
      <c r="AZ48" s="1444"/>
      <c r="BA48" s="180"/>
      <c r="BB48" s="178"/>
      <c r="BC48" s="57"/>
      <c r="BD48" s="126">
        <f>J48+M48+P48+T48+W48+Z48+AD48+AH48+AL48+AP48+AT48+AW48</f>
        <v>0</v>
      </c>
      <c r="BE48" s="44">
        <v>313221</v>
      </c>
      <c r="BG48" s="484"/>
      <c r="BH48" s="484"/>
      <c r="BI48" s="527"/>
    </row>
    <row r="49" spans="1:65" ht="15.75" thickBot="1" x14ac:dyDescent="0.3">
      <c r="A49" s="47">
        <v>313321</v>
      </c>
      <c r="B49" s="500" t="s">
        <v>163</v>
      </c>
      <c r="C49" s="75">
        <f t="shared" si="160"/>
        <v>233.22715508660161</v>
      </c>
      <c r="D49" s="4"/>
      <c r="E49" s="122">
        <f t="shared" si="178"/>
        <v>0</v>
      </c>
      <c r="F49" s="242">
        <f t="shared" si="12"/>
        <v>0</v>
      </c>
      <c r="G49" s="243">
        <f t="shared" si="13"/>
        <v>0</v>
      </c>
      <c r="H49" s="123">
        <f>'izvršenje PO IZVORIMA-detaljno'!C49</f>
        <v>233.22715508660161</v>
      </c>
      <c r="I49" s="124"/>
      <c r="J49" s="176">
        <f>'izvršenje PO IZVORIMA-detaljno'!E49</f>
        <v>0</v>
      </c>
      <c r="K49" s="1288">
        <f t="shared" si="161"/>
        <v>0</v>
      </c>
      <c r="L49" s="52"/>
      <c r="M49" s="51"/>
      <c r="N49" s="1314"/>
      <c r="O49" s="1314"/>
      <c r="P49" s="1315"/>
      <c r="Q49" s="1316">
        <f t="shared" si="162"/>
        <v>0</v>
      </c>
      <c r="R49" s="1326">
        <f>'izvršenje PO IZVORIMA-detaljno'!Y49</f>
        <v>0</v>
      </c>
      <c r="S49" s="1314"/>
      <c r="T49" s="1326">
        <f>'izvršenje PO IZVORIMA-detaljno'!AA49</f>
        <v>0</v>
      </c>
      <c r="U49" s="1316">
        <f t="shared" si="163"/>
        <v>0</v>
      </c>
      <c r="V49" s="1314"/>
      <c r="W49" s="1315"/>
      <c r="X49" s="1307"/>
      <c r="Y49" s="1307"/>
      <c r="Z49" s="1315"/>
      <c r="AA49" s="1316">
        <f t="shared" si="164"/>
        <v>0</v>
      </c>
      <c r="AB49" s="1427">
        <f>'izvršenje PO IZVORIMA-detaljno'!F49+'izvršenje PO IZVORIMA-detaljno'!L49</f>
        <v>0</v>
      </c>
      <c r="AC49" s="1357"/>
      <c r="AD49" s="1372">
        <f>'izvršenje PO IZVORIMA-detaljno'!H49+'izvršenje PO IZVORIMA-detaljno'!N49</f>
        <v>0</v>
      </c>
      <c r="AE49" s="1359">
        <f t="shared" si="165"/>
        <v>0</v>
      </c>
      <c r="AF49" s="1372">
        <f>'izvršenje PO IZVORIMA-detaljno'!I49+'izvršenje PO IZVORIMA-detaljno'!O49</f>
        <v>0</v>
      </c>
      <c r="AG49" s="1357"/>
      <c r="AH49" s="1372">
        <f>'izvršenje PO IZVORIMA-detaljno'!K49+'izvršenje PO IZVORIMA-detaljno'!Q49</f>
        <v>0</v>
      </c>
      <c r="AI49" s="1359">
        <f t="shared" si="166"/>
        <v>0</v>
      </c>
      <c r="AJ49" s="1357"/>
      <c r="AK49" s="1357"/>
      <c r="AL49" s="1370"/>
      <c r="AM49" s="1359">
        <f t="shared" si="167"/>
        <v>0</v>
      </c>
      <c r="AN49" s="1357"/>
      <c r="AO49" s="1357"/>
      <c r="AP49" s="1370"/>
      <c r="AQ49" s="1359">
        <f t="shared" si="168"/>
        <v>0</v>
      </c>
      <c r="AR49" s="1357"/>
      <c r="AS49" s="1357"/>
      <c r="AT49" s="1370"/>
      <c r="AU49" s="1359">
        <f t="shared" si="169"/>
        <v>0</v>
      </c>
      <c r="AV49" s="1357"/>
      <c r="AW49" s="1358"/>
      <c r="AX49" s="1435"/>
      <c r="AY49" s="1401"/>
      <c r="AZ49" s="1444"/>
      <c r="BA49" s="180"/>
      <c r="BB49" s="178"/>
      <c r="BC49" s="57"/>
      <c r="BD49" s="126">
        <f>J49+M49+P49+T49+W49+Z49+AD49+AH49+AL49+AP49+AT49+AW49</f>
        <v>0</v>
      </c>
      <c r="BE49" s="47">
        <v>313321</v>
      </c>
      <c r="BG49" s="484"/>
      <c r="BH49" s="484"/>
      <c r="BI49" s="527"/>
    </row>
    <row r="50" spans="1:65" s="22" customFormat="1" ht="15.75" thickBot="1" x14ac:dyDescent="0.3">
      <c r="A50" s="76">
        <v>313</v>
      </c>
      <c r="B50" s="505" t="s">
        <v>25</v>
      </c>
      <c r="C50" s="90">
        <f>SUM(C47:C49)</f>
        <v>141302.92919238171</v>
      </c>
      <c r="D50" s="82">
        <f>BC50</f>
        <v>181410</v>
      </c>
      <c r="E50" s="91">
        <f t="shared" ref="E50" si="187">SUM(E47:E49)</f>
        <v>167134.38</v>
      </c>
      <c r="F50" s="253">
        <f t="shared" si="12"/>
        <v>118.28090256533123</v>
      </c>
      <c r="G50" s="252">
        <f>IF(D50&lt;&gt;0,E50/D50*100,0)</f>
        <v>92.130742516950562</v>
      </c>
      <c r="H50" s="1430">
        <f>SUM(H47:H49)</f>
        <v>114774.53182029331</v>
      </c>
      <c r="I50" s="117">
        <f>'izvršenje PO IZVORIMA-detaljno'!D50</f>
        <v>150000</v>
      </c>
      <c r="J50" s="90">
        <f>SUM(J47:J49)</f>
        <v>135272.55000000002</v>
      </c>
      <c r="K50" s="252">
        <f t="shared" si="161"/>
        <v>90.181700000000006</v>
      </c>
      <c r="L50" s="90">
        <f t="shared" ref="L50:AP50" si="188">SUM(L47:L49)</f>
        <v>0</v>
      </c>
      <c r="M50" s="114">
        <f t="shared" si="188"/>
        <v>0</v>
      </c>
      <c r="N50" s="1593">
        <f t="shared" ref="N50" si="189">SUM(N47:N49)</f>
        <v>0</v>
      </c>
      <c r="O50" s="90">
        <f t="shared" si="188"/>
        <v>0</v>
      </c>
      <c r="P50" s="90">
        <f t="shared" si="188"/>
        <v>0</v>
      </c>
      <c r="Q50" s="252">
        <f t="shared" si="162"/>
        <v>0</v>
      </c>
      <c r="R50" s="90">
        <f>SUM(R47:R49)</f>
        <v>45.00497710531554</v>
      </c>
      <c r="S50" s="90">
        <f>'izvršenje PO IZVORIMA-detaljno'!Z50</f>
        <v>25</v>
      </c>
      <c r="T50" s="90">
        <f>SUM(T47:T49)</f>
        <v>24.75</v>
      </c>
      <c r="U50" s="252">
        <f t="shared" si="163"/>
        <v>99</v>
      </c>
      <c r="V50" s="90">
        <f t="shared" si="188"/>
        <v>0</v>
      </c>
      <c r="W50" s="90">
        <f t="shared" si="188"/>
        <v>0</v>
      </c>
      <c r="X50" s="82"/>
      <c r="Y50" s="82">
        <f>'izvršenje PO IZVORIMA-detaljno'!AI50+'izvršenje PO IZVORIMA-detaljno'!AL50+'izvršenje PO IZVORIMA-detaljno'!AB50</f>
        <v>0</v>
      </c>
      <c r="Z50" s="114">
        <f t="shared" si="188"/>
        <v>0</v>
      </c>
      <c r="AA50" s="252">
        <f t="shared" si="164"/>
        <v>0</v>
      </c>
      <c r="AB50" s="417">
        <f>SUM(AB47:AB49)</f>
        <v>820.98745769460481</v>
      </c>
      <c r="AC50" s="417">
        <f>'izvršenje PO IZVORIMA-detaljno'!G50+'izvršenje PO IZVORIMA-detaljno'!M50</f>
        <v>452</v>
      </c>
      <c r="AD50" s="90">
        <f t="shared" si="188"/>
        <v>451.35999999999996</v>
      </c>
      <c r="AE50" s="252">
        <f t="shared" si="165"/>
        <v>99.858407079646</v>
      </c>
      <c r="AF50" s="108">
        <f>SUM(AF47:AF49)</f>
        <v>25514.583582188599</v>
      </c>
      <c r="AG50" s="108">
        <f>'izvršenje PO IZVORIMA-detaljno'!J50+'izvršenje PO IZVORIMA-detaljno'!P50</f>
        <v>30800</v>
      </c>
      <c r="AH50" s="90">
        <f>SUM(AH47:AH49)</f>
        <v>31385.719999999994</v>
      </c>
      <c r="AI50" s="252">
        <f t="shared" si="166"/>
        <v>101.90168831168829</v>
      </c>
      <c r="AJ50" s="82"/>
      <c r="AK50" s="82">
        <f>'izvršenje PO IZVORIMA-detaljno'!S50</f>
        <v>0</v>
      </c>
      <c r="AL50" s="90">
        <f t="shared" si="188"/>
        <v>0</v>
      </c>
      <c r="AM50" s="252">
        <f t="shared" si="167"/>
        <v>0</v>
      </c>
      <c r="AN50" s="82">
        <f>'izvršenje PO IZVORIMA-detaljno'!AN50</f>
        <v>0</v>
      </c>
      <c r="AO50" s="82">
        <f>'izvršenje PO IZVORIMA-detaljno'!AO50</f>
        <v>133</v>
      </c>
      <c r="AP50" s="90">
        <f t="shared" si="188"/>
        <v>0</v>
      </c>
      <c r="AQ50" s="252">
        <f t="shared" si="168"/>
        <v>0</v>
      </c>
      <c r="AR50" s="82">
        <f>'izvršenje PO IZVORIMA-detaljno'!AQ50</f>
        <v>0</v>
      </c>
      <c r="AS50" s="82">
        <f>'izvršenje PO IZVORIMA-detaljno'!AR50</f>
        <v>0</v>
      </c>
      <c r="AT50" s="90">
        <f t="shared" ref="AT50" si="190">SUM(AT47:AT49)</f>
        <v>0</v>
      </c>
      <c r="AU50" s="252">
        <f t="shared" si="169"/>
        <v>0</v>
      </c>
      <c r="AV50" s="90">
        <f t="shared" ref="AV50:AW50" si="191">SUM(AV47:AV49)</f>
        <v>0</v>
      </c>
      <c r="AW50" s="91">
        <f t="shared" si="191"/>
        <v>0</v>
      </c>
      <c r="AX50" s="1458">
        <f>'izvršenje PO IZVORIMA-detaljno'!AT50</f>
        <v>147.8213550998739</v>
      </c>
      <c r="AY50" s="91">
        <f>'izvršenje PO IZVORIMA-detaljno'!AU50</f>
        <v>0</v>
      </c>
      <c r="AZ50" s="114">
        <f t="shared" ref="AZ50:BB50" si="192">SUM(AZ47:AZ49)</f>
        <v>0</v>
      </c>
      <c r="BA50" s="1458">
        <f>'izvršenje PO IZVORIMA-detaljno'!AW50</f>
        <v>0</v>
      </c>
      <c r="BB50" s="91">
        <f t="shared" si="192"/>
        <v>0</v>
      </c>
      <c r="BC50" s="411">
        <f>AV50+AS50+AO50+AK50+AG50+AC50+Y50+V50+S50+O50+L50+I50+AY50</f>
        <v>181410</v>
      </c>
      <c r="BD50" s="91">
        <f t="shared" ref="BD50" si="193">SUM(BD47:BD49)</f>
        <v>167134.38</v>
      </c>
      <c r="BE50" s="76">
        <v>313</v>
      </c>
      <c r="BF50" s="524"/>
      <c r="BG50" s="484"/>
      <c r="BH50" s="484"/>
      <c r="BI50" s="527"/>
      <c r="BJ50" s="484"/>
      <c r="BK50" s="484"/>
      <c r="BL50" s="484"/>
      <c r="BM50" s="484"/>
    </row>
    <row r="51" spans="1:65" s="24" customFormat="1" ht="15.75" thickBot="1" x14ac:dyDescent="0.3">
      <c r="A51" s="76">
        <v>31</v>
      </c>
      <c r="B51" s="505" t="s">
        <v>26</v>
      </c>
      <c r="C51" s="83">
        <f>C40+C46+C50</f>
        <v>1060885.3792554252</v>
      </c>
      <c r="D51" s="82">
        <f>D40+D46+D50</f>
        <v>1338460</v>
      </c>
      <c r="E51" s="83">
        <f>E40+E46+E50</f>
        <v>1257321.0700000003</v>
      </c>
      <c r="F51" s="253">
        <f t="shared" si="12"/>
        <v>118.51620303057075</v>
      </c>
      <c r="G51" s="252">
        <f t="shared" si="13"/>
        <v>93.937889066539185</v>
      </c>
      <c r="H51" s="411">
        <f>H40+H46+H50</f>
        <v>869149.9940274735</v>
      </c>
      <c r="I51" s="115">
        <f t="shared" ref="I51:AP51" si="194">I40+I46+I50</f>
        <v>1110000</v>
      </c>
      <c r="J51" s="82">
        <f>J40+J46+J50</f>
        <v>1028856.4600000003</v>
      </c>
      <c r="K51" s="252">
        <f t="shared" si="161"/>
        <v>92.689771171171202</v>
      </c>
      <c r="L51" s="82">
        <f t="shared" si="194"/>
        <v>0</v>
      </c>
      <c r="M51" s="112">
        <f t="shared" si="194"/>
        <v>0</v>
      </c>
      <c r="N51" s="417">
        <f t="shared" ref="N51" si="195">N40+N46+N50</f>
        <v>0</v>
      </c>
      <c r="O51" s="82">
        <f t="shared" si="194"/>
        <v>0</v>
      </c>
      <c r="P51" s="82">
        <f t="shared" si="194"/>
        <v>0</v>
      </c>
      <c r="Q51" s="252">
        <f t="shared" si="162"/>
        <v>0</v>
      </c>
      <c r="R51" s="82">
        <f>R40+R46+R50</f>
        <v>317.75963899396112</v>
      </c>
      <c r="S51" s="82">
        <f t="shared" si="194"/>
        <v>175</v>
      </c>
      <c r="T51" s="82">
        <f t="shared" si="194"/>
        <v>174.73999999999998</v>
      </c>
      <c r="U51" s="252">
        <f t="shared" si="163"/>
        <v>99.851428571428556</v>
      </c>
      <c r="V51" s="82">
        <f t="shared" si="194"/>
        <v>0</v>
      </c>
      <c r="W51" s="82">
        <f t="shared" si="194"/>
        <v>0</v>
      </c>
      <c r="X51" s="82"/>
      <c r="Y51" s="82">
        <f>'izvršenje PO IZVORIMA-detaljno'!AI51+'izvršenje PO IZVORIMA-detaljno'!AL51+'izvršenje PO IZVORIMA-detaljno'!AB51</f>
        <v>0</v>
      </c>
      <c r="Z51" s="112">
        <f t="shared" si="194"/>
        <v>0</v>
      </c>
      <c r="AA51" s="252">
        <f t="shared" si="164"/>
        <v>0</v>
      </c>
      <c r="AB51" s="417">
        <f t="shared" si="194"/>
        <v>5796.6527307717834</v>
      </c>
      <c r="AC51" s="417">
        <f t="shared" si="194"/>
        <v>3188</v>
      </c>
      <c r="AD51" s="82">
        <f t="shared" si="194"/>
        <v>3187.04</v>
      </c>
      <c r="AE51" s="252">
        <f t="shared" si="165"/>
        <v>99.969887076537006</v>
      </c>
      <c r="AF51" s="82">
        <f t="shared" si="194"/>
        <v>184572.79713318736</v>
      </c>
      <c r="AG51" s="82">
        <f t="shared" si="194"/>
        <v>224300</v>
      </c>
      <c r="AH51" s="82">
        <f t="shared" si="194"/>
        <v>225102.83000000002</v>
      </c>
      <c r="AI51" s="252">
        <f t="shared" si="166"/>
        <v>100.35792688363799</v>
      </c>
      <c r="AJ51" s="82"/>
      <c r="AK51" s="82">
        <f>'izvršenje PO IZVORIMA-detaljno'!S51</f>
        <v>0</v>
      </c>
      <c r="AL51" s="82">
        <f t="shared" si="194"/>
        <v>0</v>
      </c>
      <c r="AM51" s="252">
        <f t="shared" si="167"/>
        <v>0</v>
      </c>
      <c r="AN51" s="82">
        <f>'izvršenje PO IZVORIMA-detaljno'!AN51</f>
        <v>4.4754130997411901</v>
      </c>
      <c r="AO51" s="82">
        <f>'izvršenje PO IZVORIMA-detaljno'!AO51</f>
        <v>797</v>
      </c>
      <c r="AP51" s="82">
        <f t="shared" si="194"/>
        <v>0</v>
      </c>
      <c r="AQ51" s="252">
        <f t="shared" si="168"/>
        <v>0</v>
      </c>
      <c r="AR51" s="82">
        <f>'izvršenje PO IZVORIMA-detaljno'!AQ51</f>
        <v>0</v>
      </c>
      <c r="AS51" s="82">
        <f>'izvršenje PO IZVORIMA-detaljno'!AR51</f>
        <v>0</v>
      </c>
      <c r="AT51" s="82">
        <f t="shared" ref="AT51" si="196">AT40+AT46+AT50</f>
        <v>0</v>
      </c>
      <c r="AU51" s="252">
        <f t="shared" si="169"/>
        <v>0</v>
      </c>
      <c r="AV51" s="82">
        <f t="shared" ref="AV51:AX51" si="197">AV40+AV46+AV50</f>
        <v>0</v>
      </c>
      <c r="AW51" s="83">
        <f t="shared" si="197"/>
        <v>0</v>
      </c>
      <c r="AX51" s="407">
        <f t="shared" si="197"/>
        <v>1043.7003118985997</v>
      </c>
      <c r="AY51" s="83">
        <f t="shared" ref="AY51:AZ51" si="198">AY40+AY46+AY50</f>
        <v>0</v>
      </c>
      <c r="AZ51" s="112">
        <f t="shared" si="198"/>
        <v>0</v>
      </c>
      <c r="BA51" s="407">
        <f t="shared" ref="BA51:BB51" si="199">BA40+BA46+BA50</f>
        <v>0</v>
      </c>
      <c r="BB51" s="83">
        <f t="shared" si="199"/>
        <v>0</v>
      </c>
      <c r="BC51" s="411">
        <f>BC40+BC46+BC50</f>
        <v>1338460</v>
      </c>
      <c r="BD51" s="83">
        <f t="shared" ref="BD51" si="200">BD40+BD46+BD50</f>
        <v>1257321.0700000003</v>
      </c>
      <c r="BE51" s="76">
        <v>31</v>
      </c>
      <c r="BF51" s="522"/>
      <c r="BG51" s="489"/>
      <c r="BH51" s="489"/>
      <c r="BI51" s="529"/>
      <c r="BJ51" s="489"/>
      <c r="BK51" s="489"/>
      <c r="BL51" s="489"/>
      <c r="BM51" s="489"/>
    </row>
    <row r="52" spans="1:65" s="6" customFormat="1" x14ac:dyDescent="0.25">
      <c r="A52" s="62">
        <v>321111</v>
      </c>
      <c r="B52" s="498" t="s">
        <v>27</v>
      </c>
      <c r="C52" s="75">
        <f t="shared" ref="C52:C64" si="201">H52+N52+R52+X52+AB52+AF52+AJ52+AN52+AR52+AX52</f>
        <v>5701.7214148251387</v>
      </c>
      <c r="D52" s="69"/>
      <c r="E52" s="122">
        <f t="shared" ref="E52:E64" si="202">BD52</f>
        <v>19508.54</v>
      </c>
      <c r="F52" s="240">
        <f t="shared" si="12"/>
        <v>342.15175699878159</v>
      </c>
      <c r="G52" s="241">
        <f t="shared" si="13"/>
        <v>0</v>
      </c>
      <c r="H52" s="124"/>
      <c r="I52" s="124"/>
      <c r="J52" s="176">
        <f>'izvršenje PO IZVORIMA-detaljno'!E52</f>
        <v>26.55</v>
      </c>
      <c r="K52" s="1286">
        <f t="shared" si="161"/>
        <v>0</v>
      </c>
      <c r="L52" s="52"/>
      <c r="M52" s="51"/>
      <c r="N52" s="1419">
        <f>'izvršenje PO IZVORIMA-detaljno'!V52</f>
        <v>2503.691021302011</v>
      </c>
      <c r="O52" s="1314"/>
      <c r="P52" s="1326">
        <f>'izvršenje PO IZVORIMA-detaljno'!X52</f>
        <v>2718.12</v>
      </c>
      <c r="Q52" s="1309">
        <f t="shared" si="162"/>
        <v>0</v>
      </c>
      <c r="R52" s="1314"/>
      <c r="S52" s="1314"/>
      <c r="T52" s="1315"/>
      <c r="U52" s="1309">
        <f t="shared" si="163"/>
        <v>0</v>
      </c>
      <c r="V52" s="1314"/>
      <c r="W52" s="1315"/>
      <c r="X52" s="1307"/>
      <c r="Y52" s="1307"/>
      <c r="Z52" s="1326">
        <f>'izvršenje PO IZVORIMA-detaljno'!AM52</f>
        <v>34.519999999999996</v>
      </c>
      <c r="AA52" s="1309">
        <f t="shared" si="164"/>
        <v>0</v>
      </c>
      <c r="AB52" s="1357"/>
      <c r="AC52" s="1357"/>
      <c r="AD52" s="1370"/>
      <c r="AE52" s="1350">
        <f t="shared" si="165"/>
        <v>0</v>
      </c>
      <c r="AF52" s="1372">
        <f>'izvršenje PO IZVORIMA-detaljno'!I52+'izvršenje PO IZVORIMA-detaljno'!O52</f>
        <v>2680.4114407060856</v>
      </c>
      <c r="AG52" s="1357"/>
      <c r="AH52" s="1372">
        <f>'izvršenje PO IZVORIMA-detaljno'!K52+'izvršenje PO IZVORIMA-detaljno'!Q52</f>
        <v>6473.5800000000017</v>
      </c>
      <c r="AI52" s="1350">
        <f t="shared" si="166"/>
        <v>0</v>
      </c>
      <c r="AJ52" s="1372">
        <f>'izvršenje PO IZVORIMA-detaljno'!R52</f>
        <v>0</v>
      </c>
      <c r="AK52" s="1357"/>
      <c r="AL52" s="1372">
        <f>'izvršenje PO IZVORIMA-detaljno'!T52+'izvršenje PO IZVORIMA-detaljno'!U52</f>
        <v>8749.5699999999979</v>
      </c>
      <c r="AM52" s="1350">
        <f t="shared" si="167"/>
        <v>0</v>
      </c>
      <c r="AN52" s="1372">
        <f>'izvršenje PO IZVORIMA-detaljno'!AN52</f>
        <v>517.61895281704153</v>
      </c>
      <c r="AO52" s="1357"/>
      <c r="AP52" s="1372">
        <f>'izvršenje PO IZVORIMA-detaljno'!AP52</f>
        <v>1506.1999999999998</v>
      </c>
      <c r="AQ52" s="1350">
        <f t="shared" si="168"/>
        <v>0</v>
      </c>
      <c r="AR52" s="1357"/>
      <c r="AS52" s="1357"/>
      <c r="AT52" s="1370"/>
      <c r="AU52" s="1350">
        <f t="shared" si="169"/>
        <v>0</v>
      </c>
      <c r="AV52" s="1357"/>
      <c r="AW52" s="1358"/>
      <c r="AX52" s="1435"/>
      <c r="AY52" s="1401"/>
      <c r="AZ52" s="1444"/>
      <c r="BA52" s="180"/>
      <c r="BB52" s="178"/>
      <c r="BC52" s="57"/>
      <c r="BD52" s="126">
        <f>J52+M52+P52+T52+W52+Z52+AD52+AH52+AL52+AP52+AT52+AW52</f>
        <v>19508.54</v>
      </c>
      <c r="BE52" s="62">
        <v>321111</v>
      </c>
      <c r="BF52" s="518"/>
      <c r="BG52" s="493"/>
      <c r="BH52" s="493"/>
      <c r="BI52" s="530"/>
      <c r="BJ52" s="487"/>
      <c r="BK52" s="487"/>
      <c r="BL52" s="487"/>
      <c r="BM52" s="487"/>
    </row>
    <row r="53" spans="1:65" x14ac:dyDescent="0.25">
      <c r="A53" s="44">
        <v>321131</v>
      </c>
      <c r="B53" s="499" t="s">
        <v>28</v>
      </c>
      <c r="C53" s="75">
        <f t="shared" si="201"/>
        <v>15485.997743712256</v>
      </c>
      <c r="D53" s="5"/>
      <c r="E53" s="122">
        <f t="shared" si="202"/>
        <v>115932.29000000001</v>
      </c>
      <c r="F53" s="235">
        <f t="shared" si="12"/>
        <v>748.62654585541145</v>
      </c>
      <c r="G53" s="237">
        <f t="shared" si="13"/>
        <v>0</v>
      </c>
      <c r="H53" s="124"/>
      <c r="I53" s="124"/>
      <c r="J53" s="51"/>
      <c r="K53" s="1287">
        <f t="shared" si="161"/>
        <v>0</v>
      </c>
      <c r="L53" s="52"/>
      <c r="M53" s="51"/>
      <c r="N53" s="1419">
        <f>'izvršenje PO IZVORIMA-detaljno'!V53</f>
        <v>1709.0012608666798</v>
      </c>
      <c r="O53" s="1314"/>
      <c r="P53" s="1326">
        <f>'izvršenje PO IZVORIMA-detaljno'!X53</f>
        <v>986.25</v>
      </c>
      <c r="Q53" s="1313">
        <f t="shared" si="162"/>
        <v>0</v>
      </c>
      <c r="R53" s="1314"/>
      <c r="S53" s="1314"/>
      <c r="T53" s="1315"/>
      <c r="U53" s="1313">
        <f t="shared" si="163"/>
        <v>0</v>
      </c>
      <c r="V53" s="1314"/>
      <c r="W53" s="1315"/>
      <c r="X53" s="1307"/>
      <c r="Y53" s="1307"/>
      <c r="Z53" s="1315"/>
      <c r="AA53" s="1313">
        <f t="shared" si="164"/>
        <v>0</v>
      </c>
      <c r="AB53" s="1357"/>
      <c r="AC53" s="1357"/>
      <c r="AD53" s="1370"/>
      <c r="AE53" s="1355">
        <f t="shared" si="165"/>
        <v>0</v>
      </c>
      <c r="AF53" s="1372">
        <f>'izvršenje PO IZVORIMA-detaljno'!I53+'izvršenje PO IZVORIMA-detaljno'!O53</f>
        <v>13776.996482845576</v>
      </c>
      <c r="AG53" s="1357"/>
      <c r="AH53" s="1372">
        <f>'izvršenje PO IZVORIMA-detaljno'!K53+'izvršenje PO IZVORIMA-detaljno'!Q53</f>
        <v>100794.35</v>
      </c>
      <c r="AI53" s="1355">
        <f t="shared" si="166"/>
        <v>0</v>
      </c>
      <c r="AJ53" s="1357"/>
      <c r="AK53" s="1357"/>
      <c r="AL53" s="1372">
        <f>'izvršenje PO IZVORIMA-detaljno'!T53+'izvršenje PO IZVORIMA-detaljno'!U53</f>
        <v>14151.69</v>
      </c>
      <c r="AM53" s="1355">
        <f t="shared" si="167"/>
        <v>0</v>
      </c>
      <c r="AN53" s="1372">
        <f>'izvršenje PO IZVORIMA-detaljno'!AN53</f>
        <v>0</v>
      </c>
      <c r="AO53" s="1357"/>
      <c r="AP53" s="1372">
        <f>'izvršenje PO IZVORIMA-detaljno'!AP53</f>
        <v>0</v>
      </c>
      <c r="AQ53" s="1355">
        <f t="shared" si="168"/>
        <v>0</v>
      </c>
      <c r="AR53" s="1357"/>
      <c r="AS53" s="1357"/>
      <c r="AT53" s="1370"/>
      <c r="AU53" s="1355">
        <f t="shared" si="169"/>
        <v>0</v>
      </c>
      <c r="AV53" s="1357"/>
      <c r="AW53" s="1358"/>
      <c r="AX53" s="1435"/>
      <c r="AY53" s="1401"/>
      <c r="AZ53" s="1444"/>
      <c r="BA53" s="180"/>
      <c r="BB53" s="178"/>
      <c r="BC53" s="57"/>
      <c r="BD53" s="126">
        <f>J53+M53+P53+T53+W53+Z53+AD53+AH53+AL53+AP53+AT53+AW53</f>
        <v>115932.29000000001</v>
      </c>
      <c r="BE53" s="44">
        <v>321131</v>
      </c>
      <c r="BG53" s="484"/>
      <c r="BH53" s="484"/>
      <c r="BI53" s="527"/>
    </row>
    <row r="54" spans="1:65" s="6" customFormat="1" x14ac:dyDescent="0.25">
      <c r="A54" s="44">
        <v>321151</v>
      </c>
      <c r="B54" s="499" t="s">
        <v>29</v>
      </c>
      <c r="C54" s="75">
        <f t="shared" si="201"/>
        <v>8010.7916915521937</v>
      </c>
      <c r="D54" s="5"/>
      <c r="E54" s="122">
        <f t="shared" si="202"/>
        <v>19859.539999999986</v>
      </c>
      <c r="F54" s="235">
        <f t="shared" si="12"/>
        <v>247.909829198816</v>
      </c>
      <c r="G54" s="237">
        <f t="shared" si="13"/>
        <v>0</v>
      </c>
      <c r="H54" s="123">
        <f>'izvršenje PO IZVORIMA-detaljno'!C54</f>
        <v>33.97703895414427</v>
      </c>
      <c r="I54" s="124"/>
      <c r="J54" s="176">
        <f>'izvršenje PO IZVORIMA-detaljno'!E54</f>
        <v>28.199999999999996</v>
      </c>
      <c r="K54" s="1287">
        <f t="shared" si="161"/>
        <v>0</v>
      </c>
      <c r="L54" s="52"/>
      <c r="M54" s="51"/>
      <c r="N54" s="1419">
        <f>'izvršenje PO IZVORIMA-detaljno'!V54</f>
        <v>2185.6778817439777</v>
      </c>
      <c r="O54" s="1314"/>
      <c r="P54" s="1326">
        <f>'izvršenje PO IZVORIMA-detaljno'!X54</f>
        <v>3271.7099999999991</v>
      </c>
      <c r="Q54" s="1313">
        <f t="shared" si="162"/>
        <v>0</v>
      </c>
      <c r="R54" s="1314"/>
      <c r="S54" s="1314"/>
      <c r="T54" s="1315"/>
      <c r="U54" s="1313">
        <f t="shared" si="163"/>
        <v>0</v>
      </c>
      <c r="V54" s="1314"/>
      <c r="W54" s="1315"/>
      <c r="X54" s="1307"/>
      <c r="Y54" s="1307"/>
      <c r="Z54" s="1326">
        <f>'izvršenje PO IZVORIMA-detaljno'!AM54</f>
        <v>114</v>
      </c>
      <c r="AA54" s="1313">
        <f t="shared" si="164"/>
        <v>0</v>
      </c>
      <c r="AB54" s="1357"/>
      <c r="AC54" s="1357"/>
      <c r="AD54" s="1370"/>
      <c r="AE54" s="1355">
        <f t="shared" si="165"/>
        <v>0</v>
      </c>
      <c r="AF54" s="1372">
        <f>'izvršenje PO IZVORIMA-detaljno'!I54+'izvršenje PO IZVORIMA-detaljno'!O54</f>
        <v>5189.6237308381451</v>
      </c>
      <c r="AG54" s="1357"/>
      <c r="AH54" s="1372">
        <f>'izvršenje PO IZVORIMA-detaljno'!K54+'izvršenje PO IZVORIMA-detaljno'!Q54</f>
        <v>16126.229999999985</v>
      </c>
      <c r="AI54" s="1355">
        <f t="shared" si="166"/>
        <v>0</v>
      </c>
      <c r="AJ54" s="1357"/>
      <c r="AK54" s="1357"/>
      <c r="AL54" s="1372">
        <f>'izvršenje PO IZVORIMA-detaljno'!T54+'izvršenje PO IZVORIMA-detaljno'!U54</f>
        <v>254.4</v>
      </c>
      <c r="AM54" s="1355">
        <f t="shared" si="167"/>
        <v>0</v>
      </c>
      <c r="AN54" s="1372">
        <f>'izvršenje PO IZVORIMA-detaljno'!AN54</f>
        <v>601.51304001592678</v>
      </c>
      <c r="AO54" s="1357"/>
      <c r="AP54" s="1372">
        <f>'izvršenje PO IZVORIMA-detaljno'!AP54</f>
        <v>65</v>
      </c>
      <c r="AQ54" s="1355">
        <f t="shared" si="168"/>
        <v>0</v>
      </c>
      <c r="AR54" s="1357"/>
      <c r="AS54" s="1357"/>
      <c r="AT54" s="1370"/>
      <c r="AU54" s="1355">
        <f t="shared" si="169"/>
        <v>0</v>
      </c>
      <c r="AV54" s="1357"/>
      <c r="AW54" s="1358"/>
      <c r="AX54" s="1435"/>
      <c r="AY54" s="1401"/>
      <c r="AZ54" s="1444"/>
      <c r="BA54" s="180"/>
      <c r="BB54" s="178"/>
      <c r="BC54" s="57"/>
      <c r="BD54" s="126">
        <f>J54+M54+P54+T54+W54+Z54+AD54+AH54+AL54+AP54+AT54+AW54</f>
        <v>19859.539999999986</v>
      </c>
      <c r="BE54" s="44">
        <v>321151</v>
      </c>
      <c r="BF54" s="518"/>
      <c r="BG54" s="493"/>
      <c r="BH54" s="493"/>
      <c r="BI54" s="530"/>
      <c r="BJ54" s="487"/>
      <c r="BK54" s="487"/>
      <c r="BL54" s="487"/>
      <c r="BM54" s="487"/>
    </row>
    <row r="55" spans="1:65" s="2" customFormat="1" x14ac:dyDescent="0.25">
      <c r="A55" s="47">
        <v>321121</v>
      </c>
      <c r="B55" s="500" t="s">
        <v>176</v>
      </c>
      <c r="C55" s="75">
        <f t="shared" si="201"/>
        <v>0</v>
      </c>
      <c r="D55" s="4"/>
      <c r="E55" s="122">
        <f t="shared" si="202"/>
        <v>0</v>
      </c>
      <c r="F55" s="242">
        <f t="shared" si="12"/>
        <v>0</v>
      </c>
      <c r="G55" s="243">
        <f t="shared" si="13"/>
        <v>0</v>
      </c>
      <c r="H55" s="125"/>
      <c r="I55" s="125"/>
      <c r="J55" s="60"/>
      <c r="K55" s="1288">
        <f t="shared" si="161"/>
        <v>0</v>
      </c>
      <c r="L55" s="59"/>
      <c r="M55" s="60"/>
      <c r="N55" s="1419"/>
      <c r="O55" s="1328"/>
      <c r="P55" s="1326"/>
      <c r="Q55" s="1316">
        <f t="shared" si="162"/>
        <v>0</v>
      </c>
      <c r="R55" s="1328"/>
      <c r="S55" s="1328"/>
      <c r="T55" s="1329"/>
      <c r="U55" s="1316">
        <f t="shared" si="163"/>
        <v>0</v>
      </c>
      <c r="V55" s="1328"/>
      <c r="W55" s="1329"/>
      <c r="X55" s="1307"/>
      <c r="Y55" s="1307"/>
      <c r="Z55" s="1329"/>
      <c r="AA55" s="1316">
        <f t="shared" si="164"/>
        <v>0</v>
      </c>
      <c r="AB55" s="1380"/>
      <c r="AC55" s="1380"/>
      <c r="AD55" s="1381"/>
      <c r="AE55" s="1359">
        <f t="shared" si="165"/>
        <v>0</v>
      </c>
      <c r="AF55" s="1381"/>
      <c r="AG55" s="1380"/>
      <c r="AH55" s="1381"/>
      <c r="AI55" s="1359">
        <f t="shared" si="166"/>
        <v>0</v>
      </c>
      <c r="AJ55" s="1380"/>
      <c r="AK55" s="1380"/>
      <c r="AL55" s="1381"/>
      <c r="AM55" s="1359">
        <f t="shared" si="167"/>
        <v>0</v>
      </c>
      <c r="AN55" s="1372">
        <f>'izvršenje PO IZVORIMA-detaljno'!AN55</f>
        <v>0</v>
      </c>
      <c r="AO55" s="1380"/>
      <c r="AP55" s="1372">
        <f>'izvršenje PO IZVORIMA-detaljno'!AP55</f>
        <v>0</v>
      </c>
      <c r="AQ55" s="1359">
        <f t="shared" si="168"/>
        <v>0</v>
      </c>
      <c r="AR55" s="1380"/>
      <c r="AS55" s="1380"/>
      <c r="AT55" s="1381"/>
      <c r="AU55" s="1359">
        <f t="shared" si="169"/>
        <v>0</v>
      </c>
      <c r="AV55" s="1380"/>
      <c r="AW55" s="1382"/>
      <c r="AX55" s="1437"/>
      <c r="AY55" s="1403"/>
      <c r="AZ55" s="1450"/>
      <c r="BA55" s="208"/>
      <c r="BB55" s="210"/>
      <c r="BC55" s="61"/>
      <c r="BD55" s="126">
        <f>J55+M55+P55+T55+W55+Z55+AD55+AH55+AL55+AP55+AT55+AW55</f>
        <v>0</v>
      </c>
      <c r="BE55" s="47">
        <v>321121</v>
      </c>
      <c r="BF55" s="254"/>
      <c r="BG55" s="489"/>
      <c r="BH55" s="489"/>
      <c r="BI55" s="529"/>
      <c r="BJ55" s="486"/>
      <c r="BK55" s="486"/>
      <c r="BL55" s="486"/>
      <c r="BM55" s="486"/>
    </row>
    <row r="56" spans="1:65" s="2" customFormat="1" ht="15.75" thickBot="1" x14ac:dyDescent="0.3">
      <c r="A56" s="46">
        <v>321191</v>
      </c>
      <c r="B56" s="504" t="s">
        <v>275</v>
      </c>
      <c r="C56" s="75">
        <f t="shared" si="201"/>
        <v>0</v>
      </c>
      <c r="D56" s="4"/>
      <c r="E56" s="122">
        <f t="shared" si="202"/>
        <v>18634.86</v>
      </c>
      <c r="F56" s="242"/>
      <c r="G56" s="243"/>
      <c r="H56" s="1296">
        <f>'izvršenje PO IZVORIMA-detaljno'!C56</f>
        <v>0</v>
      </c>
      <c r="I56" s="125"/>
      <c r="J56" s="192">
        <f>'izvršenje PO IZVORIMA-detaljno'!E56</f>
        <v>8.8000000000000007</v>
      </c>
      <c r="K56" s="1288"/>
      <c r="L56" s="59"/>
      <c r="M56" s="60"/>
      <c r="N56" s="1419"/>
      <c r="O56" s="1328"/>
      <c r="P56" s="1326">
        <f>'izvršenje PO IZVORIMA-detaljno'!X56</f>
        <v>88.460000000000008</v>
      </c>
      <c r="Q56" s="1316"/>
      <c r="R56" s="1328"/>
      <c r="S56" s="1328"/>
      <c r="T56" s="1329"/>
      <c r="U56" s="1316"/>
      <c r="V56" s="1328"/>
      <c r="W56" s="1329"/>
      <c r="X56" s="1307"/>
      <c r="Y56" s="1307"/>
      <c r="Z56" s="1330">
        <f>'izvršenje PO IZVORIMA-detaljno'!AM56</f>
        <v>3.4</v>
      </c>
      <c r="AA56" s="1316"/>
      <c r="AB56" s="1380"/>
      <c r="AC56" s="1380"/>
      <c r="AD56" s="1381"/>
      <c r="AE56" s="1359"/>
      <c r="AF56" s="1383">
        <f>'izvršenje PO IZVORIMA-detaljno'!I56+'izvršenje PO IZVORIMA-detaljno'!O56</f>
        <v>0</v>
      </c>
      <c r="AG56" s="1380"/>
      <c r="AH56" s="1383">
        <f>'izvršenje PO IZVORIMA-detaljno'!K56+'izvršenje PO IZVORIMA-detaljno'!Q56</f>
        <v>17970</v>
      </c>
      <c r="AI56" s="1359"/>
      <c r="AJ56" s="1380"/>
      <c r="AK56" s="1380"/>
      <c r="AL56" s="1383">
        <f>'izvršenje PO IZVORIMA-detaljno'!T56+'izvršenje PO IZVORIMA-detaljno'!U56</f>
        <v>564.20000000000005</v>
      </c>
      <c r="AM56" s="1359"/>
      <c r="AN56" s="1372"/>
      <c r="AO56" s="1380"/>
      <c r="AP56" s="1372"/>
      <c r="AQ56" s="1359"/>
      <c r="AR56" s="1380"/>
      <c r="AS56" s="1380"/>
      <c r="AT56" s="1381"/>
      <c r="AU56" s="1359"/>
      <c r="AV56" s="1380"/>
      <c r="AW56" s="1382"/>
      <c r="AX56" s="1437"/>
      <c r="AY56" s="1403"/>
      <c r="AZ56" s="1450"/>
      <c r="BA56" s="208"/>
      <c r="BB56" s="210"/>
      <c r="BC56" s="61"/>
      <c r="BD56" s="126">
        <f>J56+M56+P56+T56+W56+Z56+AD56+AH56+AL56+AP56+AT56+AW56</f>
        <v>18634.86</v>
      </c>
      <c r="BE56" s="46">
        <v>321191</v>
      </c>
      <c r="BF56" s="254"/>
      <c r="BG56" s="489"/>
      <c r="BH56" s="489"/>
      <c r="BI56" s="529"/>
      <c r="BJ56" s="486"/>
      <c r="BK56" s="486"/>
      <c r="BL56" s="486"/>
      <c r="BM56" s="486"/>
    </row>
    <row r="57" spans="1:65" s="22" customFormat="1" ht="15.75" thickBot="1" x14ac:dyDescent="0.3">
      <c r="A57" s="76">
        <v>3211</v>
      </c>
      <c r="B57" s="505" t="s">
        <v>30</v>
      </c>
      <c r="C57" s="82">
        <f>SUM(C52:C56)</f>
        <v>29198.510850089588</v>
      </c>
      <c r="D57" s="82">
        <f>BC57</f>
        <v>0</v>
      </c>
      <c r="E57" s="83">
        <f>SUM(E52:E56)</f>
        <v>173935.22999999998</v>
      </c>
      <c r="F57" s="253">
        <f t="shared" si="12"/>
        <v>595.69897551630208</v>
      </c>
      <c r="G57" s="252">
        <f t="shared" si="13"/>
        <v>0</v>
      </c>
      <c r="H57" s="411">
        <f>SUM(H52:H56)</f>
        <v>33.97703895414427</v>
      </c>
      <c r="I57" s="115">
        <f t="shared" ref="I57:AD57" si="203">SUM(I52:I55)</f>
        <v>0</v>
      </c>
      <c r="J57" s="82">
        <f>SUM(J52:J56)</f>
        <v>63.55</v>
      </c>
      <c r="K57" s="252">
        <f t="shared" ref="K57:K88" si="204">IF(I57&lt;&gt;0,J57/I57*100,0)</f>
        <v>0</v>
      </c>
      <c r="L57" s="82">
        <f t="shared" si="203"/>
        <v>0</v>
      </c>
      <c r="M57" s="112">
        <f t="shared" si="203"/>
        <v>0</v>
      </c>
      <c r="N57" s="417">
        <f>SUM(N52:N56)</f>
        <v>6398.3701639126684</v>
      </c>
      <c r="O57" s="82">
        <f t="shared" si="203"/>
        <v>0</v>
      </c>
      <c r="P57" s="82">
        <f>SUM(P52:P56)</f>
        <v>7064.5399999999991</v>
      </c>
      <c r="Q57" s="252">
        <f t="shared" si="162"/>
        <v>0</v>
      </c>
      <c r="R57" s="82">
        <f t="shared" ref="R57" si="205">SUM(R52:R55)</f>
        <v>0</v>
      </c>
      <c r="S57" s="82">
        <f t="shared" si="203"/>
        <v>0</v>
      </c>
      <c r="T57" s="82">
        <f t="shared" si="203"/>
        <v>0</v>
      </c>
      <c r="U57" s="252">
        <f t="shared" si="163"/>
        <v>0</v>
      </c>
      <c r="V57" s="82">
        <f t="shared" si="203"/>
        <v>0</v>
      </c>
      <c r="W57" s="82">
        <f t="shared" si="203"/>
        <v>0</v>
      </c>
      <c r="X57" s="82"/>
      <c r="Y57" s="82">
        <f>'izvršenje PO IZVORIMA-detaljno'!AI57+'izvršenje PO IZVORIMA-detaljno'!AL57+'izvršenje PO IZVORIMA-detaljno'!AB57</f>
        <v>0</v>
      </c>
      <c r="Z57" s="112">
        <f>SUM(Z52:Z56)</f>
        <v>151.91999999999999</v>
      </c>
      <c r="AA57" s="252">
        <f t="shared" si="164"/>
        <v>0</v>
      </c>
      <c r="AB57" s="417"/>
      <c r="AC57" s="417">
        <f>'izvršenje PO IZVORIMA-detaljno'!G57+'izvršenje PO IZVORIMA-detaljno'!M57</f>
        <v>0</v>
      </c>
      <c r="AD57" s="82">
        <f t="shared" si="203"/>
        <v>0</v>
      </c>
      <c r="AE57" s="252">
        <f t="shared" si="165"/>
        <v>0</v>
      </c>
      <c r="AF57" s="108">
        <f>SUM(AF52:AF56)</f>
        <v>21647.031654389808</v>
      </c>
      <c r="AG57" s="108">
        <f>'izvršenje PO IZVORIMA-detaljno'!J57+'izvršenje PO IZVORIMA-detaljno'!P57</f>
        <v>0</v>
      </c>
      <c r="AH57" s="82">
        <f>SUM(AH52:AH56)</f>
        <v>141364.15999999997</v>
      </c>
      <c r="AI57" s="252">
        <f t="shared" si="166"/>
        <v>0</v>
      </c>
      <c r="AJ57" s="82"/>
      <c r="AK57" s="82">
        <f>'izvršenje PO IZVORIMA-detaljno'!S57</f>
        <v>0</v>
      </c>
      <c r="AL57" s="82">
        <f>SUM(AL52:AL56)</f>
        <v>23719.86</v>
      </c>
      <c r="AM57" s="252">
        <f t="shared" si="167"/>
        <v>0</v>
      </c>
      <c r="AN57" s="82">
        <f>SUM(AN52:AN55)</f>
        <v>1119.1319928329683</v>
      </c>
      <c r="AO57" s="82">
        <f>'izvršenje PO IZVORIMA-detaljno'!AO57</f>
        <v>0</v>
      </c>
      <c r="AP57" s="82">
        <f>SUM(AP52:AP55)</f>
        <v>1571.1999999999998</v>
      </c>
      <c r="AQ57" s="252">
        <f t="shared" si="168"/>
        <v>0</v>
      </c>
      <c r="AR57" s="82">
        <f>'izvršenje PO IZVORIMA-detaljno'!AQ57</f>
        <v>0</v>
      </c>
      <c r="AS57" s="82">
        <f>'izvršenje PO IZVORIMA-detaljno'!AR57</f>
        <v>0</v>
      </c>
      <c r="AT57" s="82">
        <f t="shared" ref="AT57" si="206">SUM(AT52:AT55)</f>
        <v>0</v>
      </c>
      <c r="AU57" s="252">
        <f t="shared" si="169"/>
        <v>0</v>
      </c>
      <c r="AV57" s="82">
        <f t="shared" ref="AV57:AX57" si="207">SUM(AV52:AV55)</f>
        <v>0</v>
      </c>
      <c r="AW57" s="83">
        <f t="shared" si="207"/>
        <v>0</v>
      </c>
      <c r="AX57" s="407">
        <f t="shared" si="207"/>
        <v>0</v>
      </c>
      <c r="AY57" s="83">
        <f t="shared" ref="AY57:AZ57" si="208">SUM(AY52:AY55)</f>
        <v>0</v>
      </c>
      <c r="AZ57" s="112">
        <f t="shared" si="208"/>
        <v>0</v>
      </c>
      <c r="BA57" s="407">
        <f t="shared" ref="BA57:BB57" si="209">SUM(BA52:BA55)</f>
        <v>0</v>
      </c>
      <c r="BB57" s="83">
        <f t="shared" si="209"/>
        <v>0</v>
      </c>
      <c r="BC57" s="411">
        <f>AV57+AS57+AO57+AK57+AG57+AC57+Y57+V57+S57+O57+L57+I57+AY57</f>
        <v>0</v>
      </c>
      <c r="BD57" s="83">
        <f>SUM(BD52:BD56)</f>
        <v>173935.22999999998</v>
      </c>
      <c r="BE57" s="76">
        <v>3211</v>
      </c>
      <c r="BF57" s="522"/>
      <c r="BG57" s="484"/>
      <c r="BH57" s="484"/>
      <c r="BI57" s="527"/>
      <c r="BJ57" s="484"/>
      <c r="BK57" s="484"/>
      <c r="BL57" s="484"/>
      <c r="BM57" s="484"/>
    </row>
    <row r="58" spans="1:65" s="2" customFormat="1" ht="15.75" thickBot="1" x14ac:dyDescent="0.3">
      <c r="A58" s="77">
        <v>321211</v>
      </c>
      <c r="B58" s="502" t="s">
        <v>31</v>
      </c>
      <c r="C58" s="75">
        <f t="shared" si="201"/>
        <v>25844.063972393655</v>
      </c>
      <c r="D58" s="71"/>
      <c r="E58" s="122">
        <f t="shared" si="202"/>
        <v>25197.459999999995</v>
      </c>
      <c r="F58" s="246">
        <f t="shared" si="12"/>
        <v>97.498056137438923</v>
      </c>
      <c r="G58" s="247">
        <f t="shared" si="13"/>
        <v>0</v>
      </c>
      <c r="H58" s="125"/>
      <c r="I58" s="125"/>
      <c r="J58" s="60"/>
      <c r="K58" s="1292">
        <f t="shared" si="204"/>
        <v>0</v>
      </c>
      <c r="L58" s="59"/>
      <c r="M58" s="60"/>
      <c r="N58" s="1420">
        <f>'izvršenje PO IZVORIMA-detaljno'!V58</f>
        <v>22683.526445019575</v>
      </c>
      <c r="O58" s="1328"/>
      <c r="P58" s="1330">
        <f>'izvršenje PO IZVORIMA-detaljno'!X58</f>
        <v>21166.889999999996</v>
      </c>
      <c r="Q58" s="1325">
        <f t="shared" si="162"/>
        <v>0</v>
      </c>
      <c r="R58" s="1328"/>
      <c r="S58" s="1328"/>
      <c r="T58" s="1329"/>
      <c r="U58" s="1325">
        <f t="shared" si="163"/>
        <v>0</v>
      </c>
      <c r="V58" s="1328"/>
      <c r="W58" s="1329"/>
      <c r="X58" s="1307"/>
      <c r="Y58" s="1307"/>
      <c r="Z58" s="1329"/>
      <c r="AA58" s="1325">
        <f t="shared" si="164"/>
        <v>0</v>
      </c>
      <c r="AB58" s="1380"/>
      <c r="AC58" s="1380"/>
      <c r="AD58" s="1381"/>
      <c r="AE58" s="1371">
        <f t="shared" si="165"/>
        <v>0</v>
      </c>
      <c r="AF58" s="1383">
        <f>'izvršenje PO IZVORIMA-detaljno'!I58+'izvršenje PO IZVORIMA-detaljno'!O58</f>
        <v>3131.3239100139358</v>
      </c>
      <c r="AG58" s="1380"/>
      <c r="AH58" s="1383">
        <f>'izvršenje PO IZVORIMA-detaljno'!K58+'izvršenje PO IZVORIMA-detaljno'!Q58</f>
        <v>4030.5699999999997</v>
      </c>
      <c r="AI58" s="1371">
        <f t="shared" si="166"/>
        <v>0</v>
      </c>
      <c r="AJ58" s="1380"/>
      <c r="AK58" s="1380"/>
      <c r="AL58" s="1381"/>
      <c r="AM58" s="1371">
        <f t="shared" si="167"/>
        <v>0</v>
      </c>
      <c r="AN58" s="1380"/>
      <c r="AO58" s="1380"/>
      <c r="AP58" s="1381"/>
      <c r="AQ58" s="1371">
        <f t="shared" si="168"/>
        <v>0</v>
      </c>
      <c r="AR58" s="1380"/>
      <c r="AS58" s="1380"/>
      <c r="AT58" s="1381"/>
      <c r="AU58" s="1371">
        <f t="shared" si="169"/>
        <v>0</v>
      </c>
      <c r="AV58" s="1380"/>
      <c r="AW58" s="1382"/>
      <c r="AX58" s="1438">
        <f>'izvršenje PO IZVORIMA-detaljno'!AT58+'izvršenje PO IZVORIMA-detaljno'!AU58+'izvršenje PO IZVORIMA-detaljno'!AV58</f>
        <v>29.213617360143338</v>
      </c>
      <c r="AY58" s="1403"/>
      <c r="AZ58" s="1451">
        <f>'izvršenje PO IZVORIMA-detaljno'!AV58+'izvršenje PO IZVORIMA-detaljno'!AW58+'izvršenje PO IZVORIMA-detaljno'!AX58</f>
        <v>0</v>
      </c>
      <c r="BA58" s="208"/>
      <c r="BB58" s="205">
        <f>'izvršenje PO IZVORIMA-detaljno'!AX58+'izvršenje PO IZVORIMA-detaljno'!AY58+'izvršenje PO IZVORIMA-detaljno'!AZ58</f>
        <v>0</v>
      </c>
      <c r="BC58" s="61"/>
      <c r="BD58" s="126">
        <f>J58+M58+P58+T58+W58+Z58+AD58+AH58+AL58+AP58+AT58+AW58+AZ58</f>
        <v>25197.459999999995</v>
      </c>
      <c r="BE58" s="77">
        <v>321211</v>
      </c>
      <c r="BF58" s="254"/>
      <c r="BG58" s="489"/>
      <c r="BH58" s="489"/>
      <c r="BI58" s="529"/>
      <c r="BJ58" s="486"/>
      <c r="BK58" s="486"/>
      <c r="BL58" s="486"/>
      <c r="BM58" s="486"/>
    </row>
    <row r="59" spans="1:65" s="22" customFormat="1" ht="15.75" thickBot="1" x14ac:dyDescent="0.3">
      <c r="A59" s="76">
        <v>3212</v>
      </c>
      <c r="B59" s="505" t="s">
        <v>32</v>
      </c>
      <c r="C59" s="82">
        <f>SUM(C58)</f>
        <v>25844.063972393655</v>
      </c>
      <c r="D59" s="82">
        <f>BC59</f>
        <v>0</v>
      </c>
      <c r="E59" s="83">
        <f t="shared" ref="E59" si="210">E58</f>
        <v>25197.459999999995</v>
      </c>
      <c r="F59" s="253">
        <f t="shared" si="12"/>
        <v>97.498056137438923</v>
      </c>
      <c r="G59" s="252">
        <f t="shared" si="13"/>
        <v>0</v>
      </c>
      <c r="H59" s="411">
        <f t="shared" ref="H59" si="211">H58</f>
        <v>0</v>
      </c>
      <c r="I59" s="115">
        <f t="shared" ref="I59:AP59" si="212">I58</f>
        <v>0</v>
      </c>
      <c r="J59" s="82">
        <f t="shared" si="212"/>
        <v>0</v>
      </c>
      <c r="K59" s="252">
        <f t="shared" si="204"/>
        <v>0</v>
      </c>
      <c r="L59" s="82">
        <f t="shared" si="212"/>
        <v>0</v>
      </c>
      <c r="M59" s="112">
        <f t="shared" si="212"/>
        <v>0</v>
      </c>
      <c r="N59" s="417">
        <f t="shared" ref="N59" si="213">N58</f>
        <v>22683.526445019575</v>
      </c>
      <c r="O59" s="82">
        <f t="shared" si="212"/>
        <v>0</v>
      </c>
      <c r="P59" s="82">
        <f t="shared" si="212"/>
        <v>21166.889999999996</v>
      </c>
      <c r="Q59" s="252">
        <f t="shared" si="162"/>
        <v>0</v>
      </c>
      <c r="R59" s="82">
        <f t="shared" ref="R59" si="214">R58</f>
        <v>0</v>
      </c>
      <c r="S59" s="82">
        <f t="shared" si="212"/>
        <v>0</v>
      </c>
      <c r="T59" s="82">
        <f t="shared" si="212"/>
        <v>0</v>
      </c>
      <c r="U59" s="252">
        <f t="shared" si="163"/>
        <v>0</v>
      </c>
      <c r="V59" s="82">
        <f t="shared" si="212"/>
        <v>0</v>
      </c>
      <c r="W59" s="82">
        <f t="shared" si="212"/>
        <v>0</v>
      </c>
      <c r="X59" s="82"/>
      <c r="Y59" s="82">
        <f>'izvršenje PO IZVORIMA-detaljno'!AI59+'izvršenje PO IZVORIMA-detaljno'!AL59+'izvršenje PO IZVORIMA-detaljno'!AB59</f>
        <v>0</v>
      </c>
      <c r="Z59" s="112">
        <f t="shared" si="212"/>
        <v>0</v>
      </c>
      <c r="AA59" s="252">
        <f t="shared" si="164"/>
        <v>0</v>
      </c>
      <c r="AB59" s="417"/>
      <c r="AC59" s="417">
        <f>'izvršenje PO IZVORIMA-detaljno'!G59+'izvršenje PO IZVORIMA-detaljno'!M59</f>
        <v>0</v>
      </c>
      <c r="AD59" s="82">
        <f t="shared" si="212"/>
        <v>0</v>
      </c>
      <c r="AE59" s="252">
        <f t="shared" si="165"/>
        <v>0</v>
      </c>
      <c r="AF59" s="108">
        <f>SUM(AF58)</f>
        <v>3131.3239100139358</v>
      </c>
      <c r="AG59" s="108">
        <f>'izvršenje PO IZVORIMA-detaljno'!J59+'izvršenje PO IZVORIMA-detaljno'!P59</f>
        <v>0</v>
      </c>
      <c r="AH59" s="82">
        <f>AH58</f>
        <v>4030.5699999999997</v>
      </c>
      <c r="AI59" s="252">
        <f t="shared" si="166"/>
        <v>0</v>
      </c>
      <c r="AJ59" s="82"/>
      <c r="AK59" s="82">
        <f>'izvršenje PO IZVORIMA-detaljno'!S59</f>
        <v>0</v>
      </c>
      <c r="AL59" s="82">
        <f t="shared" si="212"/>
        <v>0</v>
      </c>
      <c r="AM59" s="252">
        <f t="shared" si="167"/>
        <v>0</v>
      </c>
      <c r="AN59" s="82">
        <f t="shared" si="212"/>
        <v>0</v>
      </c>
      <c r="AO59" s="82">
        <f>'izvršenje PO IZVORIMA-detaljno'!AO59</f>
        <v>0</v>
      </c>
      <c r="AP59" s="82">
        <f t="shared" si="212"/>
        <v>0</v>
      </c>
      <c r="AQ59" s="252">
        <f t="shared" si="168"/>
        <v>0</v>
      </c>
      <c r="AR59" s="82">
        <f>'izvršenje PO IZVORIMA-detaljno'!AQ59</f>
        <v>0</v>
      </c>
      <c r="AS59" s="82">
        <f>'izvršenje PO IZVORIMA-detaljno'!AR59</f>
        <v>0</v>
      </c>
      <c r="AT59" s="82">
        <f t="shared" ref="AT59" si="215">AT58</f>
        <v>0</v>
      </c>
      <c r="AU59" s="252">
        <f t="shared" si="169"/>
        <v>0</v>
      </c>
      <c r="AV59" s="82">
        <f t="shared" ref="AV59:AX59" si="216">AV58</f>
        <v>0</v>
      </c>
      <c r="AW59" s="83">
        <f t="shared" si="216"/>
        <v>0</v>
      </c>
      <c r="AX59" s="407">
        <f t="shared" si="216"/>
        <v>29.213617360143338</v>
      </c>
      <c r="AY59" s="83">
        <f t="shared" ref="AY59:AZ59" si="217">AY58</f>
        <v>0</v>
      </c>
      <c r="AZ59" s="112">
        <f t="shared" si="217"/>
        <v>0</v>
      </c>
      <c r="BA59" s="407">
        <f t="shared" ref="BA59:BB59" si="218">BA58</f>
        <v>0</v>
      </c>
      <c r="BB59" s="83">
        <f t="shared" si="218"/>
        <v>0</v>
      </c>
      <c r="BC59" s="411">
        <f>AV59+AS59+AO59+AK59+AG59+AC59+Y59+V59+S59+O59+L59+I59+AY59</f>
        <v>0</v>
      </c>
      <c r="BD59" s="83">
        <f t="shared" ref="BD59" si="219">BD58</f>
        <v>25197.459999999995</v>
      </c>
      <c r="BE59" s="76">
        <v>3212</v>
      </c>
      <c r="BF59" s="522"/>
      <c r="BG59" s="484"/>
      <c r="BH59" s="484"/>
      <c r="BI59" s="527"/>
      <c r="BJ59" s="484"/>
      <c r="BK59" s="484"/>
      <c r="BL59" s="484"/>
      <c r="BM59" s="484"/>
    </row>
    <row r="60" spans="1:65" x14ac:dyDescent="0.25">
      <c r="A60" s="78">
        <v>321311</v>
      </c>
      <c r="B60" s="503" t="s">
        <v>33</v>
      </c>
      <c r="C60" s="75">
        <f t="shared" si="201"/>
        <v>21420.100869334397</v>
      </c>
      <c r="D60" s="71"/>
      <c r="E60" s="122">
        <f t="shared" si="202"/>
        <v>105476.42999999991</v>
      </c>
      <c r="F60" s="240">
        <f t="shared" si="12"/>
        <v>492.41798926821508</v>
      </c>
      <c r="G60" s="241">
        <f t="shared" si="13"/>
        <v>0</v>
      </c>
      <c r="H60" s="124"/>
      <c r="I60" s="124"/>
      <c r="J60" s="51"/>
      <c r="K60" s="1286">
        <f t="shared" si="204"/>
        <v>0</v>
      </c>
      <c r="L60" s="52"/>
      <c r="M60" s="51"/>
      <c r="N60" s="1419">
        <f>'izvršenje PO IZVORIMA-detaljno'!V60</f>
        <v>1040.0159267370097</v>
      </c>
      <c r="O60" s="1314"/>
      <c r="P60" s="1326">
        <f>'izvršenje PO IZVORIMA-detaljno'!X60</f>
        <v>728.98</v>
      </c>
      <c r="Q60" s="1309">
        <f t="shared" si="162"/>
        <v>0</v>
      </c>
      <c r="R60" s="1314"/>
      <c r="S60" s="1314"/>
      <c r="T60" s="1315"/>
      <c r="U60" s="1309">
        <f t="shared" si="163"/>
        <v>0</v>
      </c>
      <c r="V60" s="1314"/>
      <c r="W60" s="1315"/>
      <c r="X60" s="1307"/>
      <c r="Y60" s="1307"/>
      <c r="Z60" s="1315"/>
      <c r="AA60" s="1309">
        <f t="shared" si="164"/>
        <v>0</v>
      </c>
      <c r="AB60" s="1357"/>
      <c r="AC60" s="1357"/>
      <c r="AD60" s="1370"/>
      <c r="AE60" s="1350">
        <f t="shared" si="165"/>
        <v>0</v>
      </c>
      <c r="AF60" s="1372">
        <f>'izvršenje PO IZVORIMA-detaljno'!O60+'izvršenje PO IZVORIMA-detaljno'!I60</f>
        <v>20380.084942597387</v>
      </c>
      <c r="AG60" s="1357"/>
      <c r="AH60" s="1372">
        <f>'izvršenje PO IZVORIMA-detaljno'!Q60+'izvršenje PO IZVORIMA-detaljno'!K60</f>
        <v>104747.44999999991</v>
      </c>
      <c r="AI60" s="1350">
        <f t="shared" si="166"/>
        <v>0</v>
      </c>
      <c r="AJ60" s="1357"/>
      <c r="AK60" s="1357"/>
      <c r="AL60" s="1370"/>
      <c r="AM60" s="1350">
        <f t="shared" si="167"/>
        <v>0</v>
      </c>
      <c r="AN60" s="1357"/>
      <c r="AO60" s="1357"/>
      <c r="AP60" s="1370"/>
      <c r="AQ60" s="1350">
        <f t="shared" si="168"/>
        <v>0</v>
      </c>
      <c r="AR60" s="1357"/>
      <c r="AS60" s="1357"/>
      <c r="AT60" s="1370"/>
      <c r="AU60" s="1350">
        <f t="shared" si="169"/>
        <v>0</v>
      </c>
      <c r="AV60" s="1357"/>
      <c r="AW60" s="1358"/>
      <c r="AX60" s="1435"/>
      <c r="AY60" s="1401"/>
      <c r="AZ60" s="1444"/>
      <c r="BA60" s="180"/>
      <c r="BB60" s="178"/>
      <c r="BC60" s="57"/>
      <c r="BD60" s="126">
        <f>J60+M60+P60+T60+W60+Z60+AD60+AH60+AL60+AP60+AT60+AW60</f>
        <v>105476.42999999991</v>
      </c>
      <c r="BE60" s="78">
        <v>321311</v>
      </c>
      <c r="BG60" s="484"/>
      <c r="BH60" s="484"/>
      <c r="BI60" s="527"/>
    </row>
    <row r="61" spans="1:65" s="2" customFormat="1" ht="15.75" thickBot="1" x14ac:dyDescent="0.3">
      <c r="A61" s="46">
        <v>321321</v>
      </c>
      <c r="B61" s="504" t="s">
        <v>34</v>
      </c>
      <c r="C61" s="75">
        <f t="shared" si="201"/>
        <v>0</v>
      </c>
      <c r="D61" s="4"/>
      <c r="E61" s="122">
        <f t="shared" si="202"/>
        <v>11799.01</v>
      </c>
      <c r="F61" s="242">
        <f t="shared" si="12"/>
        <v>0</v>
      </c>
      <c r="G61" s="243">
        <f t="shared" si="13"/>
        <v>0</v>
      </c>
      <c r="H61" s="125"/>
      <c r="I61" s="125"/>
      <c r="J61" s="60"/>
      <c r="K61" s="1288">
        <f t="shared" si="204"/>
        <v>0</v>
      </c>
      <c r="L61" s="59"/>
      <c r="M61" s="60"/>
      <c r="N61" s="1419">
        <f>'izvršenje PO IZVORIMA-detaljno'!V61</f>
        <v>0</v>
      </c>
      <c r="O61" s="1328"/>
      <c r="P61" s="1326">
        <f>'izvršenje PO IZVORIMA-detaljno'!X61</f>
        <v>0</v>
      </c>
      <c r="Q61" s="1316">
        <f t="shared" si="162"/>
        <v>0</v>
      </c>
      <c r="R61" s="1328"/>
      <c r="S61" s="1328"/>
      <c r="T61" s="1329"/>
      <c r="U61" s="1316">
        <f t="shared" si="163"/>
        <v>0</v>
      </c>
      <c r="V61" s="1328"/>
      <c r="W61" s="1329"/>
      <c r="X61" s="1307"/>
      <c r="Y61" s="1307"/>
      <c r="Z61" s="1329"/>
      <c r="AA61" s="1316">
        <f t="shared" si="164"/>
        <v>0</v>
      </c>
      <c r="AB61" s="1380"/>
      <c r="AC61" s="1380"/>
      <c r="AD61" s="1381"/>
      <c r="AE61" s="1359">
        <f t="shared" si="165"/>
        <v>0</v>
      </c>
      <c r="AF61" s="1372">
        <f>'izvršenje PO IZVORIMA-detaljno'!I61+'izvršenje PO IZVORIMA-detaljno'!O61</f>
        <v>0</v>
      </c>
      <c r="AG61" s="1384"/>
      <c r="AH61" s="1372">
        <f>'izvršenje PO IZVORIMA-detaljno'!K61+'izvršenje PO IZVORIMA-detaljno'!Q61</f>
        <v>11799.01</v>
      </c>
      <c r="AI61" s="1359">
        <f t="shared" si="166"/>
        <v>0</v>
      </c>
      <c r="AJ61" s="1380"/>
      <c r="AK61" s="1380"/>
      <c r="AL61" s="1381"/>
      <c r="AM61" s="1359">
        <f t="shared" si="167"/>
        <v>0</v>
      </c>
      <c r="AN61" s="1380"/>
      <c r="AO61" s="1380"/>
      <c r="AP61" s="1381"/>
      <c r="AQ61" s="1359">
        <f t="shared" si="168"/>
        <v>0</v>
      </c>
      <c r="AR61" s="1380"/>
      <c r="AS61" s="1380"/>
      <c r="AT61" s="1381"/>
      <c r="AU61" s="1359">
        <f t="shared" si="169"/>
        <v>0</v>
      </c>
      <c r="AV61" s="1380"/>
      <c r="AW61" s="1382"/>
      <c r="AX61" s="1437"/>
      <c r="AY61" s="1403"/>
      <c r="AZ61" s="1450"/>
      <c r="BA61" s="208"/>
      <c r="BB61" s="210"/>
      <c r="BC61" s="61"/>
      <c r="BD61" s="126">
        <f>J61+M61+P61+T61+W61+Z61+AD61+AH61+AL61+AP61+AT61+AW61</f>
        <v>11799.01</v>
      </c>
      <c r="BE61" s="46">
        <v>321321</v>
      </c>
      <c r="BF61" s="254"/>
      <c r="BG61" s="489"/>
      <c r="BH61" s="489"/>
      <c r="BI61" s="529"/>
      <c r="BJ61" s="486"/>
      <c r="BK61" s="486"/>
      <c r="BL61" s="486"/>
      <c r="BM61" s="486"/>
    </row>
    <row r="62" spans="1:65" s="1539" customFormat="1" ht="15.75" thickBot="1" x14ac:dyDescent="0.3">
      <c r="A62" s="76">
        <v>3213</v>
      </c>
      <c r="B62" s="505" t="s">
        <v>35</v>
      </c>
      <c r="C62" s="82">
        <f>SUM(C60:C61)</f>
        <v>21420.100869334397</v>
      </c>
      <c r="D62" s="82">
        <f t="shared" ref="D62:E62" si="220">D60+D61</f>
        <v>0</v>
      </c>
      <c r="E62" s="83">
        <f t="shared" si="220"/>
        <v>117275.4399999999</v>
      </c>
      <c r="F62" s="253">
        <f t="shared" si="12"/>
        <v>547.50181017071975</v>
      </c>
      <c r="G62" s="252">
        <f t="shared" si="13"/>
        <v>0</v>
      </c>
      <c r="H62" s="411">
        <f t="shared" ref="H62" si="221">H60+H61</f>
        <v>0</v>
      </c>
      <c r="I62" s="115">
        <f t="shared" ref="I62:AP62" si="222">I60+I61</f>
        <v>0</v>
      </c>
      <c r="J62" s="82">
        <f t="shared" si="222"/>
        <v>0</v>
      </c>
      <c r="K62" s="252">
        <f t="shared" si="204"/>
        <v>0</v>
      </c>
      <c r="L62" s="82">
        <f t="shared" si="222"/>
        <v>0</v>
      </c>
      <c r="M62" s="112">
        <f t="shared" si="222"/>
        <v>0</v>
      </c>
      <c r="N62" s="417">
        <f t="shared" ref="N62" si="223">N60+N61</f>
        <v>1040.0159267370097</v>
      </c>
      <c r="O62" s="82">
        <f t="shared" si="222"/>
        <v>0</v>
      </c>
      <c r="P62" s="82">
        <f t="shared" si="222"/>
        <v>728.98</v>
      </c>
      <c r="Q62" s="252">
        <f t="shared" si="162"/>
        <v>0</v>
      </c>
      <c r="R62" s="82">
        <f t="shared" ref="R62" si="224">R60+R61</f>
        <v>0</v>
      </c>
      <c r="S62" s="82">
        <f t="shared" si="222"/>
        <v>0</v>
      </c>
      <c r="T62" s="82">
        <f t="shared" si="222"/>
        <v>0</v>
      </c>
      <c r="U62" s="252">
        <f t="shared" si="163"/>
        <v>0</v>
      </c>
      <c r="V62" s="82">
        <f t="shared" si="222"/>
        <v>0</v>
      </c>
      <c r="W62" s="82">
        <f t="shared" si="222"/>
        <v>0</v>
      </c>
      <c r="X62" s="82"/>
      <c r="Y62" s="82">
        <f>'izvršenje PO IZVORIMA-detaljno'!AI62+'izvršenje PO IZVORIMA-detaljno'!AL62+'izvršenje PO IZVORIMA-detaljno'!AB62</f>
        <v>0</v>
      </c>
      <c r="Z62" s="112">
        <f t="shared" si="222"/>
        <v>0</v>
      </c>
      <c r="AA62" s="252">
        <f t="shared" si="164"/>
        <v>0</v>
      </c>
      <c r="AB62" s="417"/>
      <c r="AC62" s="417">
        <f>'izvršenje PO IZVORIMA-detaljno'!G62+'izvršenje PO IZVORIMA-detaljno'!M62</f>
        <v>0</v>
      </c>
      <c r="AD62" s="82">
        <f t="shared" si="222"/>
        <v>0</v>
      </c>
      <c r="AE62" s="252">
        <f t="shared" si="165"/>
        <v>0</v>
      </c>
      <c r="AF62" s="108">
        <f>SUM(AF60:AF61)</f>
        <v>20380.084942597387</v>
      </c>
      <c r="AG62" s="108">
        <f>'izvršenje PO IZVORIMA-detaljno'!J62+'izvršenje PO IZVORIMA-detaljno'!P62</f>
        <v>0</v>
      </c>
      <c r="AH62" s="82">
        <f>AH60+AH61</f>
        <v>116546.4599999999</v>
      </c>
      <c r="AI62" s="252">
        <f t="shared" si="166"/>
        <v>0</v>
      </c>
      <c r="AJ62" s="82"/>
      <c r="AK62" s="82">
        <f>'izvršenje PO IZVORIMA-detaljno'!S62</f>
        <v>0</v>
      </c>
      <c r="AL62" s="82">
        <f t="shared" si="222"/>
        <v>0</v>
      </c>
      <c r="AM62" s="252">
        <f t="shared" si="167"/>
        <v>0</v>
      </c>
      <c r="AN62" s="82"/>
      <c r="AO62" s="82">
        <f>'izvršenje PO IZVORIMA-detaljno'!AO62</f>
        <v>0</v>
      </c>
      <c r="AP62" s="82">
        <f t="shared" si="222"/>
        <v>0</v>
      </c>
      <c r="AQ62" s="252">
        <f t="shared" si="168"/>
        <v>0</v>
      </c>
      <c r="AR62" s="82">
        <f>'izvršenje PO IZVORIMA-detaljno'!AQ62</f>
        <v>0</v>
      </c>
      <c r="AS62" s="82">
        <f>'izvršenje PO IZVORIMA-detaljno'!AR62</f>
        <v>0</v>
      </c>
      <c r="AT62" s="82">
        <f t="shared" ref="AT62" si="225">AT60+AT61</f>
        <v>0</v>
      </c>
      <c r="AU62" s="252">
        <f t="shared" si="169"/>
        <v>0</v>
      </c>
      <c r="AV62" s="82">
        <f t="shared" ref="AV62:AX62" si="226">AV60+AV61</f>
        <v>0</v>
      </c>
      <c r="AW62" s="83">
        <f t="shared" si="226"/>
        <v>0</v>
      </c>
      <c r="AX62" s="407">
        <f t="shared" si="226"/>
        <v>0</v>
      </c>
      <c r="AY62" s="83">
        <f t="shared" ref="AY62:AZ62" si="227">AY60+AY61</f>
        <v>0</v>
      </c>
      <c r="AZ62" s="112">
        <f t="shared" si="227"/>
        <v>0</v>
      </c>
      <c r="BA62" s="407">
        <f t="shared" ref="BA62:BB62" si="228">BA60+BA61</f>
        <v>0</v>
      </c>
      <c r="BB62" s="83">
        <f t="shared" si="228"/>
        <v>0</v>
      </c>
      <c r="BC62" s="411">
        <f>AV62+AS62+AO62+AK62+AG62+AC62+Y62+V62+S62+O62+L62+I62+AY62</f>
        <v>0</v>
      </c>
      <c r="BD62" s="83">
        <f t="shared" ref="BD62" si="229">BD60+BD61</f>
        <v>117275.4399999999</v>
      </c>
      <c r="BE62" s="76">
        <v>3213</v>
      </c>
      <c r="BF62" s="522"/>
      <c r="BG62" s="493"/>
      <c r="BH62" s="493"/>
      <c r="BI62" s="530"/>
      <c r="BJ62" s="493"/>
      <c r="BK62" s="493"/>
      <c r="BL62" s="493"/>
      <c r="BM62" s="493"/>
    </row>
    <row r="63" spans="1:65" s="2" customFormat="1" x14ac:dyDescent="0.25">
      <c r="A63" s="62">
        <v>321411</v>
      </c>
      <c r="B63" s="498" t="s">
        <v>147</v>
      </c>
      <c r="C63" s="75">
        <f t="shared" si="201"/>
        <v>458.02641183887448</v>
      </c>
      <c r="D63" s="80"/>
      <c r="E63" s="122">
        <f t="shared" si="202"/>
        <v>396.5</v>
      </c>
      <c r="F63" s="240">
        <f t="shared" si="12"/>
        <v>86.567060272384822</v>
      </c>
      <c r="G63" s="241">
        <f t="shared" si="13"/>
        <v>0</v>
      </c>
      <c r="H63" s="125"/>
      <c r="I63" s="125"/>
      <c r="J63" s="60"/>
      <c r="K63" s="1286">
        <f t="shared" si="204"/>
        <v>0</v>
      </c>
      <c r="L63" s="59"/>
      <c r="M63" s="60"/>
      <c r="N63" s="1420">
        <f>'izvršenje PO IZVORIMA-detaljno'!V63</f>
        <v>458.02641183887448</v>
      </c>
      <c r="O63" s="1328"/>
      <c r="P63" s="1330">
        <f>'izvršenje PO IZVORIMA-detaljno'!X63</f>
        <v>396.5</v>
      </c>
      <c r="Q63" s="1309">
        <f t="shared" si="162"/>
        <v>0</v>
      </c>
      <c r="R63" s="1328"/>
      <c r="S63" s="1328"/>
      <c r="T63" s="1329"/>
      <c r="U63" s="1309">
        <f t="shared" si="163"/>
        <v>0</v>
      </c>
      <c r="V63" s="1328"/>
      <c r="W63" s="1329"/>
      <c r="X63" s="1307"/>
      <c r="Y63" s="1307"/>
      <c r="Z63" s="1329"/>
      <c r="AA63" s="1309">
        <f t="shared" si="164"/>
        <v>0</v>
      </c>
      <c r="AB63" s="1380"/>
      <c r="AC63" s="1380"/>
      <c r="AD63" s="1381"/>
      <c r="AE63" s="1350">
        <f t="shared" si="165"/>
        <v>0</v>
      </c>
      <c r="AF63" s="1380"/>
      <c r="AG63" s="1380"/>
      <c r="AH63" s="1381"/>
      <c r="AI63" s="1350">
        <f t="shared" si="166"/>
        <v>0</v>
      </c>
      <c r="AJ63" s="1380"/>
      <c r="AK63" s="1380"/>
      <c r="AL63" s="1381"/>
      <c r="AM63" s="1350">
        <f t="shared" si="167"/>
        <v>0</v>
      </c>
      <c r="AN63" s="1380"/>
      <c r="AO63" s="1380"/>
      <c r="AP63" s="1381"/>
      <c r="AQ63" s="1350">
        <f t="shared" si="168"/>
        <v>0</v>
      </c>
      <c r="AR63" s="1380"/>
      <c r="AS63" s="1380"/>
      <c r="AT63" s="1381"/>
      <c r="AU63" s="1350">
        <f t="shared" si="169"/>
        <v>0</v>
      </c>
      <c r="AV63" s="1380"/>
      <c r="AW63" s="1382"/>
      <c r="AX63" s="1437"/>
      <c r="AY63" s="1403"/>
      <c r="AZ63" s="1450"/>
      <c r="BA63" s="208"/>
      <c r="BB63" s="210"/>
      <c r="BC63" s="61"/>
      <c r="BD63" s="126">
        <f>J63+M63+P63+T63+W63+Z63+AD63+AH63+AL63+AP63+AT63+AW63</f>
        <v>396.5</v>
      </c>
      <c r="BE63" s="62">
        <v>321411</v>
      </c>
      <c r="BF63" s="254"/>
      <c r="BG63" s="489"/>
      <c r="BH63" s="489"/>
      <c r="BI63" s="529"/>
      <c r="BJ63" s="486"/>
      <c r="BK63" s="486"/>
      <c r="BL63" s="486"/>
      <c r="BM63" s="486"/>
    </row>
    <row r="64" spans="1:65" s="2" customFormat="1" ht="15.75" thickBot="1" x14ac:dyDescent="0.3">
      <c r="A64" s="77">
        <v>321491</v>
      </c>
      <c r="B64" s="502" t="s">
        <v>36</v>
      </c>
      <c r="C64" s="75">
        <f t="shared" si="201"/>
        <v>2659.8380781737342</v>
      </c>
      <c r="D64" s="84"/>
      <c r="E64" s="122">
        <f t="shared" si="202"/>
        <v>0</v>
      </c>
      <c r="F64" s="242">
        <f t="shared" si="12"/>
        <v>0</v>
      </c>
      <c r="G64" s="243">
        <f t="shared" si="13"/>
        <v>0</v>
      </c>
      <c r="H64" s="125"/>
      <c r="I64" s="125"/>
      <c r="J64" s="60"/>
      <c r="K64" s="1288">
        <f t="shared" si="204"/>
        <v>0</v>
      </c>
      <c r="L64" s="59"/>
      <c r="M64" s="60"/>
      <c r="N64" s="1420">
        <f>'izvršenje PO IZVORIMA-detaljno'!V64</f>
        <v>0</v>
      </c>
      <c r="O64" s="1328"/>
      <c r="P64" s="1330">
        <f>'izvršenje PO IZVORIMA-detaljno'!X64</f>
        <v>0</v>
      </c>
      <c r="Q64" s="1316">
        <f t="shared" si="162"/>
        <v>0</v>
      </c>
      <c r="R64" s="1328"/>
      <c r="S64" s="1328"/>
      <c r="T64" s="1329"/>
      <c r="U64" s="1316">
        <f t="shared" si="163"/>
        <v>0</v>
      </c>
      <c r="V64" s="1328"/>
      <c r="W64" s="1329"/>
      <c r="X64" s="1307"/>
      <c r="Y64" s="1307"/>
      <c r="Z64" s="1329"/>
      <c r="AA64" s="1316">
        <f t="shared" si="164"/>
        <v>0</v>
      </c>
      <c r="AB64" s="1380"/>
      <c r="AC64" s="1380"/>
      <c r="AD64" s="1381"/>
      <c r="AE64" s="1359">
        <f t="shared" si="165"/>
        <v>0</v>
      </c>
      <c r="AF64" s="1380"/>
      <c r="AG64" s="1380"/>
      <c r="AH64" s="1381"/>
      <c r="AI64" s="1359">
        <f t="shared" si="166"/>
        <v>0</v>
      </c>
      <c r="AJ64" s="1383">
        <f>'izvršenje PO IZVORIMA-detaljno'!R64</f>
        <v>2654.4561682925209</v>
      </c>
      <c r="AK64" s="1380"/>
      <c r="AL64" s="1383">
        <f>'izvršenje PO IZVORIMA-detaljno'!T64+'izvršenje PO IZVORIMA-detaljno'!U64</f>
        <v>0</v>
      </c>
      <c r="AM64" s="1359">
        <f t="shared" si="167"/>
        <v>0</v>
      </c>
      <c r="AN64" s="1383">
        <f>'izvršenje PO IZVORIMA-detaljno'!AN64</f>
        <v>5.3819098812130859</v>
      </c>
      <c r="AO64" s="1380"/>
      <c r="AP64" s="1383">
        <f>'izvršenje PO IZVORIMA-detaljno'!AP64</f>
        <v>0</v>
      </c>
      <c r="AQ64" s="1359">
        <f t="shared" si="168"/>
        <v>0</v>
      </c>
      <c r="AR64" s="1380"/>
      <c r="AS64" s="1380"/>
      <c r="AT64" s="1381"/>
      <c r="AU64" s="1359">
        <f t="shared" si="169"/>
        <v>0</v>
      </c>
      <c r="AV64" s="1380"/>
      <c r="AW64" s="1382"/>
      <c r="AX64" s="1437"/>
      <c r="AY64" s="1403"/>
      <c r="AZ64" s="1450"/>
      <c r="BA64" s="208"/>
      <c r="BB64" s="210"/>
      <c r="BC64" s="61"/>
      <c r="BD64" s="126">
        <f>J64+M64+P64+T64+W64+Z64+AD64+AH64+AL64+AP64+AT64+AW64</f>
        <v>0</v>
      </c>
      <c r="BE64" s="77">
        <v>321491</v>
      </c>
      <c r="BF64" s="254"/>
      <c r="BG64" s="489"/>
      <c r="BH64" s="489"/>
      <c r="BI64" s="529"/>
      <c r="BJ64" s="486"/>
      <c r="BK64" s="486"/>
      <c r="BL64" s="486"/>
      <c r="BM64" s="486"/>
    </row>
    <row r="65" spans="1:65" s="22" customFormat="1" ht="15.75" thickBot="1" x14ac:dyDescent="0.3">
      <c r="A65" s="76">
        <v>3214</v>
      </c>
      <c r="B65" s="505" t="s">
        <v>36</v>
      </c>
      <c r="C65" s="82">
        <f>SUM(C63:C64)</f>
        <v>3117.8644900126087</v>
      </c>
      <c r="D65" s="82">
        <f>D63</f>
        <v>0</v>
      </c>
      <c r="E65" s="83">
        <f>E63+E64</f>
        <v>396.5</v>
      </c>
      <c r="F65" s="253">
        <f t="shared" si="12"/>
        <v>12.717037615653288</v>
      </c>
      <c r="G65" s="252">
        <f t="shared" si="13"/>
        <v>0</v>
      </c>
      <c r="H65" s="411">
        <f t="shared" ref="H65" si="230">H63</f>
        <v>0</v>
      </c>
      <c r="I65" s="115">
        <f t="shared" ref="I65:AH65" si="231">I63</f>
        <v>0</v>
      </c>
      <c r="J65" s="82">
        <f t="shared" si="231"/>
        <v>0</v>
      </c>
      <c r="K65" s="252">
        <f t="shared" si="204"/>
        <v>0</v>
      </c>
      <c r="L65" s="82">
        <f t="shared" si="231"/>
        <v>0</v>
      </c>
      <c r="M65" s="112">
        <f t="shared" si="231"/>
        <v>0</v>
      </c>
      <c r="N65" s="417">
        <f>N63</f>
        <v>458.02641183887448</v>
      </c>
      <c r="O65" s="82">
        <f t="shared" si="231"/>
        <v>0</v>
      </c>
      <c r="P65" s="82">
        <f t="shared" si="231"/>
        <v>396.5</v>
      </c>
      <c r="Q65" s="252">
        <f t="shared" si="162"/>
        <v>0</v>
      </c>
      <c r="R65" s="82">
        <f t="shared" ref="R65" si="232">R63</f>
        <v>0</v>
      </c>
      <c r="S65" s="82">
        <f t="shared" si="231"/>
        <v>0</v>
      </c>
      <c r="T65" s="82">
        <f t="shared" si="231"/>
        <v>0</v>
      </c>
      <c r="U65" s="252">
        <f t="shared" si="163"/>
        <v>0</v>
      </c>
      <c r="V65" s="82">
        <f t="shared" si="231"/>
        <v>0</v>
      </c>
      <c r="W65" s="82">
        <f t="shared" si="231"/>
        <v>0</v>
      </c>
      <c r="X65" s="82"/>
      <c r="Y65" s="82">
        <f>'izvršenje PO IZVORIMA-detaljno'!AI65+'izvršenje PO IZVORIMA-detaljno'!AL65+'izvršenje PO IZVORIMA-detaljno'!AB65</f>
        <v>0</v>
      </c>
      <c r="Z65" s="112">
        <f t="shared" si="231"/>
        <v>0</v>
      </c>
      <c r="AA65" s="252">
        <f t="shared" si="164"/>
        <v>0</v>
      </c>
      <c r="AB65" s="417"/>
      <c r="AC65" s="417">
        <f>'izvršenje PO IZVORIMA-detaljno'!G65+'izvršenje PO IZVORIMA-detaljno'!M65</f>
        <v>0</v>
      </c>
      <c r="AD65" s="82">
        <f t="shared" si="231"/>
        <v>0</v>
      </c>
      <c r="AE65" s="252">
        <f t="shared" si="165"/>
        <v>0</v>
      </c>
      <c r="AF65" s="108"/>
      <c r="AG65" s="108">
        <f>'izvršenje PO IZVORIMA-detaljno'!J65+'izvršenje PO IZVORIMA-detaljno'!P65</f>
        <v>0</v>
      </c>
      <c r="AH65" s="82">
        <f t="shared" si="231"/>
        <v>0</v>
      </c>
      <c r="AI65" s="252">
        <f t="shared" si="166"/>
        <v>0</v>
      </c>
      <c r="AJ65" s="82">
        <f>SUM(AJ64)</f>
        <v>2654.4561682925209</v>
      </c>
      <c r="AK65" s="82">
        <f>'izvršenje PO IZVORIMA-detaljno'!S65</f>
        <v>0</v>
      </c>
      <c r="AL65" s="82">
        <f>SUM(AL63:AL64)</f>
        <v>0</v>
      </c>
      <c r="AM65" s="252">
        <f t="shared" si="167"/>
        <v>0</v>
      </c>
      <c r="AN65" s="82">
        <f>SUM(AN64)</f>
        <v>5.3819098812130859</v>
      </c>
      <c r="AO65" s="82">
        <f>'izvršenje PO IZVORIMA-detaljno'!AO65</f>
        <v>0</v>
      </c>
      <c r="AP65" s="82">
        <f>SUM(AP63:AP64)</f>
        <v>0</v>
      </c>
      <c r="AQ65" s="252">
        <f t="shared" si="168"/>
        <v>0</v>
      </c>
      <c r="AR65" s="82">
        <f>'izvršenje PO IZVORIMA-detaljno'!AQ65</f>
        <v>0</v>
      </c>
      <c r="AS65" s="82">
        <f>'izvršenje PO IZVORIMA-detaljno'!AR65</f>
        <v>0</v>
      </c>
      <c r="AT65" s="82">
        <f t="shared" ref="AT65" si="233">AT63</f>
        <v>0</v>
      </c>
      <c r="AU65" s="252">
        <f t="shared" si="169"/>
        <v>0</v>
      </c>
      <c r="AV65" s="82">
        <f t="shared" ref="AV65:AX65" si="234">AV63</f>
        <v>0</v>
      </c>
      <c r="AW65" s="83">
        <f t="shared" si="234"/>
        <v>0</v>
      </c>
      <c r="AX65" s="407">
        <f t="shared" si="234"/>
        <v>0</v>
      </c>
      <c r="AY65" s="83">
        <f t="shared" ref="AY65:AZ65" si="235">AY63</f>
        <v>0</v>
      </c>
      <c r="AZ65" s="112">
        <f t="shared" si="235"/>
        <v>0</v>
      </c>
      <c r="BA65" s="407">
        <f t="shared" ref="BA65:BB65" si="236">BA63</f>
        <v>0</v>
      </c>
      <c r="BB65" s="83">
        <f t="shared" si="236"/>
        <v>0</v>
      </c>
      <c r="BC65" s="411">
        <f>AV65+AS65+AO65+AK65+AG65+AC65+Y65+V65+S65+O65+L65+I65+AY65</f>
        <v>0</v>
      </c>
      <c r="BD65" s="83">
        <f>BD63+BD64</f>
        <v>396.5</v>
      </c>
      <c r="BE65" s="76">
        <v>3214</v>
      </c>
      <c r="BF65" s="522"/>
      <c r="BG65" s="484"/>
      <c r="BH65" s="484"/>
      <c r="BI65" s="527"/>
      <c r="BJ65" s="484"/>
      <c r="BK65" s="484"/>
      <c r="BL65" s="484"/>
      <c r="BM65" s="484"/>
    </row>
    <row r="66" spans="1:65" s="22" customFormat="1" ht="15.75" thickBot="1" x14ac:dyDescent="0.3">
      <c r="A66" s="76">
        <v>321</v>
      </c>
      <c r="B66" s="505" t="s">
        <v>37</v>
      </c>
      <c r="C66" s="91">
        <f>C57+C59+C62+C65</f>
        <v>79580.540181830249</v>
      </c>
      <c r="D66" s="82">
        <f>BC66</f>
        <v>351318</v>
      </c>
      <c r="E66" s="91">
        <f t="shared" ref="E66" si="237">E57+E59+E62+E65</f>
        <v>316804.62999999989</v>
      </c>
      <c r="F66" s="1609">
        <f t="shared" si="12"/>
        <v>398.09308817978143</v>
      </c>
      <c r="G66" s="256">
        <f>IF(D66&lt;&gt;0,E66/D66*100,0)</f>
        <v>90.176031401749952</v>
      </c>
      <c r="H66" s="1430">
        <f>H57+H59+H62+H65</f>
        <v>33.97703895414427</v>
      </c>
      <c r="I66" s="117">
        <f>'izvršenje PO IZVORIMA-detaljno'!D66</f>
        <v>398</v>
      </c>
      <c r="J66" s="90">
        <f>J57+J59+J62+J65</f>
        <v>63.55</v>
      </c>
      <c r="K66" s="256">
        <f t="shared" si="204"/>
        <v>15.967336683417086</v>
      </c>
      <c r="L66" s="90">
        <f t="shared" ref="L66:AP66" si="238">L57+L59+L62+L65</f>
        <v>0</v>
      </c>
      <c r="M66" s="114">
        <f t="shared" si="238"/>
        <v>0</v>
      </c>
      <c r="N66" s="1593">
        <f>N57+N59+N62+N65</f>
        <v>30579.938947508126</v>
      </c>
      <c r="O66" s="90">
        <f>'izvršenje PO IZVORIMA-detaljno'!W66</f>
        <v>29300</v>
      </c>
      <c r="P66" s="90">
        <f>P57+P59+P62+P65</f>
        <v>29356.909999999993</v>
      </c>
      <c r="Q66" s="256">
        <f t="shared" si="162"/>
        <v>100.19423208191122</v>
      </c>
      <c r="R66" s="90">
        <f t="shared" ref="R66" si="239">R57+R59+R62+R65</f>
        <v>0</v>
      </c>
      <c r="S66" s="90">
        <f t="shared" si="238"/>
        <v>0</v>
      </c>
      <c r="T66" s="90">
        <f t="shared" si="238"/>
        <v>0</v>
      </c>
      <c r="U66" s="256">
        <f t="shared" si="163"/>
        <v>0</v>
      </c>
      <c r="V66" s="90">
        <f t="shared" si="238"/>
        <v>0</v>
      </c>
      <c r="W66" s="90">
        <f t="shared" si="238"/>
        <v>0</v>
      </c>
      <c r="X66" s="82">
        <f>'izvršenje PO IZVORIMA-detaljno'!AH66+'izvršenje PO IZVORIMA-detaljno'!AK66+'izvršenje PO IZVORIMA-detaljno'!AA66</f>
        <v>0</v>
      </c>
      <c r="Y66" s="82">
        <f>'izvršenje PO IZVORIMA-detaljno'!AI66+'izvršenje PO IZVORIMA-detaljno'!AL66+'izvršenje PO IZVORIMA-detaljno'!AB66</f>
        <v>200</v>
      </c>
      <c r="Z66" s="114">
        <f>Z57+Z59+Z62+Z65</f>
        <v>151.91999999999999</v>
      </c>
      <c r="AA66" s="256">
        <f t="shared" si="164"/>
        <v>75.959999999999994</v>
      </c>
      <c r="AB66" s="417"/>
      <c r="AC66" s="417">
        <f>'izvršenje PO IZVORIMA-detaljno'!G66+'izvršenje PO IZVORIMA-detaljno'!M66</f>
        <v>0</v>
      </c>
      <c r="AD66" s="90">
        <f t="shared" si="238"/>
        <v>0</v>
      </c>
      <c r="AE66" s="256">
        <f t="shared" si="165"/>
        <v>0</v>
      </c>
      <c r="AF66" s="90">
        <f t="shared" si="238"/>
        <v>45158.440507001127</v>
      </c>
      <c r="AG66" s="108">
        <f>'izvršenje PO IZVORIMA-detaljno'!J66+'izvršenje PO IZVORIMA-detaljno'!P66</f>
        <v>290000</v>
      </c>
      <c r="AH66" s="90">
        <f t="shared" si="238"/>
        <v>261941.18999999989</v>
      </c>
      <c r="AI66" s="256">
        <f t="shared" si="166"/>
        <v>90.324548275862028</v>
      </c>
      <c r="AJ66" s="90">
        <f t="shared" si="238"/>
        <v>2654.4561682925209</v>
      </c>
      <c r="AK66" s="82">
        <f>'izvršenje PO IZVORIMA-detaljno'!S66</f>
        <v>29320</v>
      </c>
      <c r="AL66" s="90">
        <f t="shared" si="238"/>
        <v>23719.86</v>
      </c>
      <c r="AM66" s="256">
        <f t="shared" si="167"/>
        <v>80.899931787175987</v>
      </c>
      <c r="AN66" s="90">
        <f t="shared" si="238"/>
        <v>1124.5139027141813</v>
      </c>
      <c r="AO66" s="82">
        <f>'izvršenje PO IZVORIMA-detaljno'!AO66</f>
        <v>2100</v>
      </c>
      <c r="AP66" s="90">
        <f t="shared" si="238"/>
        <v>1571.1999999999998</v>
      </c>
      <c r="AQ66" s="256">
        <f t="shared" si="168"/>
        <v>74.819047619047609</v>
      </c>
      <c r="AR66" s="82">
        <f>'izvršenje PO IZVORIMA-detaljno'!AQ66</f>
        <v>0</v>
      </c>
      <c r="AS66" s="82">
        <f>'izvršenje PO IZVORIMA-detaljno'!AR66</f>
        <v>0</v>
      </c>
      <c r="AT66" s="90">
        <f t="shared" ref="AT66" si="240">AT57+AT59+AT62+AT65</f>
        <v>0</v>
      </c>
      <c r="AU66" s="256">
        <f t="shared" si="169"/>
        <v>0</v>
      </c>
      <c r="AV66" s="90">
        <f t="shared" ref="AV66:AW66" si="241">AV57+AV59+AV62+AV65</f>
        <v>0</v>
      </c>
      <c r="AW66" s="91">
        <f t="shared" si="241"/>
        <v>0</v>
      </c>
      <c r="AX66" s="1458">
        <f t="shared" ref="AX66:AZ66" si="242">AX57+AX59+AX62+AX65</f>
        <v>29.213617360143338</v>
      </c>
      <c r="AY66" s="91"/>
      <c r="AZ66" s="114">
        <f t="shared" si="242"/>
        <v>0</v>
      </c>
      <c r="BA66" s="1458"/>
      <c r="BB66" s="91">
        <f t="shared" ref="BB66" si="243">BB57+BB59+BB62+BB65</f>
        <v>0</v>
      </c>
      <c r="BC66" s="411">
        <f>AV66+AS66+AO66+AK66+AG66+AC66+Y66+V66+S66+O66+L66+I66+AY66</f>
        <v>351318</v>
      </c>
      <c r="BD66" s="91">
        <f t="shared" ref="BD66" si="244">BD57+BD59+BD62+BD65</f>
        <v>316804.62999999989</v>
      </c>
      <c r="BE66" s="76">
        <v>321</v>
      </c>
      <c r="BF66" s="524"/>
      <c r="BG66" s="484"/>
      <c r="BH66" s="484"/>
      <c r="BI66" s="527"/>
      <c r="BJ66" s="484"/>
      <c r="BK66" s="484"/>
      <c r="BL66" s="484"/>
      <c r="BM66" s="484"/>
    </row>
    <row r="67" spans="1:65" x14ac:dyDescent="0.25">
      <c r="A67" s="74">
        <v>322111</v>
      </c>
      <c r="B67" s="506" t="s">
        <v>38</v>
      </c>
      <c r="C67" s="75">
        <f t="shared" ref="C67:C85" si="245">H67+N67+R67+X67+AB67+AF67+AJ67+AN67+AR67+AX67</f>
        <v>3262.059857986595</v>
      </c>
      <c r="D67" s="69"/>
      <c r="E67" s="122">
        <f t="shared" ref="E67:E85" si="246">BD67</f>
        <v>4045.8500000000004</v>
      </c>
      <c r="F67" s="249">
        <f t="shared" si="12"/>
        <v>124.02746044326653</v>
      </c>
      <c r="G67" s="250">
        <f t="shared" si="13"/>
        <v>0</v>
      </c>
      <c r="H67" s="123">
        <f>'izvršenje PO IZVORIMA-detaljno'!C67</f>
        <v>0</v>
      </c>
      <c r="I67" s="124"/>
      <c r="J67" s="176">
        <f>'izvršenje PO IZVORIMA-detaljno'!E67</f>
        <v>54.19</v>
      </c>
      <c r="K67" s="1297">
        <f t="shared" si="204"/>
        <v>0</v>
      </c>
      <c r="L67" s="52"/>
      <c r="M67" s="51"/>
      <c r="N67" s="1419">
        <f>'izvršenje PO IZVORIMA-detaljno'!V67</f>
        <v>2806.7210830181166</v>
      </c>
      <c r="O67" s="1314"/>
      <c r="P67" s="1326">
        <f>'izvršenje PO IZVORIMA-detaljno'!X67</f>
        <v>3103.5900000000006</v>
      </c>
      <c r="Q67" s="1331">
        <f t="shared" si="162"/>
        <v>0</v>
      </c>
      <c r="R67" s="1314"/>
      <c r="S67" s="1314"/>
      <c r="T67" s="1326">
        <f>'izvršenje PO IZVORIMA-detaljno'!AA67</f>
        <v>0</v>
      </c>
      <c r="U67" s="1331">
        <f t="shared" si="163"/>
        <v>0</v>
      </c>
      <c r="V67" s="1314"/>
      <c r="W67" s="1315"/>
      <c r="X67" s="1326">
        <f>'izvršenje PO IZVORIMA-detaljno'!AK67</f>
        <v>0</v>
      </c>
      <c r="Y67" s="1307"/>
      <c r="Z67" s="1326">
        <f>'izvršenje PO IZVORIMA-detaljno'!AM67+'izvršenje PO IZVORIMA-detaljno'!AJ67+'izvršenje PO IZVORIMA-detaljno'!AC67</f>
        <v>68.2</v>
      </c>
      <c r="AA67" s="1331">
        <f t="shared" si="164"/>
        <v>0</v>
      </c>
      <c r="AB67" s="1357"/>
      <c r="AC67" s="1357"/>
      <c r="AD67" s="1370"/>
      <c r="AE67" s="1385">
        <f t="shared" si="165"/>
        <v>0</v>
      </c>
      <c r="AF67" s="1372">
        <f>'izvršenje PO IZVORIMA-detaljno'!I67+'izvršenje PO IZVORIMA-detaljno'!O67</f>
        <v>455.33877496847828</v>
      </c>
      <c r="AG67" s="1357"/>
      <c r="AH67" s="1372">
        <f>'izvršenje PO IZVORIMA-detaljno'!K67+'izvršenje PO IZVORIMA-detaljno'!Q67</f>
        <v>363.90000000000003</v>
      </c>
      <c r="AI67" s="1385">
        <f t="shared" si="166"/>
        <v>0</v>
      </c>
      <c r="AJ67" s="1357"/>
      <c r="AK67" s="1357"/>
      <c r="AL67" s="1383">
        <f>'izvršenje PO IZVORIMA-detaljno'!T67+'izvršenje PO IZVORIMA-detaljno'!U67</f>
        <v>0</v>
      </c>
      <c r="AM67" s="1385">
        <f t="shared" si="167"/>
        <v>0</v>
      </c>
      <c r="AN67" s="1372">
        <f>'izvršenje PO IZVORIMA-detaljno'!AN67</f>
        <v>0</v>
      </c>
      <c r="AO67" s="1357"/>
      <c r="AP67" s="1372">
        <f>'izvršenje PO IZVORIMA-detaljno'!AP67</f>
        <v>455.96999999999997</v>
      </c>
      <c r="AQ67" s="1385">
        <f t="shared" si="168"/>
        <v>0</v>
      </c>
      <c r="AR67" s="1357"/>
      <c r="AS67" s="1357"/>
      <c r="AT67" s="1370"/>
      <c r="AU67" s="1385">
        <f t="shared" si="169"/>
        <v>0</v>
      </c>
      <c r="AV67" s="1357"/>
      <c r="AW67" s="1358"/>
      <c r="AX67" s="1435"/>
      <c r="AY67" s="1401"/>
      <c r="AZ67" s="1444"/>
      <c r="BA67" s="180"/>
      <c r="BB67" s="178"/>
      <c r="BC67" s="57"/>
      <c r="BD67" s="126">
        <f>J67+M67+P67+T67+W67+Z67+AD67+AH67+AL67+AP67+AT67+AW67</f>
        <v>4045.8500000000004</v>
      </c>
      <c r="BE67" s="74">
        <v>322111</v>
      </c>
      <c r="BG67" s="484"/>
      <c r="BH67" s="484"/>
      <c r="BI67" s="527"/>
    </row>
    <row r="68" spans="1:65" x14ac:dyDescent="0.25">
      <c r="A68" s="45">
        <v>322121</v>
      </c>
      <c r="B68" s="507" t="s">
        <v>39</v>
      </c>
      <c r="C68" s="75">
        <f t="shared" si="245"/>
        <v>906.20479129338378</v>
      </c>
      <c r="D68" s="5"/>
      <c r="E68" s="122">
        <f t="shared" si="246"/>
        <v>955.68000000000006</v>
      </c>
      <c r="F68" s="235">
        <f t="shared" si="12"/>
        <v>105.45960572951756</v>
      </c>
      <c r="G68" s="237">
        <f t="shared" si="13"/>
        <v>0</v>
      </c>
      <c r="H68" s="124"/>
      <c r="I68" s="124"/>
      <c r="J68" s="51"/>
      <c r="K68" s="1287">
        <f t="shared" si="204"/>
        <v>0</v>
      </c>
      <c r="L68" s="52"/>
      <c r="M68" s="51"/>
      <c r="N68" s="1419">
        <f>'izvršenje PO IZVORIMA-detaljno'!V68</f>
        <v>906.20479129338378</v>
      </c>
      <c r="O68" s="1314"/>
      <c r="P68" s="1326">
        <f>'izvršenje PO IZVORIMA-detaljno'!X68</f>
        <v>935.6</v>
      </c>
      <c r="Q68" s="1313">
        <f t="shared" si="162"/>
        <v>0</v>
      </c>
      <c r="R68" s="1314"/>
      <c r="S68" s="1314"/>
      <c r="T68" s="1326">
        <f>'izvršenje PO IZVORIMA-detaljno'!AA68</f>
        <v>0</v>
      </c>
      <c r="U68" s="1313">
        <f t="shared" si="163"/>
        <v>0</v>
      </c>
      <c r="V68" s="1314"/>
      <c r="W68" s="1315"/>
      <c r="X68" s="1307"/>
      <c r="Y68" s="1307"/>
      <c r="Z68" s="1326">
        <f>'izvršenje PO IZVORIMA-detaljno'!AM68+'izvršenje PO IZVORIMA-detaljno'!AJ68+'izvršenje PO IZVORIMA-detaljno'!AC68</f>
        <v>0</v>
      </c>
      <c r="AA68" s="1313">
        <f t="shared" si="164"/>
        <v>0</v>
      </c>
      <c r="AB68" s="1357"/>
      <c r="AC68" s="1357"/>
      <c r="AD68" s="1370"/>
      <c r="AE68" s="1355">
        <f t="shared" si="165"/>
        <v>0</v>
      </c>
      <c r="AF68" s="1372">
        <f>'izvršenje PO IZVORIMA-detaljno'!I68+'izvršenje PO IZVORIMA-detaljno'!O68</f>
        <v>0</v>
      </c>
      <c r="AG68" s="1357"/>
      <c r="AH68" s="1372">
        <f>'izvršenje PO IZVORIMA-detaljno'!K68+'izvršenje PO IZVORIMA-detaljno'!Q68</f>
        <v>0</v>
      </c>
      <c r="AI68" s="1355">
        <f t="shared" si="166"/>
        <v>0</v>
      </c>
      <c r="AJ68" s="1357"/>
      <c r="AK68" s="1357"/>
      <c r="AL68" s="1383">
        <f>'izvršenje PO IZVORIMA-detaljno'!T68+'izvršenje PO IZVORIMA-detaljno'!U68</f>
        <v>0</v>
      </c>
      <c r="AM68" s="1355">
        <f t="shared" si="167"/>
        <v>0</v>
      </c>
      <c r="AN68" s="1372">
        <f>'izvršenje PO IZVORIMA-detaljno'!AN68</f>
        <v>0</v>
      </c>
      <c r="AO68" s="1357"/>
      <c r="AP68" s="1372">
        <f>'izvršenje PO IZVORIMA-detaljno'!AP68</f>
        <v>20.079999999999998</v>
      </c>
      <c r="AQ68" s="1355">
        <f t="shared" si="168"/>
        <v>0</v>
      </c>
      <c r="AR68" s="1357"/>
      <c r="AS68" s="1357"/>
      <c r="AT68" s="1370"/>
      <c r="AU68" s="1355">
        <f t="shared" si="169"/>
        <v>0</v>
      </c>
      <c r="AV68" s="1357"/>
      <c r="AW68" s="1358"/>
      <c r="AX68" s="1435"/>
      <c r="AY68" s="1401"/>
      <c r="AZ68" s="1444"/>
      <c r="BA68" s="180"/>
      <c r="BB68" s="178"/>
      <c r="BC68" s="57"/>
      <c r="BD68" s="126">
        <f>J68+M68+P68+T68+W68+Z68+AD68+AH68+AL68+AP68+AT68+AW68</f>
        <v>955.68000000000006</v>
      </c>
      <c r="BE68" s="45">
        <v>322121</v>
      </c>
      <c r="BG68" s="484"/>
      <c r="BH68" s="484"/>
      <c r="BI68" s="527"/>
    </row>
    <row r="69" spans="1:65" x14ac:dyDescent="0.25">
      <c r="A69" s="45">
        <v>322141</v>
      </c>
      <c r="B69" s="507" t="s">
        <v>40</v>
      </c>
      <c r="C69" s="75">
        <f t="shared" si="245"/>
        <v>4156.8690689494988</v>
      </c>
      <c r="D69" s="5"/>
      <c r="E69" s="122">
        <f t="shared" si="246"/>
        <v>5138.7800000000007</v>
      </c>
      <c r="F69" s="235">
        <f t="shared" si="12"/>
        <v>123.62140627389655</v>
      </c>
      <c r="G69" s="237">
        <f t="shared" si="13"/>
        <v>0</v>
      </c>
      <c r="H69" s="124"/>
      <c r="I69" s="124"/>
      <c r="J69" s="51"/>
      <c r="K69" s="1287">
        <f t="shared" si="204"/>
        <v>0</v>
      </c>
      <c r="L69" s="52"/>
      <c r="M69" s="51"/>
      <c r="N69" s="1419">
        <f>'izvršenje PO IZVORIMA-detaljno'!V69</f>
        <v>4156.8690689494988</v>
      </c>
      <c r="O69" s="1314"/>
      <c r="P69" s="1326">
        <f>'izvršenje PO IZVORIMA-detaljno'!X69</f>
        <v>4594.3500000000004</v>
      </c>
      <c r="Q69" s="1313">
        <f t="shared" si="162"/>
        <v>0</v>
      </c>
      <c r="R69" s="1314"/>
      <c r="S69" s="1314"/>
      <c r="T69" s="1326">
        <f>'izvršenje PO IZVORIMA-detaljno'!AA69</f>
        <v>0</v>
      </c>
      <c r="U69" s="1313">
        <f t="shared" si="163"/>
        <v>0</v>
      </c>
      <c r="V69" s="1314"/>
      <c r="W69" s="1315"/>
      <c r="X69" s="1307"/>
      <c r="Y69" s="1307"/>
      <c r="Z69" s="1326">
        <f>'izvršenje PO IZVORIMA-detaljno'!AM69+'izvršenje PO IZVORIMA-detaljno'!AJ69+'izvršenje PO IZVORIMA-detaljno'!AC69</f>
        <v>0</v>
      </c>
      <c r="AA69" s="1313">
        <f t="shared" si="164"/>
        <v>0</v>
      </c>
      <c r="AB69" s="1357"/>
      <c r="AC69" s="1357"/>
      <c r="AD69" s="1370"/>
      <c r="AE69" s="1355">
        <f t="shared" si="165"/>
        <v>0</v>
      </c>
      <c r="AF69" s="1372">
        <f>'izvršenje PO IZVORIMA-detaljno'!I69+'izvršenje PO IZVORIMA-detaljno'!O69</f>
        <v>0</v>
      </c>
      <c r="AG69" s="1357"/>
      <c r="AH69" s="1372">
        <f>'izvršenje PO IZVORIMA-detaljno'!K69+'izvršenje PO IZVORIMA-detaljno'!Q69</f>
        <v>544.42999999999995</v>
      </c>
      <c r="AI69" s="1355">
        <f t="shared" si="166"/>
        <v>0</v>
      </c>
      <c r="AJ69" s="1357"/>
      <c r="AK69" s="1357"/>
      <c r="AL69" s="1383">
        <f>'izvršenje PO IZVORIMA-detaljno'!T69+'izvršenje PO IZVORIMA-detaljno'!U69</f>
        <v>0</v>
      </c>
      <c r="AM69" s="1355">
        <f t="shared" si="167"/>
        <v>0</v>
      </c>
      <c r="AN69" s="1372">
        <f>'izvršenje PO IZVORIMA-detaljno'!AN69</f>
        <v>0</v>
      </c>
      <c r="AO69" s="1357"/>
      <c r="AP69" s="1372">
        <f>'izvršenje PO IZVORIMA-detaljno'!AP69</f>
        <v>0</v>
      </c>
      <c r="AQ69" s="1355">
        <f t="shared" si="168"/>
        <v>0</v>
      </c>
      <c r="AR69" s="1357"/>
      <c r="AS69" s="1357"/>
      <c r="AT69" s="1370"/>
      <c r="AU69" s="1355">
        <f t="shared" si="169"/>
        <v>0</v>
      </c>
      <c r="AV69" s="1357"/>
      <c r="AW69" s="1358"/>
      <c r="AX69" s="1435"/>
      <c r="AY69" s="1401"/>
      <c r="AZ69" s="1444"/>
      <c r="BA69" s="180"/>
      <c r="BB69" s="178"/>
      <c r="BC69" s="57"/>
      <c r="BD69" s="126">
        <f>J69+M69+P69+T69+W69+Z69+AD69+AH69+AL69+AP69+AT69+AW69</f>
        <v>5138.7800000000007</v>
      </c>
      <c r="BE69" s="45">
        <v>322141</v>
      </c>
      <c r="BG69" s="484"/>
      <c r="BH69" s="484"/>
      <c r="BI69" s="527"/>
    </row>
    <row r="70" spans="1:65" x14ac:dyDescent="0.25">
      <c r="A70" s="45">
        <v>322161</v>
      </c>
      <c r="B70" s="507" t="s">
        <v>41</v>
      </c>
      <c r="C70" s="75">
        <f t="shared" si="245"/>
        <v>6601.2237042935822</v>
      </c>
      <c r="D70" s="5"/>
      <c r="E70" s="122">
        <f t="shared" si="246"/>
        <v>6175.57</v>
      </c>
      <c r="F70" s="235">
        <f t="shared" si="12"/>
        <v>93.551896991208949</v>
      </c>
      <c r="G70" s="237">
        <f t="shared" si="13"/>
        <v>0</v>
      </c>
      <c r="H70" s="124"/>
      <c r="I70" s="124"/>
      <c r="J70" s="51"/>
      <c r="K70" s="1287">
        <f t="shared" si="204"/>
        <v>0</v>
      </c>
      <c r="L70" s="52"/>
      <c r="M70" s="51"/>
      <c r="N70" s="1419">
        <f>'izvršenje PO IZVORIMA-detaljno'!V70</f>
        <v>6601.2237042935822</v>
      </c>
      <c r="O70" s="1314"/>
      <c r="P70" s="1326">
        <f>'izvršenje PO IZVORIMA-detaljno'!X70</f>
        <v>4529.7299999999996</v>
      </c>
      <c r="Q70" s="1313">
        <f t="shared" ref="Q70:Q101" si="247">IF(O70&lt;&gt;0,P70/O70*100,0)</f>
        <v>0</v>
      </c>
      <c r="R70" s="1314"/>
      <c r="S70" s="1314"/>
      <c r="T70" s="1326">
        <f>'izvršenje PO IZVORIMA-detaljno'!AA70</f>
        <v>0</v>
      </c>
      <c r="U70" s="1313">
        <f t="shared" ref="U70:U101" si="248">IF(S70&lt;&gt;0,T70/S70*100,0)</f>
        <v>0</v>
      </c>
      <c r="V70" s="1314"/>
      <c r="W70" s="1315"/>
      <c r="X70" s="1307"/>
      <c r="Y70" s="1307"/>
      <c r="Z70" s="1326">
        <f>'izvršenje PO IZVORIMA-detaljno'!AM70+'izvršenje PO IZVORIMA-detaljno'!AJ70+'izvršenje PO IZVORIMA-detaljno'!AC70</f>
        <v>0</v>
      </c>
      <c r="AA70" s="1313">
        <f t="shared" ref="AA70:AA101" si="249">IF(Y70&lt;&gt;0,Z70/Y70*100,0)</f>
        <v>0</v>
      </c>
      <c r="AB70" s="1357"/>
      <c r="AC70" s="1357"/>
      <c r="AD70" s="1370"/>
      <c r="AE70" s="1355">
        <f t="shared" ref="AE70:AE101" si="250">IF(AC70&lt;&gt;0,AD70/AC70*100,0)</f>
        <v>0</v>
      </c>
      <c r="AF70" s="1372">
        <f>'izvršenje PO IZVORIMA-detaljno'!I70+'izvršenje PO IZVORIMA-detaljno'!O70</f>
        <v>0</v>
      </c>
      <c r="AG70" s="1357"/>
      <c r="AH70" s="1372">
        <f>'izvršenje PO IZVORIMA-detaljno'!K70+'izvršenje PO IZVORIMA-detaljno'!Q70</f>
        <v>723.34</v>
      </c>
      <c r="AI70" s="1355">
        <f t="shared" ref="AI70:AI101" si="251">IF(AG70&lt;&gt;0,AH70/AG70*100,0)</f>
        <v>0</v>
      </c>
      <c r="AJ70" s="1357"/>
      <c r="AK70" s="1357"/>
      <c r="AL70" s="1383">
        <f>'izvršenje PO IZVORIMA-detaljno'!T70+'izvršenje PO IZVORIMA-detaljno'!U70</f>
        <v>0</v>
      </c>
      <c r="AM70" s="1355">
        <f t="shared" ref="AM70:AM101" si="252">IF(AK70&lt;&gt;0,AL70/AK70*100,0)</f>
        <v>0</v>
      </c>
      <c r="AN70" s="1372">
        <f>'izvršenje PO IZVORIMA-detaljno'!AN70</f>
        <v>0</v>
      </c>
      <c r="AO70" s="1357"/>
      <c r="AP70" s="1372">
        <f>'izvršenje PO IZVORIMA-detaljno'!AP70</f>
        <v>922.5</v>
      </c>
      <c r="AQ70" s="1355">
        <f t="shared" ref="AQ70:AQ101" si="253">IF(AO70&lt;&gt;0,AP70/AO70*100,0)</f>
        <v>0</v>
      </c>
      <c r="AR70" s="1357"/>
      <c r="AS70" s="1357"/>
      <c r="AT70" s="1370"/>
      <c r="AU70" s="1355">
        <f t="shared" ref="AU70:AU101" si="254">IF(AS70&lt;&gt;0,AT70/AS70*100,0)</f>
        <v>0</v>
      </c>
      <c r="AV70" s="1357"/>
      <c r="AW70" s="1358"/>
      <c r="AX70" s="1435"/>
      <c r="AY70" s="1401"/>
      <c r="AZ70" s="1444"/>
      <c r="BA70" s="180"/>
      <c r="BB70" s="178"/>
      <c r="BC70" s="57"/>
      <c r="BD70" s="126">
        <f>J70+M70+P70+T70+W70+Z70+AD70+AH70+AL70+AP70+AT70+AW70</f>
        <v>6175.57</v>
      </c>
      <c r="BE70" s="45">
        <v>322161</v>
      </c>
      <c r="BG70" s="484"/>
      <c r="BH70" s="484"/>
      <c r="BI70" s="527"/>
    </row>
    <row r="71" spans="1:65" ht="15.75" thickBot="1" x14ac:dyDescent="0.3">
      <c r="A71" s="46">
        <v>322191</v>
      </c>
      <c r="B71" s="504" t="s">
        <v>42</v>
      </c>
      <c r="C71" s="75">
        <f t="shared" si="245"/>
        <v>5328.1319264715639</v>
      </c>
      <c r="D71" s="4"/>
      <c r="E71" s="122">
        <f t="shared" si="246"/>
        <v>10008.759999999998</v>
      </c>
      <c r="F71" s="236">
        <f t="shared" si="12"/>
        <v>187.84745081618269</v>
      </c>
      <c r="G71" s="238">
        <f t="shared" si="13"/>
        <v>0</v>
      </c>
      <c r="H71" s="124"/>
      <c r="I71" s="124"/>
      <c r="J71" s="51"/>
      <c r="K71" s="1298">
        <f t="shared" si="204"/>
        <v>0</v>
      </c>
      <c r="L71" s="52"/>
      <c r="M71" s="51"/>
      <c r="N71" s="1419">
        <f>'izvršenje PO IZVORIMA-detaljno'!V71</f>
        <v>258.75373282898664</v>
      </c>
      <c r="O71" s="1314"/>
      <c r="P71" s="1326">
        <f>'izvršenje PO IZVORIMA-detaljno'!X71</f>
        <v>82.260000000000019</v>
      </c>
      <c r="Q71" s="1332">
        <f t="shared" si="247"/>
        <v>0</v>
      </c>
      <c r="R71" s="1314"/>
      <c r="S71" s="1314"/>
      <c r="T71" s="1326">
        <f>'izvršenje PO IZVORIMA-detaljno'!AA71</f>
        <v>0</v>
      </c>
      <c r="U71" s="1332">
        <f t="shared" si="248"/>
        <v>0</v>
      </c>
      <c r="V71" s="1314"/>
      <c r="W71" s="1315"/>
      <c r="X71" s="1307"/>
      <c r="Y71" s="1307"/>
      <c r="Z71" s="1326">
        <f>'izvršenje PO IZVORIMA-detaljno'!AM71+'izvršenje PO IZVORIMA-detaljno'!AJ71+'izvršenje PO IZVORIMA-detaljno'!AC71</f>
        <v>0</v>
      </c>
      <c r="AA71" s="1332">
        <f t="shared" si="249"/>
        <v>0</v>
      </c>
      <c r="AB71" s="1357"/>
      <c r="AC71" s="1357"/>
      <c r="AD71" s="1370"/>
      <c r="AE71" s="1386">
        <f t="shared" si="250"/>
        <v>0</v>
      </c>
      <c r="AF71" s="1372">
        <f>'izvršenje PO IZVORIMA-detaljno'!I71+'izvršenje PO IZVORIMA-detaljno'!O71</f>
        <v>0</v>
      </c>
      <c r="AG71" s="1357"/>
      <c r="AH71" s="1372">
        <f>'izvršenje PO IZVORIMA-detaljno'!K71+'izvršenje PO IZVORIMA-detaljno'!Q71</f>
        <v>1579.55</v>
      </c>
      <c r="AI71" s="1386">
        <f t="shared" si="251"/>
        <v>0</v>
      </c>
      <c r="AJ71" s="1357"/>
      <c r="AK71" s="1357"/>
      <c r="AL71" s="1383">
        <f>'izvršenje PO IZVORIMA-detaljno'!T71+'izvršenje PO IZVORIMA-detaljno'!U71</f>
        <v>187.99</v>
      </c>
      <c r="AM71" s="1386">
        <f t="shared" si="252"/>
        <v>0</v>
      </c>
      <c r="AN71" s="1372">
        <f>'izvršenje PO IZVORIMA-detaljno'!AN71</f>
        <v>5069.3781936425776</v>
      </c>
      <c r="AO71" s="1357"/>
      <c r="AP71" s="1372">
        <f>'izvršenje PO IZVORIMA-detaljno'!AP71</f>
        <v>8158.9599999999982</v>
      </c>
      <c r="AQ71" s="1386">
        <f t="shared" si="253"/>
        <v>0</v>
      </c>
      <c r="AR71" s="1357"/>
      <c r="AS71" s="1357"/>
      <c r="AT71" s="1370"/>
      <c r="AU71" s="1386">
        <f t="shared" si="254"/>
        <v>0</v>
      </c>
      <c r="AV71" s="1357"/>
      <c r="AW71" s="1358"/>
      <c r="AX71" s="1435"/>
      <c r="AY71" s="1401"/>
      <c r="AZ71" s="1444"/>
      <c r="BA71" s="180"/>
      <c r="BB71" s="178"/>
      <c r="BC71" s="57"/>
      <c r="BD71" s="126">
        <f>J71+M71+P71+T71+W71+Z71+AD71+AH71+AL71+AP71+AT71+AW71</f>
        <v>10008.759999999998</v>
      </c>
      <c r="BE71" s="46">
        <v>322191</v>
      </c>
      <c r="BG71" s="484"/>
      <c r="BH71" s="484"/>
      <c r="BI71" s="527"/>
    </row>
    <row r="72" spans="1:65" s="1539" customFormat="1" ht="15.75" thickBot="1" x14ac:dyDescent="0.3">
      <c r="A72" s="76">
        <v>3221</v>
      </c>
      <c r="B72" s="505" t="s">
        <v>43</v>
      </c>
      <c r="C72" s="82">
        <f>SUM(C67:C71)</f>
        <v>20254.489348994623</v>
      </c>
      <c r="D72" s="82">
        <f t="shared" ref="D72:E72" si="255">SUM(D67:D71)</f>
        <v>0</v>
      </c>
      <c r="E72" s="83">
        <f t="shared" si="255"/>
        <v>26324.639999999999</v>
      </c>
      <c r="F72" s="1609">
        <f t="shared" si="12"/>
        <v>129.96940849218043</v>
      </c>
      <c r="G72" s="256">
        <f t="shared" si="13"/>
        <v>0</v>
      </c>
      <c r="H72" s="411">
        <f t="shared" ref="H72" si="256">SUM(H67:H71)</f>
        <v>0</v>
      </c>
      <c r="I72" s="115">
        <f t="shared" ref="I72:AP72" si="257">SUM(I67:I71)</f>
        <v>0</v>
      </c>
      <c r="J72" s="82">
        <f>SUM(J67:J71)</f>
        <v>54.19</v>
      </c>
      <c r="K72" s="256">
        <f t="shared" si="204"/>
        <v>0</v>
      </c>
      <c r="L72" s="82">
        <f t="shared" si="257"/>
        <v>0</v>
      </c>
      <c r="M72" s="112">
        <f t="shared" si="257"/>
        <v>0</v>
      </c>
      <c r="N72" s="417">
        <f t="shared" ref="N72" si="258">SUM(N67:N71)</f>
        <v>14729.772380383569</v>
      </c>
      <c r="O72" s="82">
        <f t="shared" si="257"/>
        <v>0</v>
      </c>
      <c r="P72" s="82">
        <f>SUM(P67:P71)</f>
        <v>13245.53</v>
      </c>
      <c r="Q72" s="256">
        <f t="shared" si="247"/>
        <v>0</v>
      </c>
      <c r="R72" s="82">
        <f t="shared" ref="R72" si="259">SUM(R67:R71)</f>
        <v>0</v>
      </c>
      <c r="S72" s="82">
        <f t="shared" si="257"/>
        <v>0</v>
      </c>
      <c r="T72" s="82">
        <f t="shared" si="257"/>
        <v>0</v>
      </c>
      <c r="U72" s="256">
        <f t="shared" si="248"/>
        <v>0</v>
      </c>
      <c r="V72" s="82">
        <f t="shared" si="257"/>
        <v>0</v>
      </c>
      <c r="W72" s="82">
        <f t="shared" si="257"/>
        <v>0</v>
      </c>
      <c r="X72" s="82"/>
      <c r="Y72" s="82">
        <f>'izvršenje PO IZVORIMA-detaljno'!AI72+'izvršenje PO IZVORIMA-detaljno'!AL72+'izvršenje PO IZVORIMA-detaljno'!AB72</f>
        <v>0</v>
      </c>
      <c r="Z72" s="112">
        <f t="shared" si="257"/>
        <v>68.2</v>
      </c>
      <c r="AA72" s="256">
        <f t="shared" si="249"/>
        <v>0</v>
      </c>
      <c r="AB72" s="417"/>
      <c r="AC72" s="417">
        <f>'izvršenje PO IZVORIMA-detaljno'!G72+'izvršenje PO IZVORIMA-detaljno'!M72</f>
        <v>0</v>
      </c>
      <c r="AD72" s="82">
        <f t="shared" si="257"/>
        <v>0</v>
      </c>
      <c r="AE72" s="256">
        <f t="shared" si="250"/>
        <v>0</v>
      </c>
      <c r="AF72" s="108">
        <f>SUM(AF67:AF71)</f>
        <v>455.33877496847828</v>
      </c>
      <c r="AG72" s="108">
        <f>'izvršenje PO IZVORIMA-detaljno'!J72+'izvršenje PO IZVORIMA-detaljno'!P72</f>
        <v>0</v>
      </c>
      <c r="AH72" s="82">
        <f>SUM(AH67:AH71)</f>
        <v>3211.2200000000003</v>
      </c>
      <c r="AI72" s="256">
        <f t="shared" si="251"/>
        <v>0</v>
      </c>
      <c r="AJ72" s="82"/>
      <c r="AK72" s="82">
        <f>'izvršenje PO IZVORIMA-detaljno'!S72</f>
        <v>0</v>
      </c>
      <c r="AL72" s="82">
        <f t="shared" si="257"/>
        <v>187.99</v>
      </c>
      <c r="AM72" s="256">
        <f t="shared" si="252"/>
        <v>0</v>
      </c>
      <c r="AN72" s="82">
        <f>SUM(AN67:AN71)</f>
        <v>5069.3781936425776</v>
      </c>
      <c r="AO72" s="82">
        <f>'izvršenje PO IZVORIMA-detaljno'!AO72</f>
        <v>0</v>
      </c>
      <c r="AP72" s="82">
        <f t="shared" si="257"/>
        <v>9557.5099999999984</v>
      </c>
      <c r="AQ72" s="256">
        <f t="shared" si="253"/>
        <v>0</v>
      </c>
      <c r="AR72" s="82">
        <f>'izvršenje PO IZVORIMA-detaljno'!AQ72</f>
        <v>0</v>
      </c>
      <c r="AS72" s="82">
        <f>'izvršenje PO IZVORIMA-detaljno'!AR72</f>
        <v>0</v>
      </c>
      <c r="AT72" s="82">
        <f t="shared" ref="AT72" si="260">SUM(AT67:AT71)</f>
        <v>0</v>
      </c>
      <c r="AU72" s="256">
        <f t="shared" si="254"/>
        <v>0</v>
      </c>
      <c r="AV72" s="82">
        <f t="shared" ref="AV72:AX72" si="261">SUM(AV67:AV71)</f>
        <v>0</v>
      </c>
      <c r="AW72" s="83">
        <f t="shared" si="261"/>
        <v>0</v>
      </c>
      <c r="AX72" s="407">
        <f t="shared" si="261"/>
        <v>0</v>
      </c>
      <c r="AY72" s="83">
        <f t="shared" ref="AY72:AZ72" si="262">SUM(AY67:AY71)</f>
        <v>0</v>
      </c>
      <c r="AZ72" s="112">
        <f t="shared" si="262"/>
        <v>0</v>
      </c>
      <c r="BA72" s="407">
        <f t="shared" ref="BA72:BB72" si="263">SUM(BA67:BA71)</f>
        <v>0</v>
      </c>
      <c r="BB72" s="83">
        <f t="shared" si="263"/>
        <v>0</v>
      </c>
      <c r="BC72" s="411">
        <f>AV72+AS72+AO72+AK72+AG72+AC72+Y72+V72+S72+O72+L72+I72+AY72</f>
        <v>0</v>
      </c>
      <c r="BD72" s="83">
        <f t="shared" ref="BD72" si="264">SUM(BD67:BD71)</f>
        <v>26324.639999999999</v>
      </c>
      <c r="BE72" s="76">
        <v>3221</v>
      </c>
      <c r="BF72" s="522"/>
      <c r="BG72" s="493"/>
      <c r="BH72" s="493"/>
      <c r="BI72" s="530"/>
      <c r="BJ72" s="493"/>
      <c r="BK72" s="493"/>
      <c r="BL72" s="493"/>
      <c r="BM72" s="493"/>
    </row>
    <row r="73" spans="1:65" s="6" customFormat="1" x14ac:dyDescent="0.25">
      <c r="A73" s="74">
        <v>322221</v>
      </c>
      <c r="B73" s="506" t="s">
        <v>144</v>
      </c>
      <c r="C73" s="75">
        <f t="shared" si="245"/>
        <v>256.15502024022828</v>
      </c>
      <c r="D73" s="75"/>
      <c r="E73" s="122">
        <f t="shared" si="246"/>
        <v>0</v>
      </c>
      <c r="F73" s="249">
        <f t="shared" si="12"/>
        <v>0</v>
      </c>
      <c r="G73" s="250">
        <f t="shared" si="13"/>
        <v>0</v>
      </c>
      <c r="H73" s="124"/>
      <c r="I73" s="124"/>
      <c r="J73" s="51"/>
      <c r="K73" s="1297">
        <f t="shared" si="204"/>
        <v>0</v>
      </c>
      <c r="L73" s="52"/>
      <c r="M73" s="51"/>
      <c r="N73" s="1419">
        <f>'izvršenje PO IZVORIMA-detaljno'!V73</f>
        <v>0</v>
      </c>
      <c r="O73" s="1314"/>
      <c r="P73" s="1326">
        <f>'izvršenje PO IZVORIMA-detaljno'!X73</f>
        <v>0</v>
      </c>
      <c r="Q73" s="1331">
        <f t="shared" si="247"/>
        <v>0</v>
      </c>
      <c r="R73" s="1314"/>
      <c r="S73" s="1314"/>
      <c r="T73" s="1326">
        <f>'izvršenje PO IZVORIMA-detaljno'!AA73</f>
        <v>0</v>
      </c>
      <c r="U73" s="1331">
        <f t="shared" si="248"/>
        <v>0</v>
      </c>
      <c r="V73" s="1314"/>
      <c r="W73" s="1315"/>
      <c r="X73" s="1307"/>
      <c r="Y73" s="1307"/>
      <c r="Z73" s="1315"/>
      <c r="AA73" s="1331">
        <f t="shared" si="249"/>
        <v>0</v>
      </c>
      <c r="AB73" s="1357"/>
      <c r="AC73" s="1357"/>
      <c r="AD73" s="1370"/>
      <c r="AE73" s="1385">
        <f t="shared" si="250"/>
        <v>0</v>
      </c>
      <c r="AF73" s="1357"/>
      <c r="AG73" s="1357"/>
      <c r="AH73" s="1370"/>
      <c r="AI73" s="1385">
        <f t="shared" si="251"/>
        <v>0</v>
      </c>
      <c r="AJ73" s="1357"/>
      <c r="AK73" s="1357"/>
      <c r="AL73" s="1370"/>
      <c r="AM73" s="1385">
        <f t="shared" si="252"/>
        <v>0</v>
      </c>
      <c r="AN73" s="1372">
        <f>'izvršenje PO IZVORIMA-detaljno'!AN73</f>
        <v>256.15502024022828</v>
      </c>
      <c r="AO73" s="1357"/>
      <c r="AP73" s="1372">
        <f>'izvršenje PO IZVORIMA-detaljno'!AP73</f>
        <v>0</v>
      </c>
      <c r="AQ73" s="1385">
        <f t="shared" si="253"/>
        <v>0</v>
      </c>
      <c r="AR73" s="1357"/>
      <c r="AS73" s="1357"/>
      <c r="AT73" s="1370"/>
      <c r="AU73" s="1385">
        <f t="shared" si="254"/>
        <v>0</v>
      </c>
      <c r="AV73" s="1357"/>
      <c r="AW73" s="1358"/>
      <c r="AX73" s="1435"/>
      <c r="AY73" s="1401"/>
      <c r="AZ73" s="1444"/>
      <c r="BA73" s="180"/>
      <c r="BB73" s="178"/>
      <c r="BC73" s="57"/>
      <c r="BD73" s="126">
        <f>J73+M73+P73+T73+W73+Z73+AD73+AH73+AL73+AP73+AT73+AW73</f>
        <v>0</v>
      </c>
      <c r="BE73" s="74">
        <v>322221</v>
      </c>
      <c r="BF73" s="518"/>
      <c r="BG73" s="493"/>
      <c r="BH73" s="493"/>
      <c r="BI73" s="530"/>
      <c r="BJ73" s="487"/>
      <c r="BK73" s="487"/>
      <c r="BL73" s="487"/>
      <c r="BM73" s="487"/>
    </row>
    <row r="74" spans="1:65" ht="15.75" thickBot="1" x14ac:dyDescent="0.3">
      <c r="A74" s="46">
        <v>322241</v>
      </c>
      <c r="B74" s="504" t="s">
        <v>141</v>
      </c>
      <c r="C74" s="75">
        <f t="shared" si="245"/>
        <v>0</v>
      </c>
      <c r="D74" s="14"/>
      <c r="E74" s="122">
        <f t="shared" si="246"/>
        <v>19.13</v>
      </c>
      <c r="F74" s="236">
        <f t="shared" si="12"/>
        <v>0</v>
      </c>
      <c r="G74" s="238">
        <f t="shared" si="13"/>
        <v>0</v>
      </c>
      <c r="H74" s="124"/>
      <c r="I74" s="124"/>
      <c r="J74" s="51"/>
      <c r="K74" s="1298">
        <f t="shared" si="204"/>
        <v>0</v>
      </c>
      <c r="L74" s="52"/>
      <c r="M74" s="51"/>
      <c r="N74" s="1419">
        <f>'izvršenje PO IZVORIMA-detaljno'!V74</f>
        <v>0</v>
      </c>
      <c r="O74" s="1314"/>
      <c r="P74" s="1326">
        <f>'izvršenje PO IZVORIMA-detaljno'!X74</f>
        <v>0</v>
      </c>
      <c r="Q74" s="1332">
        <f t="shared" si="247"/>
        <v>0</v>
      </c>
      <c r="R74" s="1314"/>
      <c r="S74" s="1314"/>
      <c r="T74" s="1326">
        <f>'izvršenje PO IZVORIMA-detaljno'!AA74</f>
        <v>0</v>
      </c>
      <c r="U74" s="1332">
        <f t="shared" si="248"/>
        <v>0</v>
      </c>
      <c r="V74" s="1314"/>
      <c r="W74" s="1315"/>
      <c r="X74" s="1307"/>
      <c r="Y74" s="1307"/>
      <c r="Z74" s="1326">
        <f>'izvršenje PO IZVORIMA-detaljno'!AM74</f>
        <v>19.13</v>
      </c>
      <c r="AA74" s="1332">
        <f t="shared" si="249"/>
        <v>0</v>
      </c>
      <c r="AB74" s="1357"/>
      <c r="AC74" s="1357"/>
      <c r="AD74" s="1370"/>
      <c r="AE74" s="1386">
        <f t="shared" si="250"/>
        <v>0</v>
      </c>
      <c r="AF74" s="1357"/>
      <c r="AG74" s="1357"/>
      <c r="AH74" s="1370"/>
      <c r="AI74" s="1386">
        <f t="shared" si="251"/>
        <v>0</v>
      </c>
      <c r="AJ74" s="1357"/>
      <c r="AK74" s="1357"/>
      <c r="AL74" s="1370"/>
      <c r="AM74" s="1386">
        <f t="shared" si="252"/>
        <v>0</v>
      </c>
      <c r="AN74" s="1370"/>
      <c r="AO74" s="1357"/>
      <c r="AP74" s="1370"/>
      <c r="AQ74" s="1386">
        <f t="shared" si="253"/>
        <v>0</v>
      </c>
      <c r="AR74" s="1357"/>
      <c r="AS74" s="1357"/>
      <c r="AT74" s="1370"/>
      <c r="AU74" s="1386">
        <f t="shared" si="254"/>
        <v>0</v>
      </c>
      <c r="AV74" s="1357"/>
      <c r="AW74" s="1358"/>
      <c r="AX74" s="1435"/>
      <c r="AY74" s="1401"/>
      <c r="AZ74" s="1444"/>
      <c r="BA74" s="180"/>
      <c r="BB74" s="178"/>
      <c r="BC74" s="57"/>
      <c r="BD74" s="126">
        <f>J74+M74+P74+T74+W74+Z74+AD74+AH74+AL74+AP74+AT74+AW74</f>
        <v>19.13</v>
      </c>
      <c r="BE74" s="46">
        <v>322241</v>
      </c>
      <c r="BG74" s="484"/>
      <c r="BH74" s="484"/>
      <c r="BI74" s="527"/>
    </row>
    <row r="75" spans="1:65" s="22" customFormat="1" ht="15.75" thickBot="1" x14ac:dyDescent="0.3">
      <c r="A75" s="76">
        <v>3222</v>
      </c>
      <c r="B75" s="505" t="s">
        <v>148</v>
      </c>
      <c r="C75" s="82">
        <f>SUM(C73:C74)</f>
        <v>256.15502024022828</v>
      </c>
      <c r="D75" s="82">
        <f t="shared" ref="D75:E75" si="265">D73+D74</f>
        <v>0</v>
      </c>
      <c r="E75" s="83">
        <f t="shared" si="265"/>
        <v>19.13</v>
      </c>
      <c r="F75" s="1609">
        <f t="shared" si="12"/>
        <v>7.4681339378238345</v>
      </c>
      <c r="G75" s="256">
        <f t="shared" si="13"/>
        <v>0</v>
      </c>
      <c r="H75" s="411">
        <f t="shared" ref="H75" si="266">H73+H74</f>
        <v>0</v>
      </c>
      <c r="I75" s="115">
        <f t="shared" ref="I75:AP75" si="267">I73+I74</f>
        <v>0</v>
      </c>
      <c r="J75" s="82">
        <f t="shared" si="267"/>
        <v>0</v>
      </c>
      <c r="K75" s="256">
        <f t="shared" si="204"/>
        <v>0</v>
      </c>
      <c r="L75" s="82">
        <f t="shared" si="267"/>
        <v>0</v>
      </c>
      <c r="M75" s="112">
        <f t="shared" si="267"/>
        <v>0</v>
      </c>
      <c r="N75" s="417">
        <f t="shared" ref="N75" si="268">N73+N74</f>
        <v>0</v>
      </c>
      <c r="O75" s="82">
        <f t="shared" si="267"/>
        <v>0</v>
      </c>
      <c r="P75" s="82">
        <f t="shared" si="267"/>
        <v>0</v>
      </c>
      <c r="Q75" s="256">
        <f t="shared" si="247"/>
        <v>0</v>
      </c>
      <c r="R75" s="82">
        <f t="shared" ref="R75" si="269">R73+R74</f>
        <v>0</v>
      </c>
      <c r="S75" s="82">
        <f t="shared" si="267"/>
        <v>0</v>
      </c>
      <c r="T75" s="82">
        <f t="shared" si="267"/>
        <v>0</v>
      </c>
      <c r="U75" s="256">
        <f t="shared" si="248"/>
        <v>0</v>
      </c>
      <c r="V75" s="82">
        <f t="shared" si="267"/>
        <v>0</v>
      </c>
      <c r="W75" s="82">
        <f t="shared" si="267"/>
        <v>0</v>
      </c>
      <c r="X75" s="82"/>
      <c r="Y75" s="82">
        <f>'izvršenje PO IZVORIMA-detaljno'!AI75+'izvršenje PO IZVORIMA-detaljno'!AL75+'izvršenje PO IZVORIMA-detaljno'!AB75</f>
        <v>0</v>
      </c>
      <c r="Z75" s="112">
        <f>Z73+Z74</f>
        <v>19.13</v>
      </c>
      <c r="AA75" s="256">
        <f t="shared" si="249"/>
        <v>0</v>
      </c>
      <c r="AB75" s="417"/>
      <c r="AC75" s="417">
        <f>'izvršenje PO IZVORIMA-detaljno'!G75+'izvršenje PO IZVORIMA-detaljno'!M75</f>
        <v>0</v>
      </c>
      <c r="AD75" s="82">
        <f t="shared" si="267"/>
        <v>0</v>
      </c>
      <c r="AE75" s="256">
        <f t="shared" si="250"/>
        <v>0</v>
      </c>
      <c r="AF75" s="108"/>
      <c r="AG75" s="108">
        <f>'izvršenje PO IZVORIMA-detaljno'!J75+'izvršenje PO IZVORIMA-detaljno'!P75</f>
        <v>0</v>
      </c>
      <c r="AH75" s="82">
        <f t="shared" si="267"/>
        <v>0</v>
      </c>
      <c r="AI75" s="256">
        <f t="shared" si="251"/>
        <v>0</v>
      </c>
      <c r="AJ75" s="82"/>
      <c r="AK75" s="82">
        <f>'izvršenje PO IZVORIMA-detaljno'!S75</f>
        <v>0</v>
      </c>
      <c r="AL75" s="82">
        <f t="shared" si="267"/>
        <v>0</v>
      </c>
      <c r="AM75" s="256">
        <f t="shared" si="252"/>
        <v>0</v>
      </c>
      <c r="AN75" s="82">
        <f>SUM(AN73:AN74)</f>
        <v>256.15502024022828</v>
      </c>
      <c r="AO75" s="82">
        <f>'izvršenje PO IZVORIMA-detaljno'!AO75</f>
        <v>0</v>
      </c>
      <c r="AP75" s="82">
        <f t="shared" si="267"/>
        <v>0</v>
      </c>
      <c r="AQ75" s="256">
        <f t="shared" si="253"/>
        <v>0</v>
      </c>
      <c r="AR75" s="82">
        <f>'izvršenje PO IZVORIMA-detaljno'!AQ75</f>
        <v>0</v>
      </c>
      <c r="AS75" s="82">
        <f>'izvršenje PO IZVORIMA-detaljno'!AR75</f>
        <v>0</v>
      </c>
      <c r="AT75" s="82">
        <f t="shared" ref="AT75" si="270">AT73+AT74</f>
        <v>0</v>
      </c>
      <c r="AU75" s="256">
        <f t="shared" si="254"/>
        <v>0</v>
      </c>
      <c r="AV75" s="82">
        <f t="shared" ref="AV75:AX75" si="271">AV73+AV74</f>
        <v>0</v>
      </c>
      <c r="AW75" s="83">
        <f t="shared" si="271"/>
        <v>0</v>
      </c>
      <c r="AX75" s="407">
        <f t="shared" si="271"/>
        <v>0</v>
      </c>
      <c r="AY75" s="83">
        <f t="shared" ref="AY75:AZ75" si="272">AY73+AY74</f>
        <v>0</v>
      </c>
      <c r="AZ75" s="112">
        <f t="shared" si="272"/>
        <v>0</v>
      </c>
      <c r="BA75" s="407">
        <f t="shared" ref="BA75:BB75" si="273">BA73+BA74</f>
        <v>0</v>
      </c>
      <c r="BB75" s="83">
        <f t="shared" si="273"/>
        <v>0</v>
      </c>
      <c r="BC75" s="411">
        <f>AV75+AS75+AO75+AK75+AG75+AC75+Y75+V75+S75+O75+L75+I75+AY75</f>
        <v>0</v>
      </c>
      <c r="BD75" s="83">
        <f t="shared" ref="BD75" si="274">BD73+BD74</f>
        <v>19.13</v>
      </c>
      <c r="BE75" s="76">
        <v>3222</v>
      </c>
      <c r="BF75" s="522"/>
      <c r="BG75" s="484"/>
      <c r="BH75" s="484"/>
      <c r="BI75" s="527"/>
      <c r="BJ75" s="484"/>
      <c r="BK75" s="484"/>
      <c r="BL75" s="484"/>
      <c r="BM75" s="484"/>
    </row>
    <row r="76" spans="1:65" x14ac:dyDescent="0.25">
      <c r="A76" s="74">
        <v>322311</v>
      </c>
      <c r="B76" s="506" t="s">
        <v>44</v>
      </c>
      <c r="C76" s="75">
        <f t="shared" si="245"/>
        <v>6653.9478399362924</v>
      </c>
      <c r="D76" s="75"/>
      <c r="E76" s="122">
        <f t="shared" si="246"/>
        <v>15614.829999999998</v>
      </c>
      <c r="F76" s="249">
        <f t="shared" si="12"/>
        <v>234.67015936436169</v>
      </c>
      <c r="G76" s="250">
        <f t="shared" si="13"/>
        <v>0</v>
      </c>
      <c r="H76" s="124"/>
      <c r="I76" s="124"/>
      <c r="J76" s="176">
        <f>'izvršenje PO IZVORIMA-detaljno'!E76</f>
        <v>0</v>
      </c>
      <c r="K76" s="1297">
        <f t="shared" si="204"/>
        <v>0</v>
      </c>
      <c r="L76" s="52"/>
      <c r="M76" s="51"/>
      <c r="N76" s="1419">
        <f>'izvršenje PO IZVORIMA-detaljno'!V76</f>
        <v>6653.9478399362924</v>
      </c>
      <c r="O76" s="1314"/>
      <c r="P76" s="1326">
        <f>'izvršenje PO IZVORIMA-detaljno'!X76</f>
        <v>14110.329999999998</v>
      </c>
      <c r="Q76" s="1331">
        <f t="shared" si="247"/>
        <v>0</v>
      </c>
      <c r="R76" s="1314"/>
      <c r="S76" s="1314"/>
      <c r="T76" s="1326">
        <f>'izvršenje PO IZVORIMA-detaljno'!AA76</f>
        <v>0</v>
      </c>
      <c r="U76" s="1331">
        <f t="shared" si="248"/>
        <v>0</v>
      </c>
      <c r="V76" s="1314"/>
      <c r="W76" s="1315"/>
      <c r="X76" s="1307"/>
      <c r="Y76" s="1307"/>
      <c r="Z76" s="1326">
        <f>'izvršenje PO IZVORIMA-detaljno'!AM76+'izvršenje PO IZVORIMA-detaljno'!AJ76+'izvršenje PO IZVORIMA-detaljno'!AC76</f>
        <v>0</v>
      </c>
      <c r="AA76" s="1331">
        <f t="shared" si="249"/>
        <v>0</v>
      </c>
      <c r="AB76" s="1357"/>
      <c r="AC76" s="1357"/>
      <c r="AD76" s="1372">
        <f>'izvršenje PO IZVORIMA-detaljno'!H76+'izvršenje PO IZVORIMA-detaljno'!N76</f>
        <v>0</v>
      </c>
      <c r="AE76" s="1385">
        <f t="shared" si="250"/>
        <v>0</v>
      </c>
      <c r="AF76" s="1357"/>
      <c r="AG76" s="1357"/>
      <c r="AH76" s="1372">
        <f>'izvršenje PO IZVORIMA-detaljno'!K76+'izvršenje PO IZVORIMA-detaljno'!Q76</f>
        <v>1504.5</v>
      </c>
      <c r="AI76" s="1385">
        <f t="shared" si="251"/>
        <v>0</v>
      </c>
      <c r="AJ76" s="1357"/>
      <c r="AK76" s="1357"/>
      <c r="AL76" s="1383">
        <f>'izvršenje PO IZVORIMA-detaljno'!T76+'izvršenje PO IZVORIMA-detaljno'!U76</f>
        <v>0</v>
      </c>
      <c r="AM76" s="1385">
        <f t="shared" si="252"/>
        <v>0</v>
      </c>
      <c r="AN76" s="1370"/>
      <c r="AO76" s="1357"/>
      <c r="AP76" s="1372">
        <f>'izvršenje PO IZVORIMA-detaljno'!AP76</f>
        <v>0</v>
      </c>
      <c r="AQ76" s="1385">
        <f t="shared" si="253"/>
        <v>0</v>
      </c>
      <c r="AR76" s="1357"/>
      <c r="AS76" s="1357"/>
      <c r="AT76" s="1370"/>
      <c r="AU76" s="1385">
        <f t="shared" si="254"/>
        <v>0</v>
      </c>
      <c r="AV76" s="1357"/>
      <c r="AW76" s="1358"/>
      <c r="AX76" s="1435"/>
      <c r="AY76" s="1401"/>
      <c r="AZ76" s="1444"/>
      <c r="BA76" s="180"/>
      <c r="BB76" s="178"/>
      <c r="BC76" s="57"/>
      <c r="BD76" s="126">
        <f>J76+M76+P76+T76+W76+Z76+AD76+AH76+AL76+AP76+AT76+AW76</f>
        <v>15614.829999999998</v>
      </c>
      <c r="BE76" s="74">
        <v>322311</v>
      </c>
      <c r="BG76" s="484"/>
      <c r="BH76" s="484"/>
      <c r="BI76" s="527"/>
    </row>
    <row r="77" spans="1:65" x14ac:dyDescent="0.25">
      <c r="A77" s="45">
        <v>322331</v>
      </c>
      <c r="B77" s="507" t="s">
        <v>45</v>
      </c>
      <c r="C77" s="75">
        <f t="shared" si="245"/>
        <v>7309.0716039551389</v>
      </c>
      <c r="D77" s="13"/>
      <c r="E77" s="122">
        <f t="shared" si="246"/>
        <v>15274.849999999999</v>
      </c>
      <c r="F77" s="235">
        <f t="shared" ref="F77:F140" si="275">IF(C77&lt;&gt;0,E77/C77*100,0)</f>
        <v>208.98481815028819</v>
      </c>
      <c r="G77" s="237">
        <f t="shared" ref="G77:G140" si="276">IF(D77&lt;&gt;0,E77/D77*100,0)</f>
        <v>0</v>
      </c>
      <c r="H77" s="124"/>
      <c r="I77" s="124"/>
      <c r="J77" s="176">
        <f>'izvršenje PO IZVORIMA-detaljno'!E77</f>
        <v>0</v>
      </c>
      <c r="K77" s="1287">
        <f t="shared" si="204"/>
        <v>0</v>
      </c>
      <c r="L77" s="52"/>
      <c r="M77" s="51"/>
      <c r="N77" s="1419">
        <f>'izvršenje PO IZVORIMA-detaljno'!V77</f>
        <v>7309.0716039551389</v>
      </c>
      <c r="O77" s="1314"/>
      <c r="P77" s="1326">
        <f>'izvršenje PO IZVORIMA-detaljno'!X77</f>
        <v>14503.819999999998</v>
      </c>
      <c r="Q77" s="1313">
        <f t="shared" si="247"/>
        <v>0</v>
      </c>
      <c r="R77" s="1314"/>
      <c r="S77" s="1314"/>
      <c r="T77" s="1326">
        <f>'izvršenje PO IZVORIMA-detaljno'!AA77</f>
        <v>0</v>
      </c>
      <c r="U77" s="1313">
        <f t="shared" si="248"/>
        <v>0</v>
      </c>
      <c r="V77" s="1314"/>
      <c r="W77" s="1315"/>
      <c r="X77" s="1307"/>
      <c r="Y77" s="1307"/>
      <c r="Z77" s="1326">
        <f>'izvršenje PO IZVORIMA-detaljno'!AM77+'izvršenje PO IZVORIMA-detaljno'!AJ77+'izvršenje PO IZVORIMA-detaljno'!AC77</f>
        <v>0</v>
      </c>
      <c r="AA77" s="1313">
        <f t="shared" si="249"/>
        <v>0</v>
      </c>
      <c r="AB77" s="1357"/>
      <c r="AC77" s="1357"/>
      <c r="AD77" s="1372">
        <f>'izvršenje PO IZVORIMA-detaljno'!H77+'izvršenje PO IZVORIMA-detaljno'!N77</f>
        <v>0</v>
      </c>
      <c r="AE77" s="1355">
        <f t="shared" si="250"/>
        <v>0</v>
      </c>
      <c r="AF77" s="1357"/>
      <c r="AG77" s="1357"/>
      <c r="AH77" s="1372">
        <f>'izvršenje PO IZVORIMA-detaljno'!K77+'izvršenje PO IZVORIMA-detaljno'!Q77</f>
        <v>771.03</v>
      </c>
      <c r="AI77" s="1355">
        <f t="shared" si="251"/>
        <v>0</v>
      </c>
      <c r="AJ77" s="1357"/>
      <c r="AK77" s="1357"/>
      <c r="AL77" s="1383">
        <f>'izvršenje PO IZVORIMA-detaljno'!T77+'izvršenje PO IZVORIMA-detaljno'!U77</f>
        <v>0</v>
      </c>
      <c r="AM77" s="1355">
        <f t="shared" si="252"/>
        <v>0</v>
      </c>
      <c r="AN77" s="1372">
        <f>'izvršenje PO IZVORIMA-detaljno'!AN77</f>
        <v>0</v>
      </c>
      <c r="AO77" s="1357"/>
      <c r="AP77" s="1372">
        <f>'izvršenje PO IZVORIMA-detaljno'!AP77</f>
        <v>0</v>
      </c>
      <c r="AQ77" s="1355">
        <f t="shared" si="253"/>
        <v>0</v>
      </c>
      <c r="AR77" s="1357"/>
      <c r="AS77" s="1357"/>
      <c r="AT77" s="1370"/>
      <c r="AU77" s="1355">
        <f t="shared" si="254"/>
        <v>0</v>
      </c>
      <c r="AV77" s="1357"/>
      <c r="AW77" s="1358"/>
      <c r="AX77" s="1435"/>
      <c r="AY77" s="1401"/>
      <c r="AZ77" s="1444"/>
      <c r="BA77" s="180"/>
      <c r="BB77" s="178"/>
      <c r="BC77" s="57"/>
      <c r="BD77" s="126">
        <f>J77+M77+P77+T77+W77+Z77+AD77+AH77+AL77+AP77+AT77+AW77</f>
        <v>15274.849999999999</v>
      </c>
      <c r="BE77" s="45">
        <v>322331</v>
      </c>
      <c r="BG77" s="484"/>
      <c r="BH77" s="484"/>
      <c r="BI77" s="527"/>
    </row>
    <row r="78" spans="1:65" ht="15.75" thickBot="1" x14ac:dyDescent="0.3">
      <c r="A78" s="46">
        <v>322341</v>
      </c>
      <c r="B78" s="504" t="s">
        <v>46</v>
      </c>
      <c r="C78" s="75">
        <f t="shared" si="245"/>
        <v>17.749021169287939</v>
      </c>
      <c r="D78" s="14"/>
      <c r="E78" s="122">
        <f t="shared" si="246"/>
        <v>49.54</v>
      </c>
      <c r="F78" s="236">
        <f t="shared" si="275"/>
        <v>279.11398339938683</v>
      </c>
      <c r="G78" s="238">
        <f t="shared" si="276"/>
        <v>0</v>
      </c>
      <c r="H78" s="124"/>
      <c r="I78" s="124"/>
      <c r="J78" s="176">
        <f>'izvršenje PO IZVORIMA-detaljno'!E78</f>
        <v>0</v>
      </c>
      <c r="K78" s="1298">
        <f t="shared" si="204"/>
        <v>0</v>
      </c>
      <c r="L78" s="52"/>
      <c r="M78" s="51"/>
      <c r="N78" s="1419">
        <f>'izvršenje PO IZVORIMA-detaljno'!V78</f>
        <v>17.749021169287939</v>
      </c>
      <c r="O78" s="1314"/>
      <c r="P78" s="1326">
        <f>'izvršenje PO IZVORIMA-detaljno'!X78</f>
        <v>49.54</v>
      </c>
      <c r="Q78" s="1332">
        <f t="shared" si="247"/>
        <v>0</v>
      </c>
      <c r="R78" s="1314"/>
      <c r="S78" s="1314"/>
      <c r="T78" s="1326">
        <f>'izvršenje PO IZVORIMA-detaljno'!AA78</f>
        <v>0</v>
      </c>
      <c r="U78" s="1332">
        <f t="shared" si="248"/>
        <v>0</v>
      </c>
      <c r="V78" s="1314"/>
      <c r="W78" s="1315"/>
      <c r="X78" s="1307"/>
      <c r="Y78" s="1307"/>
      <c r="Z78" s="1326">
        <f>'izvršenje PO IZVORIMA-detaljno'!AM78+'izvršenje PO IZVORIMA-detaljno'!AJ78+'izvršenje PO IZVORIMA-detaljno'!AC78</f>
        <v>0</v>
      </c>
      <c r="AA78" s="1332">
        <f t="shared" si="249"/>
        <v>0</v>
      </c>
      <c r="AB78" s="1357"/>
      <c r="AC78" s="1357"/>
      <c r="AD78" s="1372">
        <f>'izvršenje PO IZVORIMA-detaljno'!H78+'izvršenje PO IZVORIMA-detaljno'!N78</f>
        <v>0</v>
      </c>
      <c r="AE78" s="1386">
        <f t="shared" si="250"/>
        <v>0</v>
      </c>
      <c r="AF78" s="1357"/>
      <c r="AG78" s="1357"/>
      <c r="AH78" s="1372">
        <f>'izvršenje PO IZVORIMA-detaljno'!K78+'izvršenje PO IZVORIMA-detaljno'!Q78</f>
        <v>0</v>
      </c>
      <c r="AI78" s="1386">
        <f t="shared" si="251"/>
        <v>0</v>
      </c>
      <c r="AJ78" s="1357"/>
      <c r="AK78" s="1357"/>
      <c r="AL78" s="1383">
        <f>'izvršenje PO IZVORIMA-detaljno'!T78+'izvršenje PO IZVORIMA-detaljno'!U78</f>
        <v>0</v>
      </c>
      <c r="AM78" s="1386">
        <f t="shared" si="252"/>
        <v>0</v>
      </c>
      <c r="AN78" s="1370"/>
      <c r="AO78" s="1357"/>
      <c r="AP78" s="1372">
        <f>'izvršenje PO IZVORIMA-detaljno'!AP78</f>
        <v>0</v>
      </c>
      <c r="AQ78" s="1386">
        <f t="shared" si="253"/>
        <v>0</v>
      </c>
      <c r="AR78" s="1357"/>
      <c r="AS78" s="1357"/>
      <c r="AT78" s="1370"/>
      <c r="AU78" s="1386">
        <f t="shared" si="254"/>
        <v>0</v>
      </c>
      <c r="AV78" s="1357"/>
      <c r="AW78" s="1358"/>
      <c r="AX78" s="1435"/>
      <c r="AY78" s="1401"/>
      <c r="AZ78" s="1444"/>
      <c r="BA78" s="180"/>
      <c r="BB78" s="178"/>
      <c r="BC78" s="57"/>
      <c r="BD78" s="126">
        <f>J78+M78+P78+T78+W78+Z78+AD78+AH78+AL78+AP78+AT78+AW78</f>
        <v>49.54</v>
      </c>
      <c r="BE78" s="46">
        <v>322341</v>
      </c>
      <c r="BG78" s="484"/>
      <c r="BH78" s="484"/>
      <c r="BI78" s="527"/>
    </row>
    <row r="79" spans="1:65" s="1539" customFormat="1" ht="15.75" thickBot="1" x14ac:dyDescent="0.3">
      <c r="A79" s="76">
        <v>3223</v>
      </c>
      <c r="B79" s="505" t="s">
        <v>47</v>
      </c>
      <c r="C79" s="82">
        <f>SUM(C76:C78)</f>
        <v>13980.768465060719</v>
      </c>
      <c r="D79" s="82">
        <f t="shared" ref="D79:E79" si="277">D76+D77+D78</f>
        <v>0</v>
      </c>
      <c r="E79" s="83">
        <f t="shared" si="277"/>
        <v>30939.219999999998</v>
      </c>
      <c r="F79" s="1609">
        <f t="shared" si="275"/>
        <v>221.29842202394005</v>
      </c>
      <c r="G79" s="256">
        <f t="shared" si="276"/>
        <v>0</v>
      </c>
      <c r="H79" s="411">
        <f t="shared" ref="H79" si="278">H76+H77+H78</f>
        <v>0</v>
      </c>
      <c r="I79" s="115">
        <f t="shared" ref="I79:AP79" si="279">I76+I77+I78</f>
        <v>0</v>
      </c>
      <c r="J79" s="82">
        <f t="shared" si="279"/>
        <v>0</v>
      </c>
      <c r="K79" s="256">
        <f t="shared" si="204"/>
        <v>0</v>
      </c>
      <c r="L79" s="82">
        <f t="shared" si="279"/>
        <v>0</v>
      </c>
      <c r="M79" s="112">
        <f t="shared" si="279"/>
        <v>0</v>
      </c>
      <c r="N79" s="417">
        <f t="shared" ref="N79" si="280">N76+N77+N78</f>
        <v>13980.768465060719</v>
      </c>
      <c r="O79" s="82">
        <f t="shared" si="279"/>
        <v>0</v>
      </c>
      <c r="P79" s="82">
        <f>P76+P77+P78</f>
        <v>28663.689999999995</v>
      </c>
      <c r="Q79" s="256">
        <f t="shared" si="247"/>
        <v>0</v>
      </c>
      <c r="R79" s="82">
        <f t="shared" ref="R79" si="281">R76+R77+R78</f>
        <v>0</v>
      </c>
      <c r="S79" s="82">
        <f t="shared" si="279"/>
        <v>0</v>
      </c>
      <c r="T79" s="82">
        <f t="shared" si="279"/>
        <v>0</v>
      </c>
      <c r="U79" s="256">
        <f t="shared" si="248"/>
        <v>0</v>
      </c>
      <c r="V79" s="82">
        <f t="shared" si="279"/>
        <v>0</v>
      </c>
      <c r="W79" s="82">
        <f t="shared" si="279"/>
        <v>0</v>
      </c>
      <c r="X79" s="82"/>
      <c r="Y79" s="82">
        <f>'izvršenje PO IZVORIMA-detaljno'!AI79+'izvršenje PO IZVORIMA-detaljno'!AL79+'izvršenje PO IZVORIMA-detaljno'!AB79</f>
        <v>0</v>
      </c>
      <c r="Z79" s="112">
        <f t="shared" si="279"/>
        <v>0</v>
      </c>
      <c r="AA79" s="256">
        <f t="shared" si="249"/>
        <v>0</v>
      </c>
      <c r="AB79" s="417"/>
      <c r="AC79" s="417">
        <f>'izvršenje PO IZVORIMA-detaljno'!G79+'izvršenje PO IZVORIMA-detaljno'!M79</f>
        <v>0</v>
      </c>
      <c r="AD79" s="82">
        <f t="shared" si="279"/>
        <v>0</v>
      </c>
      <c r="AE79" s="256">
        <f t="shared" si="250"/>
        <v>0</v>
      </c>
      <c r="AF79" s="108"/>
      <c r="AG79" s="108">
        <f>'izvršenje PO IZVORIMA-detaljno'!J79+'izvršenje PO IZVORIMA-detaljno'!P79</f>
        <v>0</v>
      </c>
      <c r="AH79" s="82">
        <f>AH76+AH77+AH78</f>
        <v>2275.5299999999997</v>
      </c>
      <c r="AI79" s="256">
        <f t="shared" si="251"/>
        <v>0</v>
      </c>
      <c r="AJ79" s="82"/>
      <c r="AK79" s="82">
        <f>'izvršenje PO IZVORIMA-detaljno'!S79</f>
        <v>0</v>
      </c>
      <c r="AL79" s="82">
        <f t="shared" si="279"/>
        <v>0</v>
      </c>
      <c r="AM79" s="256">
        <f t="shared" si="252"/>
        <v>0</v>
      </c>
      <c r="AN79" s="82"/>
      <c r="AO79" s="82">
        <f>'izvršenje PO IZVORIMA-detaljno'!AO79</f>
        <v>0</v>
      </c>
      <c r="AP79" s="82">
        <f t="shared" si="279"/>
        <v>0</v>
      </c>
      <c r="AQ79" s="256">
        <f t="shared" si="253"/>
        <v>0</v>
      </c>
      <c r="AR79" s="82">
        <f>'izvršenje PO IZVORIMA-detaljno'!AQ79</f>
        <v>0</v>
      </c>
      <c r="AS79" s="82">
        <f>'izvršenje PO IZVORIMA-detaljno'!AR79</f>
        <v>0</v>
      </c>
      <c r="AT79" s="82">
        <f t="shared" ref="AT79" si="282">AT76+AT77+AT78</f>
        <v>0</v>
      </c>
      <c r="AU79" s="256">
        <f t="shared" si="254"/>
        <v>0</v>
      </c>
      <c r="AV79" s="82">
        <f t="shared" ref="AV79:AX79" si="283">AV76+AV77+AV78</f>
        <v>0</v>
      </c>
      <c r="AW79" s="83">
        <f t="shared" si="283"/>
        <v>0</v>
      </c>
      <c r="AX79" s="407">
        <f t="shared" si="283"/>
        <v>0</v>
      </c>
      <c r="AY79" s="83">
        <f t="shared" ref="AY79:AZ79" si="284">AY76+AY77+AY78</f>
        <v>0</v>
      </c>
      <c r="AZ79" s="112">
        <f t="shared" si="284"/>
        <v>0</v>
      </c>
      <c r="BA79" s="407">
        <f t="shared" ref="BA79:BB79" si="285">BA76+BA77+BA78</f>
        <v>0</v>
      </c>
      <c r="BB79" s="83">
        <f t="shared" si="285"/>
        <v>0</v>
      </c>
      <c r="BC79" s="411">
        <f>AV79+AS79+AO79+AK79+AG79+AC79+Y79+V79+S79+O79+L79+I79+AY79</f>
        <v>0</v>
      </c>
      <c r="BD79" s="83">
        <f t="shared" ref="BD79" si="286">BD76+BD77+BD78</f>
        <v>30939.219999999998</v>
      </c>
      <c r="BE79" s="76">
        <v>3223</v>
      </c>
      <c r="BF79" s="522"/>
      <c r="BG79" s="493"/>
      <c r="BH79" s="493"/>
      <c r="BI79" s="530"/>
      <c r="BJ79" s="493"/>
      <c r="BK79" s="493"/>
      <c r="BL79" s="493"/>
      <c r="BM79" s="493"/>
    </row>
    <row r="80" spans="1:65" x14ac:dyDescent="0.25">
      <c r="A80" s="74">
        <v>322411</v>
      </c>
      <c r="B80" s="506" t="s">
        <v>48</v>
      </c>
      <c r="C80" s="75">
        <f t="shared" si="245"/>
        <v>91.459287278518815</v>
      </c>
      <c r="D80" s="75"/>
      <c r="E80" s="122">
        <f t="shared" si="246"/>
        <v>301.19</v>
      </c>
      <c r="F80" s="249">
        <f t="shared" si="275"/>
        <v>329.31592729647366</v>
      </c>
      <c r="G80" s="250">
        <f t="shared" si="276"/>
        <v>0</v>
      </c>
      <c r="H80" s="124"/>
      <c r="I80" s="124"/>
      <c r="J80" s="51"/>
      <c r="K80" s="1297">
        <f t="shared" si="204"/>
        <v>0</v>
      </c>
      <c r="L80" s="52"/>
      <c r="M80" s="51"/>
      <c r="N80" s="1419">
        <f>'izvršenje PO IZVORIMA-detaljno'!V80</f>
        <v>91.459287278518815</v>
      </c>
      <c r="O80" s="1314"/>
      <c r="P80" s="1326">
        <f>'izvršenje PO IZVORIMA-detaljno'!X80</f>
        <v>301.19</v>
      </c>
      <c r="Q80" s="1331">
        <f t="shared" si="247"/>
        <v>0</v>
      </c>
      <c r="R80" s="1314"/>
      <c r="S80" s="1314"/>
      <c r="T80" s="1326">
        <f>'izvršenje PO IZVORIMA-detaljno'!AA80</f>
        <v>0</v>
      </c>
      <c r="U80" s="1331">
        <f t="shared" si="248"/>
        <v>0</v>
      </c>
      <c r="V80" s="1314"/>
      <c r="W80" s="1315"/>
      <c r="X80" s="1307"/>
      <c r="Y80" s="1307"/>
      <c r="Z80" s="1326">
        <f>'izvršenje PO IZVORIMA-detaljno'!AM80+'izvršenje PO IZVORIMA-detaljno'!AJ80+'izvršenje PO IZVORIMA-detaljno'!AC80</f>
        <v>0</v>
      </c>
      <c r="AA80" s="1331">
        <f t="shared" si="249"/>
        <v>0</v>
      </c>
      <c r="AB80" s="1357"/>
      <c r="AC80" s="1357"/>
      <c r="AD80" s="1370"/>
      <c r="AE80" s="1385">
        <f t="shared" si="250"/>
        <v>0</v>
      </c>
      <c r="AF80" s="1383">
        <f>'izvršenje PO IZVORIMA-detaljno'!I80+'izvršenje PO IZVORIMA-detaljno'!O80</f>
        <v>0</v>
      </c>
      <c r="AG80" s="1357"/>
      <c r="AH80" s="1372">
        <f>'izvršenje PO IZVORIMA-detaljno'!K80+'izvršenje PO IZVORIMA-detaljno'!Q80</f>
        <v>0</v>
      </c>
      <c r="AI80" s="1385">
        <f t="shared" si="251"/>
        <v>0</v>
      </c>
      <c r="AJ80" s="1357"/>
      <c r="AK80" s="1357"/>
      <c r="AL80" s="1383">
        <f>'izvršenje PO IZVORIMA-detaljno'!T80+'izvršenje PO IZVORIMA-detaljno'!U80</f>
        <v>0</v>
      </c>
      <c r="AM80" s="1385">
        <f t="shared" si="252"/>
        <v>0</v>
      </c>
      <c r="AN80" s="1357"/>
      <c r="AO80" s="1357"/>
      <c r="AP80" s="1372">
        <f>'izvršenje PO IZVORIMA-detaljno'!AP80</f>
        <v>0</v>
      </c>
      <c r="AQ80" s="1385">
        <f t="shared" si="253"/>
        <v>0</v>
      </c>
      <c r="AR80" s="1357"/>
      <c r="AS80" s="1357"/>
      <c r="AT80" s="1370"/>
      <c r="AU80" s="1385">
        <f t="shared" si="254"/>
        <v>0</v>
      </c>
      <c r="AV80" s="1357"/>
      <c r="AW80" s="1358"/>
      <c r="AX80" s="1435"/>
      <c r="AY80" s="1401"/>
      <c r="AZ80" s="1444"/>
      <c r="BA80" s="180"/>
      <c r="BB80" s="178"/>
      <c r="BC80" s="57"/>
      <c r="BD80" s="126">
        <f>J80+M80+P80+T80+W80+Z80+AD80+AH80+AL80+AP80+AT80+AW80</f>
        <v>301.19</v>
      </c>
      <c r="BE80" s="74">
        <v>322411</v>
      </c>
      <c r="BG80" s="484"/>
      <c r="BH80" s="484"/>
      <c r="BI80" s="527"/>
    </row>
    <row r="81" spans="1:65" s="2" customFormat="1" ht="15.75" thickBot="1" x14ac:dyDescent="0.3">
      <c r="A81" s="46">
        <v>322421</v>
      </c>
      <c r="B81" s="504" t="s">
        <v>142</v>
      </c>
      <c r="C81" s="75">
        <f t="shared" si="245"/>
        <v>6244.3931249585239</v>
      </c>
      <c r="D81" s="14"/>
      <c r="E81" s="122">
        <f t="shared" si="246"/>
        <v>7397.5300000000007</v>
      </c>
      <c r="F81" s="236">
        <f t="shared" si="275"/>
        <v>118.46675652806751</v>
      </c>
      <c r="G81" s="238">
        <f t="shared" si="276"/>
        <v>0</v>
      </c>
      <c r="H81" s="125"/>
      <c r="I81" s="125"/>
      <c r="J81" s="60"/>
      <c r="K81" s="1298">
        <f t="shared" si="204"/>
        <v>0</v>
      </c>
      <c r="L81" s="59"/>
      <c r="M81" s="60"/>
      <c r="N81" s="1419">
        <f>'izvršenje PO IZVORIMA-detaljno'!V81</f>
        <v>5089.8506868405339</v>
      </c>
      <c r="O81" s="1328"/>
      <c r="P81" s="1326">
        <f>'izvršenje PO IZVORIMA-detaljno'!X81</f>
        <v>4794.5200000000004</v>
      </c>
      <c r="Q81" s="1332">
        <f t="shared" si="247"/>
        <v>0</v>
      </c>
      <c r="R81" s="1328"/>
      <c r="S81" s="1328"/>
      <c r="T81" s="1326">
        <f>'izvršenje PO IZVORIMA-detaljno'!AA81</f>
        <v>0</v>
      </c>
      <c r="U81" s="1332">
        <f t="shared" si="248"/>
        <v>0</v>
      </c>
      <c r="V81" s="1328"/>
      <c r="W81" s="1329"/>
      <c r="X81" s="1307"/>
      <c r="Y81" s="1307"/>
      <c r="Z81" s="1326">
        <f>'izvršenje PO IZVORIMA-detaljno'!AM81+'izvršenje PO IZVORIMA-detaljno'!AJ81+'izvršenje PO IZVORIMA-detaljno'!AC81</f>
        <v>0</v>
      </c>
      <c r="AA81" s="1332">
        <f t="shared" si="249"/>
        <v>0</v>
      </c>
      <c r="AB81" s="1380"/>
      <c r="AC81" s="1380"/>
      <c r="AD81" s="1381"/>
      <c r="AE81" s="1386">
        <f t="shared" si="250"/>
        <v>0</v>
      </c>
      <c r="AF81" s="1383">
        <f>'izvršenje PO IZVORIMA-detaljno'!I81+'izvršenje PO IZVORIMA-detaljno'!O81</f>
        <v>1154.5424381179905</v>
      </c>
      <c r="AG81" s="1380"/>
      <c r="AH81" s="1383">
        <f>'izvršenje PO IZVORIMA-detaljno'!K81+'izvršenje PO IZVORIMA-detaljno'!Q81</f>
        <v>2293.08</v>
      </c>
      <c r="AI81" s="1386">
        <f t="shared" si="251"/>
        <v>0</v>
      </c>
      <c r="AJ81" s="1380"/>
      <c r="AK81" s="1380"/>
      <c r="AL81" s="1383">
        <f>'izvršenje PO IZVORIMA-detaljno'!T81+'izvršenje PO IZVORIMA-detaljno'!U81</f>
        <v>0</v>
      </c>
      <c r="AM81" s="1386">
        <f t="shared" si="252"/>
        <v>0</v>
      </c>
      <c r="AN81" s="1380"/>
      <c r="AO81" s="1380"/>
      <c r="AP81" s="1372">
        <f>'izvršenje PO IZVORIMA-detaljno'!AP81</f>
        <v>309.93</v>
      </c>
      <c r="AQ81" s="1386">
        <f t="shared" si="253"/>
        <v>0</v>
      </c>
      <c r="AR81" s="1380"/>
      <c r="AS81" s="1380"/>
      <c r="AT81" s="1381"/>
      <c r="AU81" s="1386">
        <f t="shared" si="254"/>
        <v>0</v>
      </c>
      <c r="AV81" s="1380"/>
      <c r="AW81" s="1382"/>
      <c r="AX81" s="1437"/>
      <c r="AY81" s="1403"/>
      <c r="AZ81" s="1450"/>
      <c r="BA81" s="208"/>
      <c r="BB81" s="210"/>
      <c r="BC81" s="61"/>
      <c r="BD81" s="126">
        <f>J81+M81+P81+T81+W81+Z81+AD81+AH81+AL81+AP81+AT81+AW81</f>
        <v>7397.5300000000007</v>
      </c>
      <c r="BE81" s="46">
        <v>322421</v>
      </c>
      <c r="BF81" s="254"/>
      <c r="BG81" s="489"/>
      <c r="BH81" s="489"/>
      <c r="BI81" s="529"/>
      <c r="BJ81" s="486"/>
      <c r="BK81" s="486"/>
      <c r="BL81" s="486"/>
      <c r="BM81" s="486"/>
    </row>
    <row r="82" spans="1:65" s="22" customFormat="1" ht="15.75" thickBot="1" x14ac:dyDescent="0.3">
      <c r="A82" s="76">
        <v>3224</v>
      </c>
      <c r="B82" s="505" t="s">
        <v>49</v>
      </c>
      <c r="C82" s="82">
        <f>SUM(C80:C81)</f>
        <v>6335.8524122370427</v>
      </c>
      <c r="D82" s="82">
        <f t="shared" ref="D82:E82" si="287">D80+D81</f>
        <v>0</v>
      </c>
      <c r="E82" s="83">
        <f t="shared" si="287"/>
        <v>7698.72</v>
      </c>
      <c r="F82" s="1609">
        <f t="shared" si="275"/>
        <v>121.51040616304003</v>
      </c>
      <c r="G82" s="256">
        <f t="shared" si="276"/>
        <v>0</v>
      </c>
      <c r="H82" s="411">
        <f t="shared" ref="H82" si="288">H80+H81</f>
        <v>0</v>
      </c>
      <c r="I82" s="115">
        <f t="shared" ref="I82:AP82" si="289">I80+I81</f>
        <v>0</v>
      </c>
      <c r="J82" s="82">
        <f t="shared" si="289"/>
        <v>0</v>
      </c>
      <c r="K82" s="256">
        <f t="shared" si="204"/>
        <v>0</v>
      </c>
      <c r="L82" s="82">
        <f t="shared" si="289"/>
        <v>0</v>
      </c>
      <c r="M82" s="112">
        <f t="shared" si="289"/>
        <v>0</v>
      </c>
      <c r="N82" s="417">
        <f t="shared" ref="N82" si="290">N80+N81</f>
        <v>5181.3099741190526</v>
      </c>
      <c r="O82" s="82">
        <f t="shared" si="289"/>
        <v>0</v>
      </c>
      <c r="P82" s="82">
        <f>P80+P81</f>
        <v>5095.71</v>
      </c>
      <c r="Q82" s="256">
        <f t="shared" si="247"/>
        <v>0</v>
      </c>
      <c r="R82" s="82">
        <f t="shared" ref="R82" si="291">R80+R81</f>
        <v>0</v>
      </c>
      <c r="S82" s="82">
        <f t="shared" si="289"/>
        <v>0</v>
      </c>
      <c r="T82" s="82">
        <f t="shared" si="289"/>
        <v>0</v>
      </c>
      <c r="U82" s="256">
        <f t="shared" si="248"/>
        <v>0</v>
      </c>
      <c r="V82" s="82">
        <f t="shared" si="289"/>
        <v>0</v>
      </c>
      <c r="W82" s="82">
        <f t="shared" si="289"/>
        <v>0</v>
      </c>
      <c r="X82" s="82"/>
      <c r="Y82" s="82">
        <f>'izvršenje PO IZVORIMA-detaljno'!AI82+'izvršenje PO IZVORIMA-detaljno'!AL82+'izvršenje PO IZVORIMA-detaljno'!AB82</f>
        <v>0</v>
      </c>
      <c r="Z82" s="112">
        <f t="shared" si="289"/>
        <v>0</v>
      </c>
      <c r="AA82" s="256">
        <f t="shared" si="249"/>
        <v>0</v>
      </c>
      <c r="AB82" s="417"/>
      <c r="AC82" s="417">
        <f>'izvršenje PO IZVORIMA-detaljno'!G82+'izvršenje PO IZVORIMA-detaljno'!M82</f>
        <v>0</v>
      </c>
      <c r="AD82" s="82">
        <f t="shared" si="289"/>
        <v>0</v>
      </c>
      <c r="AE82" s="256">
        <f t="shared" si="250"/>
        <v>0</v>
      </c>
      <c r="AF82" s="108">
        <f>SUM(AF80:AF81)</f>
        <v>1154.5424381179905</v>
      </c>
      <c r="AG82" s="108">
        <f>'izvršenje PO IZVORIMA-detaljno'!J82+'izvršenje PO IZVORIMA-detaljno'!P82</f>
        <v>0</v>
      </c>
      <c r="AH82" s="82">
        <f t="shared" si="289"/>
        <v>2293.08</v>
      </c>
      <c r="AI82" s="256">
        <f t="shared" si="251"/>
        <v>0</v>
      </c>
      <c r="AJ82" s="82"/>
      <c r="AK82" s="82">
        <f>'izvršenje PO IZVORIMA-detaljno'!S82</f>
        <v>0</v>
      </c>
      <c r="AL82" s="82">
        <f t="shared" si="289"/>
        <v>0</v>
      </c>
      <c r="AM82" s="256">
        <f t="shared" si="252"/>
        <v>0</v>
      </c>
      <c r="AN82" s="82"/>
      <c r="AO82" s="82">
        <f>'izvršenje PO IZVORIMA-detaljno'!AO82</f>
        <v>0</v>
      </c>
      <c r="AP82" s="82">
        <f t="shared" si="289"/>
        <v>309.93</v>
      </c>
      <c r="AQ82" s="256">
        <f t="shared" si="253"/>
        <v>0</v>
      </c>
      <c r="AR82" s="82">
        <f>'izvršenje PO IZVORIMA-detaljno'!AQ82</f>
        <v>0</v>
      </c>
      <c r="AS82" s="82">
        <f>'izvršenje PO IZVORIMA-detaljno'!AR82</f>
        <v>0</v>
      </c>
      <c r="AT82" s="82">
        <f t="shared" ref="AT82" si="292">AT80+AT81</f>
        <v>0</v>
      </c>
      <c r="AU82" s="256">
        <f t="shared" si="254"/>
        <v>0</v>
      </c>
      <c r="AV82" s="82">
        <f t="shared" ref="AV82:AX82" si="293">AV80+AV81</f>
        <v>0</v>
      </c>
      <c r="AW82" s="83">
        <f t="shared" si="293"/>
        <v>0</v>
      </c>
      <c r="AX82" s="407">
        <f t="shared" si="293"/>
        <v>0</v>
      </c>
      <c r="AY82" s="83">
        <f t="shared" ref="AY82:AZ82" si="294">AY80+AY81</f>
        <v>0</v>
      </c>
      <c r="AZ82" s="112">
        <f t="shared" si="294"/>
        <v>0</v>
      </c>
      <c r="BA82" s="407">
        <f t="shared" ref="BA82:BB82" si="295">BA80+BA81</f>
        <v>0</v>
      </c>
      <c r="BB82" s="83">
        <f t="shared" si="295"/>
        <v>0</v>
      </c>
      <c r="BC82" s="411">
        <f>AV82+AS82+AO82+AK82+AG82+AC82+Y82+V82+S82+O82+L82+I82+AY82</f>
        <v>0</v>
      </c>
      <c r="BD82" s="83">
        <f t="shared" ref="BD82" si="296">BD80+BD81</f>
        <v>7698.72</v>
      </c>
      <c r="BE82" s="76">
        <v>3224</v>
      </c>
      <c r="BF82" s="522"/>
      <c r="BG82" s="484"/>
      <c r="BH82" s="484"/>
      <c r="BI82" s="527"/>
      <c r="BJ82" s="484"/>
      <c r="BK82" s="484"/>
      <c r="BL82" s="484"/>
      <c r="BM82" s="484"/>
    </row>
    <row r="83" spans="1:65" s="2" customFormat="1" ht="15.75" thickBot="1" x14ac:dyDescent="0.3">
      <c r="A83" s="77">
        <v>322511</v>
      </c>
      <c r="B83" s="502" t="s">
        <v>50</v>
      </c>
      <c r="C83" s="75">
        <f t="shared" si="245"/>
        <v>123.42823014134979</v>
      </c>
      <c r="D83" s="86"/>
      <c r="E83" s="122">
        <f t="shared" si="246"/>
        <v>1298.4599999999998</v>
      </c>
      <c r="F83" s="244">
        <f t="shared" si="275"/>
        <v>1051.9959643859477</v>
      </c>
      <c r="G83" s="245">
        <f t="shared" si="276"/>
        <v>0</v>
      </c>
      <c r="H83" s="125"/>
      <c r="I83" s="125"/>
      <c r="J83" s="60"/>
      <c r="K83" s="1293">
        <f t="shared" si="204"/>
        <v>0</v>
      </c>
      <c r="L83" s="59"/>
      <c r="M83" s="60"/>
      <c r="N83" s="1420">
        <f>'izvršenje PO IZVORIMA-detaljno'!V83</f>
        <v>59.725263786581721</v>
      </c>
      <c r="O83" s="1328"/>
      <c r="P83" s="1330">
        <f>'izvršenje PO IZVORIMA-detaljno'!X83</f>
        <v>1050.1199999999999</v>
      </c>
      <c r="Q83" s="1327">
        <f t="shared" si="247"/>
        <v>0</v>
      </c>
      <c r="R83" s="1328"/>
      <c r="S83" s="1328"/>
      <c r="T83" s="1329"/>
      <c r="U83" s="1327">
        <f t="shared" si="248"/>
        <v>0</v>
      </c>
      <c r="V83" s="1328"/>
      <c r="W83" s="1329"/>
      <c r="X83" s="1307"/>
      <c r="Y83" s="1307"/>
      <c r="Z83" s="1329"/>
      <c r="AA83" s="1327">
        <f t="shared" si="249"/>
        <v>0</v>
      </c>
      <c r="AB83" s="1380"/>
      <c r="AC83" s="1380"/>
      <c r="AD83" s="1381"/>
      <c r="AE83" s="1373">
        <f t="shared" si="250"/>
        <v>0</v>
      </c>
      <c r="AF83" s="1380"/>
      <c r="AG83" s="1380"/>
      <c r="AH83" s="1381"/>
      <c r="AI83" s="1373">
        <f t="shared" si="251"/>
        <v>0</v>
      </c>
      <c r="AJ83" s="1380"/>
      <c r="AK83" s="1380"/>
      <c r="AL83" s="1381"/>
      <c r="AM83" s="1373">
        <f t="shared" si="252"/>
        <v>0</v>
      </c>
      <c r="AN83" s="1383">
        <f>'izvršenje PO IZVORIMA-detaljno'!AN83</f>
        <v>63.702966354768066</v>
      </c>
      <c r="AO83" s="1380"/>
      <c r="AP83" s="1383">
        <f>'izvršenje PO IZVORIMA-detaljno'!AP83</f>
        <v>248.34</v>
      </c>
      <c r="AQ83" s="1373">
        <f t="shared" si="253"/>
        <v>0</v>
      </c>
      <c r="AR83" s="1380"/>
      <c r="AS83" s="1380"/>
      <c r="AT83" s="1381"/>
      <c r="AU83" s="1373">
        <f t="shared" si="254"/>
        <v>0</v>
      </c>
      <c r="AV83" s="1380"/>
      <c r="AW83" s="1382"/>
      <c r="AX83" s="1437"/>
      <c r="AY83" s="1403"/>
      <c r="AZ83" s="1450"/>
      <c r="BA83" s="208"/>
      <c r="BB83" s="210"/>
      <c r="BC83" s="61"/>
      <c r="BD83" s="126">
        <f>J83+M83+P83+T83+W83+Z83+AD83+AH83+AL83+AP83+AT83+AW83</f>
        <v>1298.4599999999998</v>
      </c>
      <c r="BE83" s="77">
        <v>322511</v>
      </c>
      <c r="BF83" s="254"/>
      <c r="BG83" s="489"/>
      <c r="BH83" s="489"/>
      <c r="BI83" s="529"/>
      <c r="BJ83" s="486"/>
      <c r="BK83" s="486"/>
      <c r="BL83" s="486"/>
      <c r="BM83" s="486"/>
    </row>
    <row r="84" spans="1:65" s="22" customFormat="1" ht="15.75" thickBot="1" x14ac:dyDescent="0.3">
      <c r="A84" s="76">
        <v>3225</v>
      </c>
      <c r="B84" s="505" t="s">
        <v>51</v>
      </c>
      <c r="C84" s="90">
        <f>SUM(C83)</f>
        <v>123.42823014134979</v>
      </c>
      <c r="D84" s="90">
        <f>D83</f>
        <v>0</v>
      </c>
      <c r="E84" s="91">
        <f>E83</f>
        <v>1298.4599999999998</v>
      </c>
      <c r="F84" s="1609">
        <f t="shared" si="275"/>
        <v>1051.9959643859477</v>
      </c>
      <c r="G84" s="256">
        <f t="shared" si="276"/>
        <v>0</v>
      </c>
      <c r="H84" s="1430">
        <f t="shared" ref="H84" si="297">H83</f>
        <v>0</v>
      </c>
      <c r="I84" s="117">
        <f t="shared" ref="I84:AP84" si="298">I83</f>
        <v>0</v>
      </c>
      <c r="J84" s="90">
        <f t="shared" si="298"/>
        <v>0</v>
      </c>
      <c r="K84" s="256">
        <f t="shared" si="204"/>
        <v>0</v>
      </c>
      <c r="L84" s="90">
        <f t="shared" si="298"/>
        <v>0</v>
      </c>
      <c r="M84" s="114">
        <f t="shared" si="298"/>
        <v>0</v>
      </c>
      <c r="N84" s="1593">
        <f t="shared" ref="N84" si="299">N83</f>
        <v>59.725263786581721</v>
      </c>
      <c r="O84" s="90">
        <f t="shared" si="298"/>
        <v>0</v>
      </c>
      <c r="P84" s="90">
        <f t="shared" si="298"/>
        <v>1050.1199999999999</v>
      </c>
      <c r="Q84" s="256">
        <f t="shared" si="247"/>
        <v>0</v>
      </c>
      <c r="R84" s="90">
        <f t="shared" ref="R84" si="300">R83</f>
        <v>0</v>
      </c>
      <c r="S84" s="90">
        <f t="shared" si="298"/>
        <v>0</v>
      </c>
      <c r="T84" s="90">
        <f t="shared" si="298"/>
        <v>0</v>
      </c>
      <c r="U84" s="256">
        <f t="shared" si="248"/>
        <v>0</v>
      </c>
      <c r="V84" s="90">
        <f t="shared" si="298"/>
        <v>0</v>
      </c>
      <c r="W84" s="90">
        <f t="shared" si="298"/>
        <v>0</v>
      </c>
      <c r="X84" s="82"/>
      <c r="Y84" s="82">
        <f>'izvršenje PO IZVORIMA-detaljno'!AI84+'izvršenje PO IZVORIMA-detaljno'!AL84+'izvršenje PO IZVORIMA-detaljno'!AB84</f>
        <v>0</v>
      </c>
      <c r="Z84" s="114">
        <f t="shared" si="298"/>
        <v>0</v>
      </c>
      <c r="AA84" s="256">
        <f t="shared" si="249"/>
        <v>0</v>
      </c>
      <c r="AB84" s="417"/>
      <c r="AC84" s="417">
        <f>'izvršenje PO IZVORIMA-detaljno'!G84+'izvršenje PO IZVORIMA-detaljno'!M84</f>
        <v>0</v>
      </c>
      <c r="AD84" s="90">
        <f t="shared" si="298"/>
        <v>0</v>
      </c>
      <c r="AE84" s="256">
        <f t="shared" si="250"/>
        <v>0</v>
      </c>
      <c r="AF84" s="108"/>
      <c r="AG84" s="108">
        <f>'izvršenje PO IZVORIMA-detaljno'!J84+'izvršenje PO IZVORIMA-detaljno'!P84</f>
        <v>0</v>
      </c>
      <c r="AH84" s="90">
        <f t="shared" si="298"/>
        <v>0</v>
      </c>
      <c r="AI84" s="256">
        <f t="shared" si="251"/>
        <v>0</v>
      </c>
      <c r="AJ84" s="82"/>
      <c r="AK84" s="82">
        <f>'izvršenje PO IZVORIMA-detaljno'!S84</f>
        <v>0</v>
      </c>
      <c r="AL84" s="90">
        <f t="shared" si="298"/>
        <v>0</v>
      </c>
      <c r="AM84" s="256">
        <f t="shared" si="252"/>
        <v>0</v>
      </c>
      <c r="AN84" s="82">
        <f>SUM(AN83)</f>
        <v>63.702966354768066</v>
      </c>
      <c r="AO84" s="82">
        <f>'izvršenje PO IZVORIMA-detaljno'!AO84</f>
        <v>0</v>
      </c>
      <c r="AP84" s="90">
        <f t="shared" si="298"/>
        <v>248.34</v>
      </c>
      <c r="AQ84" s="256">
        <f t="shared" si="253"/>
        <v>0</v>
      </c>
      <c r="AR84" s="82">
        <f>'izvršenje PO IZVORIMA-detaljno'!AQ84</f>
        <v>0</v>
      </c>
      <c r="AS84" s="82">
        <f>'izvršenje PO IZVORIMA-detaljno'!AR84</f>
        <v>0</v>
      </c>
      <c r="AT84" s="90">
        <f t="shared" ref="AT84" si="301">AT83</f>
        <v>0</v>
      </c>
      <c r="AU84" s="256">
        <f t="shared" si="254"/>
        <v>0</v>
      </c>
      <c r="AV84" s="90">
        <f t="shared" ref="AV84:AX84" si="302">AV83</f>
        <v>0</v>
      </c>
      <c r="AW84" s="91">
        <f t="shared" si="302"/>
        <v>0</v>
      </c>
      <c r="AX84" s="1458">
        <f t="shared" si="302"/>
        <v>0</v>
      </c>
      <c r="AY84" s="91">
        <f t="shared" ref="AY84:AZ84" si="303">AY83</f>
        <v>0</v>
      </c>
      <c r="AZ84" s="114">
        <f t="shared" si="303"/>
        <v>0</v>
      </c>
      <c r="BA84" s="1458">
        <f t="shared" ref="BA84:BB84" si="304">BA83</f>
        <v>0</v>
      </c>
      <c r="BB84" s="91">
        <f t="shared" si="304"/>
        <v>0</v>
      </c>
      <c r="BC84" s="411">
        <f>AV84+AS84+AO84+AK84+AG84+AC84+Y84+V84+S84+O84+L84+I84+AY84</f>
        <v>0</v>
      </c>
      <c r="BD84" s="91">
        <f t="shared" ref="BD84" si="305">BD83</f>
        <v>1298.4599999999998</v>
      </c>
      <c r="BE84" s="76">
        <v>3225</v>
      </c>
      <c r="BF84" s="524"/>
      <c r="BG84" s="484"/>
      <c r="BH84" s="484"/>
      <c r="BI84" s="527"/>
      <c r="BJ84" s="484"/>
      <c r="BK84" s="484"/>
      <c r="BL84" s="484"/>
      <c r="BM84" s="484"/>
    </row>
    <row r="85" spans="1:65" s="2" customFormat="1" ht="15.75" thickBot="1" x14ac:dyDescent="0.3">
      <c r="A85" s="77">
        <v>322711</v>
      </c>
      <c r="B85" s="502" t="s">
        <v>52</v>
      </c>
      <c r="C85" s="75">
        <f t="shared" si="245"/>
        <v>3289.9329749817502</v>
      </c>
      <c r="D85" s="71"/>
      <c r="E85" s="122">
        <f t="shared" si="246"/>
        <v>1256.82</v>
      </c>
      <c r="F85" s="244">
        <f t="shared" si="275"/>
        <v>38.201994069711155</v>
      </c>
      <c r="G85" s="245">
        <f t="shared" si="276"/>
        <v>0</v>
      </c>
      <c r="H85" s="125"/>
      <c r="I85" s="125"/>
      <c r="J85" s="60"/>
      <c r="K85" s="1293">
        <f t="shared" si="204"/>
        <v>0</v>
      </c>
      <c r="L85" s="59"/>
      <c r="M85" s="60"/>
      <c r="N85" s="1420">
        <f>'izvršenje PO IZVORIMA-detaljno'!V85</f>
        <v>975.24719623067222</v>
      </c>
      <c r="O85" s="1328"/>
      <c r="P85" s="1330">
        <f>'izvršenje PO IZVORIMA-detaljno'!X85</f>
        <v>1216.82</v>
      </c>
      <c r="Q85" s="1327">
        <f t="shared" si="247"/>
        <v>0</v>
      </c>
      <c r="R85" s="1328"/>
      <c r="S85" s="1328"/>
      <c r="T85" s="1329"/>
      <c r="U85" s="1327">
        <f t="shared" si="248"/>
        <v>0</v>
      </c>
      <c r="V85" s="1328"/>
      <c r="W85" s="1329"/>
      <c r="X85" s="1330">
        <f>'izvršenje PO IZVORIMA-detaljno'!AK85</f>
        <v>0</v>
      </c>
      <c r="Y85" s="1307"/>
      <c r="Z85" s="1330">
        <f>'izvršenje PO IZVORIMA-detaljno'!AM85</f>
        <v>40</v>
      </c>
      <c r="AA85" s="1327">
        <f t="shared" si="249"/>
        <v>0</v>
      </c>
      <c r="AB85" s="1380"/>
      <c r="AC85" s="1380"/>
      <c r="AD85" s="1381"/>
      <c r="AE85" s="1373">
        <f t="shared" si="250"/>
        <v>0</v>
      </c>
      <c r="AF85" s="1380"/>
      <c r="AG85" s="1380"/>
      <c r="AH85" s="1381"/>
      <c r="AI85" s="1373">
        <f t="shared" si="251"/>
        <v>0</v>
      </c>
      <c r="AJ85" s="1380"/>
      <c r="AK85" s="1380"/>
      <c r="AL85" s="1381"/>
      <c r="AM85" s="1373">
        <f t="shared" si="252"/>
        <v>0</v>
      </c>
      <c r="AN85" s="1383">
        <f>'izvršenje PO IZVORIMA-detaljno'!AN85</f>
        <v>2314.685778751078</v>
      </c>
      <c r="AO85" s="1380"/>
      <c r="AP85" s="1383">
        <f>'izvršenje PO IZVORIMA-detaljno'!AP85</f>
        <v>0</v>
      </c>
      <c r="AQ85" s="1373">
        <f t="shared" si="253"/>
        <v>0</v>
      </c>
      <c r="AR85" s="1380"/>
      <c r="AS85" s="1380"/>
      <c r="AT85" s="1381"/>
      <c r="AU85" s="1373">
        <f t="shared" si="254"/>
        <v>0</v>
      </c>
      <c r="AV85" s="1380"/>
      <c r="AW85" s="1382"/>
      <c r="AX85" s="1437"/>
      <c r="AY85" s="1403"/>
      <c r="AZ85" s="1450"/>
      <c r="BA85" s="208"/>
      <c r="BB85" s="210"/>
      <c r="BC85" s="61"/>
      <c r="BD85" s="126">
        <f>J85+M85+P85+T85+W85+Z85+AD85+AH85+AL85+AP85+AT85+AW85</f>
        <v>1256.82</v>
      </c>
      <c r="BE85" s="77">
        <v>322711</v>
      </c>
      <c r="BF85" s="254"/>
      <c r="BG85" s="489"/>
      <c r="BH85" s="489"/>
      <c r="BI85" s="529"/>
      <c r="BJ85" s="486"/>
      <c r="BK85" s="486"/>
      <c r="BL85" s="486"/>
      <c r="BM85" s="486"/>
    </row>
    <row r="86" spans="1:65" s="22" customFormat="1" ht="15.75" thickBot="1" x14ac:dyDescent="0.3">
      <c r="A86" s="76">
        <v>3227</v>
      </c>
      <c r="B86" s="505" t="s">
        <v>52</v>
      </c>
      <c r="C86" s="82">
        <f>SUM(C85)</f>
        <v>3289.9329749817502</v>
      </c>
      <c r="D86" s="82">
        <f t="shared" ref="D86:E86" si="306">D85</f>
        <v>0</v>
      </c>
      <c r="E86" s="83">
        <f t="shared" si="306"/>
        <v>1256.82</v>
      </c>
      <c r="F86" s="1609">
        <f t="shared" si="275"/>
        <v>38.201994069711155</v>
      </c>
      <c r="G86" s="256">
        <f t="shared" si="276"/>
        <v>0</v>
      </c>
      <c r="H86" s="411">
        <f t="shared" ref="H86" si="307">H85</f>
        <v>0</v>
      </c>
      <c r="I86" s="115">
        <f t="shared" ref="I86:AP86" si="308">I85</f>
        <v>0</v>
      </c>
      <c r="J86" s="82">
        <f t="shared" si="308"/>
        <v>0</v>
      </c>
      <c r="K86" s="256">
        <f t="shared" si="204"/>
        <v>0</v>
      </c>
      <c r="L86" s="82">
        <f t="shared" si="308"/>
        <v>0</v>
      </c>
      <c r="M86" s="112">
        <f t="shared" si="308"/>
        <v>0</v>
      </c>
      <c r="N86" s="417">
        <f t="shared" ref="N86" si="309">N85</f>
        <v>975.24719623067222</v>
      </c>
      <c r="O86" s="82">
        <f t="shared" si="308"/>
        <v>0</v>
      </c>
      <c r="P86" s="82">
        <f>P85</f>
        <v>1216.82</v>
      </c>
      <c r="Q86" s="256">
        <f t="shared" si="247"/>
        <v>0</v>
      </c>
      <c r="R86" s="82">
        <f t="shared" ref="R86" si="310">R85</f>
        <v>0</v>
      </c>
      <c r="S86" s="82">
        <f t="shared" si="308"/>
        <v>0</v>
      </c>
      <c r="T86" s="82">
        <f t="shared" si="308"/>
        <v>0</v>
      </c>
      <c r="U86" s="256">
        <f t="shared" si="248"/>
        <v>0</v>
      </c>
      <c r="V86" s="82">
        <f t="shared" si="308"/>
        <v>0</v>
      </c>
      <c r="W86" s="82">
        <f t="shared" si="308"/>
        <v>0</v>
      </c>
      <c r="X86" s="82"/>
      <c r="Y86" s="82">
        <f>'izvršenje PO IZVORIMA-detaljno'!AI86+'izvršenje PO IZVORIMA-detaljno'!AL86+'izvršenje PO IZVORIMA-detaljno'!AB86</f>
        <v>0</v>
      </c>
      <c r="Z86" s="112">
        <f t="shared" si="308"/>
        <v>40</v>
      </c>
      <c r="AA86" s="256">
        <f t="shared" si="249"/>
        <v>0</v>
      </c>
      <c r="AB86" s="417"/>
      <c r="AC86" s="417">
        <f>'izvršenje PO IZVORIMA-detaljno'!G86+'izvršenje PO IZVORIMA-detaljno'!M86</f>
        <v>0</v>
      </c>
      <c r="AD86" s="82">
        <f t="shared" si="308"/>
        <v>0</v>
      </c>
      <c r="AE86" s="256">
        <f t="shared" si="250"/>
        <v>0</v>
      </c>
      <c r="AF86" s="108"/>
      <c r="AG86" s="108">
        <f>'izvršenje PO IZVORIMA-detaljno'!J86+'izvršenje PO IZVORIMA-detaljno'!P86</f>
        <v>0</v>
      </c>
      <c r="AH86" s="82">
        <f t="shared" si="308"/>
        <v>0</v>
      </c>
      <c r="AI86" s="256">
        <f t="shared" si="251"/>
        <v>0</v>
      </c>
      <c r="AJ86" s="82"/>
      <c r="AK86" s="82">
        <f>'izvršenje PO IZVORIMA-detaljno'!S86</f>
        <v>0</v>
      </c>
      <c r="AL86" s="82">
        <f t="shared" si="308"/>
        <v>0</v>
      </c>
      <c r="AM86" s="256">
        <f t="shared" si="252"/>
        <v>0</v>
      </c>
      <c r="AN86" s="82">
        <f>SUM(AN85)</f>
        <v>2314.685778751078</v>
      </c>
      <c r="AO86" s="82">
        <f>'izvršenje PO IZVORIMA-detaljno'!AO86</f>
        <v>0</v>
      </c>
      <c r="AP86" s="82">
        <f t="shared" si="308"/>
        <v>0</v>
      </c>
      <c r="AQ86" s="256">
        <f t="shared" si="253"/>
        <v>0</v>
      </c>
      <c r="AR86" s="82">
        <f>'izvršenje PO IZVORIMA-detaljno'!AQ86</f>
        <v>0</v>
      </c>
      <c r="AS86" s="82">
        <f>'izvršenje PO IZVORIMA-detaljno'!AR86</f>
        <v>0</v>
      </c>
      <c r="AT86" s="82">
        <f t="shared" ref="AT86" si="311">AT85</f>
        <v>0</v>
      </c>
      <c r="AU86" s="256">
        <f t="shared" si="254"/>
        <v>0</v>
      </c>
      <c r="AV86" s="82">
        <f t="shared" ref="AV86:AX86" si="312">AV85</f>
        <v>0</v>
      </c>
      <c r="AW86" s="83">
        <f t="shared" si="312"/>
        <v>0</v>
      </c>
      <c r="AX86" s="407">
        <f t="shared" si="312"/>
        <v>0</v>
      </c>
      <c r="AY86" s="83">
        <f t="shared" ref="AY86:AZ86" si="313">AY85</f>
        <v>0</v>
      </c>
      <c r="AZ86" s="112">
        <f t="shared" si="313"/>
        <v>0</v>
      </c>
      <c r="BA86" s="407">
        <f t="shared" ref="BA86:BB86" si="314">BA85</f>
        <v>0</v>
      </c>
      <c r="BB86" s="83">
        <f t="shared" si="314"/>
        <v>0</v>
      </c>
      <c r="BC86" s="411">
        <f>AV86+AS86+AO86+AK86+AG86+AC86+Y86+V86+S86+O86+L86+I86+AY86</f>
        <v>0</v>
      </c>
      <c r="BD86" s="83">
        <f t="shared" ref="BD86" si="315">BD85</f>
        <v>1256.82</v>
      </c>
      <c r="BE86" s="76">
        <v>3227</v>
      </c>
      <c r="BF86" s="522"/>
      <c r="BG86" s="484"/>
      <c r="BH86" s="484"/>
      <c r="BI86" s="527"/>
      <c r="BJ86" s="484"/>
      <c r="BK86" s="484"/>
      <c r="BL86" s="484"/>
      <c r="BM86" s="484"/>
    </row>
    <row r="87" spans="1:65" s="22" customFormat="1" ht="15.75" thickBot="1" x14ac:dyDescent="0.3">
      <c r="A87" s="76">
        <v>322</v>
      </c>
      <c r="B87" s="505" t="s">
        <v>53</v>
      </c>
      <c r="C87" s="91">
        <f>C72+C75+C79+C82+C84+C86</f>
        <v>44240.626451655706</v>
      </c>
      <c r="D87" s="82">
        <f>BC87</f>
        <v>75160</v>
      </c>
      <c r="E87" s="91">
        <f t="shared" ref="E87" si="316">E72+E75+E79+E82+E84+E86</f>
        <v>67536.990000000005</v>
      </c>
      <c r="F87" s="253">
        <f t="shared" si="275"/>
        <v>152.65830395462774</v>
      </c>
      <c r="G87" s="252">
        <f>IF(D87&lt;&gt;0,E87/D87*100,0)</f>
        <v>89.857623736029808</v>
      </c>
      <c r="H87" s="1430">
        <f t="shared" ref="H87" si="317">H72+H75+H79+H82+H84+H86</f>
        <v>0</v>
      </c>
      <c r="I87" s="117">
        <f>'izvršenje PO IZVORIMA-detaljno'!D87</f>
        <v>1460</v>
      </c>
      <c r="J87" s="90">
        <f t="shared" ref="J87:AP87" si="318">J72+J75+J79+J82+J84+J86</f>
        <v>54.19</v>
      </c>
      <c r="K87" s="252">
        <f t="shared" si="204"/>
        <v>3.7116438356164383</v>
      </c>
      <c r="L87" s="90">
        <f t="shared" si="318"/>
        <v>0</v>
      </c>
      <c r="M87" s="114">
        <f t="shared" si="318"/>
        <v>0</v>
      </c>
      <c r="N87" s="1593">
        <f>N72+N75+N79+N82+N84+N86</f>
        <v>34926.823279580596</v>
      </c>
      <c r="O87" s="90">
        <f>'izvršenje PO IZVORIMA-detaljno'!W87</f>
        <v>48800</v>
      </c>
      <c r="P87" s="90">
        <f>P72+P75+P79+P82+P84+P86</f>
        <v>49271.869999999995</v>
      </c>
      <c r="Q87" s="252">
        <f t="shared" si="247"/>
        <v>100.96694672131146</v>
      </c>
      <c r="R87" s="90">
        <f t="shared" ref="R87" si="319">R72+R75+R79+R82+R84+R86</f>
        <v>0</v>
      </c>
      <c r="S87" s="90">
        <f t="shared" si="318"/>
        <v>0</v>
      </c>
      <c r="T87" s="90">
        <f t="shared" si="318"/>
        <v>0</v>
      </c>
      <c r="U87" s="252">
        <f t="shared" si="248"/>
        <v>0</v>
      </c>
      <c r="V87" s="90">
        <f>'izvršenje PO IZVORIMA-detaljno'!AD87+'izvršenje PO IZVORIMA-detaljno'!AF87</f>
        <v>0</v>
      </c>
      <c r="W87" s="90">
        <f t="shared" si="318"/>
        <v>0</v>
      </c>
      <c r="X87" s="82"/>
      <c r="Y87" s="82">
        <f>'izvršenje PO IZVORIMA-detaljno'!AI87+'izvršenje PO IZVORIMA-detaljno'!AL87+'izvršenje PO IZVORIMA-detaljno'!AB87</f>
        <v>200</v>
      </c>
      <c r="Z87" s="114">
        <f>Z72+Z75+Z79+Z82+Z84+Z86</f>
        <v>127.33</v>
      </c>
      <c r="AA87" s="252">
        <f t="shared" si="249"/>
        <v>63.664999999999992</v>
      </c>
      <c r="AB87" s="417"/>
      <c r="AC87" s="417">
        <f>'izvršenje PO IZVORIMA-detaljno'!G87+'izvršenje PO IZVORIMA-detaljno'!M87</f>
        <v>0</v>
      </c>
      <c r="AD87" s="90">
        <f t="shared" si="318"/>
        <v>0</v>
      </c>
      <c r="AE87" s="252">
        <f t="shared" si="250"/>
        <v>0</v>
      </c>
      <c r="AF87" s="90">
        <f t="shared" si="318"/>
        <v>1609.8812130864687</v>
      </c>
      <c r="AG87" s="108">
        <f>'izvršenje PO IZVORIMA-detaljno'!J87+'izvršenje PO IZVORIMA-detaljno'!P87</f>
        <v>8000</v>
      </c>
      <c r="AH87" s="90">
        <f t="shared" si="318"/>
        <v>7779.83</v>
      </c>
      <c r="AI87" s="252">
        <f t="shared" si="251"/>
        <v>97.247874999999993</v>
      </c>
      <c r="AJ87" s="82"/>
      <c r="AK87" s="82">
        <f>'izvršenje PO IZVORIMA-detaljno'!S87</f>
        <v>1700</v>
      </c>
      <c r="AL87" s="90">
        <f t="shared" si="318"/>
        <v>187.99</v>
      </c>
      <c r="AM87" s="252">
        <f t="shared" si="252"/>
        <v>11.058235294117647</v>
      </c>
      <c r="AN87" s="90">
        <f t="shared" si="318"/>
        <v>7703.9219589886525</v>
      </c>
      <c r="AO87" s="82">
        <f>'izvršenje PO IZVORIMA-detaljno'!AO87</f>
        <v>15000</v>
      </c>
      <c r="AP87" s="90">
        <f t="shared" si="318"/>
        <v>10115.779999999999</v>
      </c>
      <c r="AQ87" s="252">
        <f t="shared" si="253"/>
        <v>67.438533333333325</v>
      </c>
      <c r="AR87" s="82">
        <f>'izvršenje PO IZVORIMA-detaljno'!AQ87</f>
        <v>0</v>
      </c>
      <c r="AS87" s="82">
        <f>'izvršenje PO IZVORIMA-detaljno'!AR87</f>
        <v>0</v>
      </c>
      <c r="AT87" s="90">
        <f t="shared" ref="AT87" si="320">AT72+AT75+AT79+AT82+AT84+AT86</f>
        <v>0</v>
      </c>
      <c r="AU87" s="252">
        <f t="shared" si="254"/>
        <v>0</v>
      </c>
      <c r="AV87" s="90">
        <f t="shared" ref="AV87:AX87" si="321">AV72+AV75+AV79+AV82+AV84+AV86</f>
        <v>0</v>
      </c>
      <c r="AW87" s="91">
        <f t="shared" si="321"/>
        <v>0</v>
      </c>
      <c r="AX87" s="1458">
        <f t="shared" si="321"/>
        <v>0</v>
      </c>
      <c r="AY87" s="91">
        <f t="shared" ref="AY87:AZ87" si="322">AY72+AY75+AY79+AY82+AY84+AY86</f>
        <v>0</v>
      </c>
      <c r="AZ87" s="114">
        <f t="shared" si="322"/>
        <v>0</v>
      </c>
      <c r="BA87" s="1458">
        <f t="shared" ref="BA87:BB87" si="323">BA72+BA75+BA79+BA82+BA84+BA86</f>
        <v>0</v>
      </c>
      <c r="BB87" s="91">
        <f t="shared" si="323"/>
        <v>0</v>
      </c>
      <c r="BC87" s="411">
        <f>AV87+AS87+AO87+AK87+AG87+AC87+Y87+V87+S87+O87+L87+I87+AY87</f>
        <v>75160</v>
      </c>
      <c r="BD87" s="91">
        <f t="shared" ref="BD87" si="324">BD72+BD75+BD79+BD82+BD84+BD86</f>
        <v>67536.990000000005</v>
      </c>
      <c r="BE87" s="76">
        <v>322</v>
      </c>
      <c r="BF87" s="524"/>
      <c r="BG87" s="484"/>
      <c r="BH87" s="484"/>
      <c r="BI87" s="527"/>
      <c r="BJ87" s="484"/>
      <c r="BK87" s="484"/>
      <c r="BL87" s="484"/>
      <c r="BM87" s="484"/>
    </row>
    <row r="88" spans="1:65" s="6" customFormat="1" x14ac:dyDescent="0.25">
      <c r="A88" s="62">
        <v>323111</v>
      </c>
      <c r="B88" s="498" t="s">
        <v>54</v>
      </c>
      <c r="C88" s="75">
        <f t="shared" ref="C88:C128" si="325">H88+N88+R88+X88+AB88+AF88+AJ88+AN88+AR88+AX88</f>
        <v>1762.2085075320194</v>
      </c>
      <c r="D88" s="69"/>
      <c r="E88" s="122">
        <f t="shared" ref="E88:E128" si="326">BD88</f>
        <v>2174.67</v>
      </c>
      <c r="F88" s="240">
        <f t="shared" si="275"/>
        <v>123.40594150493773</v>
      </c>
      <c r="G88" s="241">
        <f t="shared" si="276"/>
        <v>0</v>
      </c>
      <c r="H88" s="124"/>
      <c r="I88" s="124"/>
      <c r="J88" s="176">
        <f>'izvršenje PO IZVORIMA-detaljno'!E88</f>
        <v>0</v>
      </c>
      <c r="K88" s="1286">
        <f t="shared" si="204"/>
        <v>0</v>
      </c>
      <c r="L88" s="52"/>
      <c r="M88" s="51"/>
      <c r="N88" s="1419">
        <f>'izvršenje PO IZVORIMA-detaljno'!V88</f>
        <v>1762.2085075320194</v>
      </c>
      <c r="O88" s="1314"/>
      <c r="P88" s="1326">
        <f>'izvršenje PO IZVORIMA-detaljno'!X88</f>
        <v>2174.67</v>
      </c>
      <c r="Q88" s="1309">
        <f t="shared" si="247"/>
        <v>0</v>
      </c>
      <c r="R88" s="1314"/>
      <c r="S88" s="1314"/>
      <c r="T88" s="1326">
        <f>'izvršenje PO IZVORIMA-detaljno'!AA88</f>
        <v>0</v>
      </c>
      <c r="U88" s="1309">
        <f t="shared" si="248"/>
        <v>0</v>
      </c>
      <c r="V88" s="1314"/>
      <c r="W88" s="1315"/>
      <c r="X88" s="1307"/>
      <c r="Y88" s="1307"/>
      <c r="Z88" s="1326">
        <f>'izvršenje PO IZVORIMA-detaljno'!AM88+'izvršenje PO IZVORIMA-detaljno'!AJ88+'izvršenje PO IZVORIMA-detaljno'!AC88</f>
        <v>0</v>
      </c>
      <c r="AA88" s="1309">
        <f t="shared" si="249"/>
        <v>0</v>
      </c>
      <c r="AB88" s="1357"/>
      <c r="AC88" s="1357"/>
      <c r="AD88" s="1372">
        <f>'izvršenje PO IZVORIMA-detaljno'!H88+'izvršenje PO IZVORIMA-detaljno'!N88</f>
        <v>0</v>
      </c>
      <c r="AE88" s="1350">
        <f t="shared" si="250"/>
        <v>0</v>
      </c>
      <c r="AF88" s="1372">
        <f>'izvršenje PO IZVORIMA-detaljno'!I88+'izvršenje PO IZVORIMA-detaljno'!O88</f>
        <v>0</v>
      </c>
      <c r="AG88" s="1357"/>
      <c r="AH88" s="1372">
        <f>'izvršenje PO IZVORIMA-detaljno'!K88+'izvršenje PO IZVORIMA-detaljno'!Q88</f>
        <v>0</v>
      </c>
      <c r="AI88" s="1350">
        <f t="shared" si="251"/>
        <v>0</v>
      </c>
      <c r="AJ88" s="1357"/>
      <c r="AK88" s="1357"/>
      <c r="AL88" s="1383">
        <f>'izvršenje PO IZVORIMA-detaljno'!T88+'izvršenje PO IZVORIMA-detaljno'!U88</f>
        <v>0</v>
      </c>
      <c r="AM88" s="1350">
        <f t="shared" si="252"/>
        <v>0</v>
      </c>
      <c r="AN88" s="1370"/>
      <c r="AO88" s="1357"/>
      <c r="AP88" s="1370"/>
      <c r="AQ88" s="1350">
        <f t="shared" si="253"/>
        <v>0</v>
      </c>
      <c r="AR88" s="1357"/>
      <c r="AS88" s="1357"/>
      <c r="AT88" s="1370"/>
      <c r="AU88" s="1350">
        <f t="shared" si="254"/>
        <v>0</v>
      </c>
      <c r="AV88" s="1357"/>
      <c r="AW88" s="1358"/>
      <c r="AX88" s="1435"/>
      <c r="AY88" s="1401"/>
      <c r="AZ88" s="1444"/>
      <c r="BA88" s="180"/>
      <c r="BB88" s="178"/>
      <c r="BC88" s="57"/>
      <c r="BD88" s="126">
        <f>J88+M88+P88+T88+W88+Z88+AD88+AH88+AL88+AP88+AT88+AW88</f>
        <v>2174.67</v>
      </c>
      <c r="BE88" s="62">
        <v>323111</v>
      </c>
      <c r="BF88" s="518"/>
      <c r="BG88" s="493"/>
      <c r="BH88" s="493"/>
      <c r="BI88" s="530"/>
      <c r="BJ88" s="487"/>
      <c r="BK88" s="487"/>
      <c r="BL88" s="487"/>
      <c r="BM88" s="487"/>
    </row>
    <row r="89" spans="1:65" x14ac:dyDescent="0.25">
      <c r="A89" s="44">
        <v>323121</v>
      </c>
      <c r="B89" s="499" t="s">
        <v>55</v>
      </c>
      <c r="C89" s="75">
        <f t="shared" si="325"/>
        <v>63.635277722476602</v>
      </c>
      <c r="D89" s="5"/>
      <c r="E89" s="122">
        <f t="shared" si="326"/>
        <v>102.33</v>
      </c>
      <c r="F89" s="235">
        <f t="shared" si="275"/>
        <v>160.80702978350644</v>
      </c>
      <c r="G89" s="237">
        <f t="shared" si="276"/>
        <v>0</v>
      </c>
      <c r="H89" s="124"/>
      <c r="I89" s="124"/>
      <c r="J89" s="176">
        <f>'izvršenje PO IZVORIMA-detaljno'!E89</f>
        <v>0</v>
      </c>
      <c r="K89" s="1287">
        <f t="shared" ref="K89:K120" si="327">IF(I89&lt;&gt;0,J89/I89*100,0)</f>
        <v>0</v>
      </c>
      <c r="L89" s="52"/>
      <c r="M89" s="51"/>
      <c r="N89" s="1419">
        <f>'izvršenje PO IZVORIMA-detaljno'!V89</f>
        <v>56.9991373017453</v>
      </c>
      <c r="O89" s="1314"/>
      <c r="P89" s="1326">
        <f>'izvršenje PO IZVORIMA-detaljno'!X89</f>
        <v>57</v>
      </c>
      <c r="Q89" s="1313">
        <f t="shared" si="247"/>
        <v>0</v>
      </c>
      <c r="R89" s="1314"/>
      <c r="S89" s="1314"/>
      <c r="T89" s="1326">
        <f>'izvršenje PO IZVORIMA-detaljno'!AA89</f>
        <v>0</v>
      </c>
      <c r="U89" s="1313">
        <f t="shared" si="248"/>
        <v>0</v>
      </c>
      <c r="V89" s="1314"/>
      <c r="W89" s="1315"/>
      <c r="X89" s="1307"/>
      <c r="Y89" s="1307"/>
      <c r="Z89" s="1326">
        <f>'izvršenje PO IZVORIMA-detaljno'!AM89+'izvršenje PO IZVORIMA-detaljno'!AJ89+'izvršenje PO IZVORIMA-detaljno'!AC89</f>
        <v>0</v>
      </c>
      <c r="AA89" s="1313">
        <f t="shared" si="249"/>
        <v>0</v>
      </c>
      <c r="AB89" s="1357"/>
      <c r="AC89" s="1357"/>
      <c r="AD89" s="1372">
        <f>'izvršenje PO IZVORIMA-detaljno'!H89+'izvršenje PO IZVORIMA-detaljno'!N89</f>
        <v>0</v>
      </c>
      <c r="AE89" s="1355">
        <f t="shared" si="250"/>
        <v>0</v>
      </c>
      <c r="AF89" s="1372">
        <f>'izvršenje PO IZVORIMA-detaljno'!I89+'izvršenje PO IZVORIMA-detaljno'!O89</f>
        <v>6.6361404207313024</v>
      </c>
      <c r="AG89" s="1357"/>
      <c r="AH89" s="1372">
        <f>'izvršenje PO IZVORIMA-detaljno'!K89+'izvršenje PO IZVORIMA-detaljno'!Q89</f>
        <v>45.33</v>
      </c>
      <c r="AI89" s="1355">
        <f t="shared" si="251"/>
        <v>0</v>
      </c>
      <c r="AJ89" s="1357"/>
      <c r="AK89" s="1357"/>
      <c r="AL89" s="1383">
        <f>'izvršenje PO IZVORIMA-detaljno'!T89+'izvršenje PO IZVORIMA-detaljno'!U89</f>
        <v>0</v>
      </c>
      <c r="AM89" s="1355">
        <f t="shared" si="252"/>
        <v>0</v>
      </c>
      <c r="AN89" s="1370"/>
      <c r="AO89" s="1357"/>
      <c r="AP89" s="1370"/>
      <c r="AQ89" s="1355">
        <f t="shared" si="253"/>
        <v>0</v>
      </c>
      <c r="AR89" s="1357"/>
      <c r="AS89" s="1357"/>
      <c r="AT89" s="1370"/>
      <c r="AU89" s="1355">
        <f t="shared" si="254"/>
        <v>0</v>
      </c>
      <c r="AV89" s="1357"/>
      <c r="AW89" s="1358"/>
      <c r="AX89" s="1435"/>
      <c r="AY89" s="1401"/>
      <c r="AZ89" s="1444"/>
      <c r="BA89" s="180"/>
      <c r="BB89" s="178"/>
      <c r="BC89" s="57"/>
      <c r="BD89" s="126">
        <f>J89+M89+P89+T89+W89+Z89+AD89+AH89+AL89+AP89+AT89+AW89</f>
        <v>102.33</v>
      </c>
      <c r="BE89" s="44">
        <v>323121</v>
      </c>
      <c r="BG89" s="484"/>
      <c r="BH89" s="484"/>
      <c r="BI89" s="527"/>
    </row>
    <row r="90" spans="1:65" x14ac:dyDescent="0.25">
      <c r="A90" s="46">
        <v>323131</v>
      </c>
      <c r="B90" s="504" t="s">
        <v>56</v>
      </c>
      <c r="C90" s="75">
        <f t="shared" si="325"/>
        <v>577.00710067025011</v>
      </c>
      <c r="D90" s="4"/>
      <c r="E90" s="122">
        <f t="shared" si="326"/>
        <v>867.28000000000009</v>
      </c>
      <c r="F90" s="235">
        <f t="shared" si="275"/>
        <v>150.30664249929848</v>
      </c>
      <c r="G90" s="237">
        <f t="shared" si="276"/>
        <v>0</v>
      </c>
      <c r="H90" s="124"/>
      <c r="I90" s="124"/>
      <c r="J90" s="176">
        <f>'izvršenje PO IZVORIMA-detaljno'!E90</f>
        <v>0</v>
      </c>
      <c r="K90" s="1287">
        <f t="shared" si="327"/>
        <v>0</v>
      </c>
      <c r="L90" s="52"/>
      <c r="M90" s="51"/>
      <c r="N90" s="1419">
        <f>'izvršenje PO IZVORIMA-detaljno'!V90</f>
        <v>560.08494259738529</v>
      </c>
      <c r="O90" s="1314"/>
      <c r="P90" s="1326">
        <f>'izvršenje PO IZVORIMA-detaljno'!X90</f>
        <v>846.73000000000013</v>
      </c>
      <c r="Q90" s="1313">
        <f t="shared" si="247"/>
        <v>0</v>
      </c>
      <c r="R90" s="1314"/>
      <c r="S90" s="1314"/>
      <c r="T90" s="1326">
        <f>'izvršenje PO IZVORIMA-detaljno'!AA90</f>
        <v>0</v>
      </c>
      <c r="U90" s="1313">
        <f t="shared" si="248"/>
        <v>0</v>
      </c>
      <c r="V90" s="1314"/>
      <c r="W90" s="1315"/>
      <c r="X90" s="1307"/>
      <c r="Y90" s="1307"/>
      <c r="Z90" s="1326">
        <f>'izvršenje PO IZVORIMA-detaljno'!AM90+'izvršenje PO IZVORIMA-detaljno'!AJ90+'izvršenje PO IZVORIMA-detaljno'!AC90</f>
        <v>0</v>
      </c>
      <c r="AA90" s="1313">
        <f t="shared" si="249"/>
        <v>0</v>
      </c>
      <c r="AB90" s="1357"/>
      <c r="AC90" s="1357"/>
      <c r="AD90" s="1372">
        <f>'izvršenje PO IZVORIMA-detaljno'!H90+'izvršenje PO IZVORIMA-detaljno'!N90</f>
        <v>0</v>
      </c>
      <c r="AE90" s="1355">
        <f t="shared" si="250"/>
        <v>0</v>
      </c>
      <c r="AF90" s="1372">
        <f>'izvršenje PO IZVORIMA-detaljno'!I90+'izvršenje PO IZVORIMA-detaljno'!O90</f>
        <v>0</v>
      </c>
      <c r="AG90" s="1357"/>
      <c r="AH90" s="1372">
        <f>'izvršenje PO IZVORIMA-detaljno'!K90+'izvršenje PO IZVORIMA-detaljno'!Q90</f>
        <v>0</v>
      </c>
      <c r="AI90" s="1355">
        <f t="shared" si="251"/>
        <v>0</v>
      </c>
      <c r="AJ90" s="1357"/>
      <c r="AK90" s="1357"/>
      <c r="AL90" s="1383">
        <f>'izvršenje PO IZVORIMA-detaljno'!T90+'izvršenje PO IZVORIMA-detaljno'!U90</f>
        <v>0</v>
      </c>
      <c r="AM90" s="1355">
        <f t="shared" si="252"/>
        <v>0</v>
      </c>
      <c r="AN90" s="1372">
        <f>'izvršenje PO IZVORIMA-detaljno'!AN90</f>
        <v>16.922158072864821</v>
      </c>
      <c r="AO90" s="1357"/>
      <c r="AP90" s="1372">
        <f>'izvršenje PO IZVORIMA-detaljno'!AP90</f>
        <v>20.55</v>
      </c>
      <c r="AQ90" s="1355">
        <f t="shared" si="253"/>
        <v>0</v>
      </c>
      <c r="AR90" s="1357"/>
      <c r="AS90" s="1357"/>
      <c r="AT90" s="1370"/>
      <c r="AU90" s="1355">
        <f t="shared" si="254"/>
        <v>0</v>
      </c>
      <c r="AV90" s="1357"/>
      <c r="AW90" s="1358"/>
      <c r="AX90" s="1435"/>
      <c r="AY90" s="1401"/>
      <c r="AZ90" s="1444"/>
      <c r="BA90" s="180"/>
      <c r="BB90" s="178"/>
      <c r="BC90" s="57"/>
      <c r="BD90" s="126">
        <f>J90+M90+P90+T90+W90+Z90+AD90+AH90+AL90+AP90+AT90+AW90</f>
        <v>867.28000000000009</v>
      </c>
      <c r="BE90" s="46">
        <v>323131</v>
      </c>
      <c r="BG90" s="484"/>
      <c r="BH90" s="484"/>
      <c r="BI90" s="527"/>
    </row>
    <row r="91" spans="1:65" s="2" customFormat="1" ht="15.75" thickBot="1" x14ac:dyDescent="0.3">
      <c r="A91" s="46">
        <v>323191</v>
      </c>
      <c r="B91" s="504" t="s">
        <v>57</v>
      </c>
      <c r="C91" s="75">
        <f t="shared" si="325"/>
        <v>5387.3568252704226</v>
      </c>
      <c r="D91" s="4"/>
      <c r="E91" s="122">
        <f t="shared" si="326"/>
        <v>46339.96</v>
      </c>
      <c r="F91" s="242">
        <f t="shared" si="275"/>
        <v>860.16132777085784</v>
      </c>
      <c r="G91" s="243">
        <f t="shared" si="276"/>
        <v>0</v>
      </c>
      <c r="H91" s="125"/>
      <c r="I91" s="125"/>
      <c r="J91" s="176">
        <f>'izvršenje PO IZVORIMA-detaljno'!E91</f>
        <v>0</v>
      </c>
      <c r="K91" s="1288">
        <f t="shared" si="327"/>
        <v>0</v>
      </c>
      <c r="L91" s="59"/>
      <c r="M91" s="60"/>
      <c r="N91" s="1419">
        <f>'izvršenje PO IZVORIMA-detaljno'!V91</f>
        <v>30.526245935363992</v>
      </c>
      <c r="O91" s="1328"/>
      <c r="P91" s="1326">
        <f>'izvršenje PO IZVORIMA-detaljno'!X91</f>
        <v>144</v>
      </c>
      <c r="Q91" s="1316">
        <f t="shared" si="247"/>
        <v>0</v>
      </c>
      <c r="R91" s="1328"/>
      <c r="S91" s="1328"/>
      <c r="T91" s="1326">
        <f>'izvršenje PO IZVORIMA-detaljno'!AA91</f>
        <v>0</v>
      </c>
      <c r="U91" s="1316">
        <f t="shared" si="248"/>
        <v>0</v>
      </c>
      <c r="V91" s="1328"/>
      <c r="W91" s="1329"/>
      <c r="X91" s="1307"/>
      <c r="Y91" s="1307"/>
      <c r="Z91" s="1326">
        <f>'izvršenje PO IZVORIMA-detaljno'!AM91+'izvršenje PO IZVORIMA-detaljno'!AJ91+'izvršenje PO IZVORIMA-detaljno'!AC91</f>
        <v>0</v>
      </c>
      <c r="AA91" s="1316">
        <f t="shared" si="249"/>
        <v>0</v>
      </c>
      <c r="AB91" s="1380"/>
      <c r="AC91" s="1380"/>
      <c r="AD91" s="1372">
        <f>'izvršenje PO IZVORIMA-detaljno'!H91+'izvršenje PO IZVORIMA-detaljno'!N91</f>
        <v>0</v>
      </c>
      <c r="AE91" s="1359">
        <f t="shared" si="250"/>
        <v>0</v>
      </c>
      <c r="AF91" s="1383">
        <f>'izvršenje PO IZVORIMA-detaljno'!I91+'izvršenje PO IZVORIMA-detaljno'!O91</f>
        <v>1428.3628641582056</v>
      </c>
      <c r="AG91" s="1380"/>
      <c r="AH91" s="1372">
        <f>'izvršenje PO IZVORIMA-detaljno'!K91+'izvršenje PO IZVORIMA-detaljno'!Q91</f>
        <v>28260.93</v>
      </c>
      <c r="AI91" s="1359">
        <f t="shared" si="251"/>
        <v>0</v>
      </c>
      <c r="AJ91" s="1380"/>
      <c r="AK91" s="1380"/>
      <c r="AL91" s="1383">
        <f>'izvršenje PO IZVORIMA-detaljno'!T91+'izvršenje PO IZVORIMA-detaljno'!U91</f>
        <v>17935.03</v>
      </c>
      <c r="AM91" s="1359">
        <f t="shared" si="252"/>
        <v>0</v>
      </c>
      <c r="AN91" s="1383">
        <f>'izvršenje PO IZVORIMA-detaljno'!AN91</f>
        <v>3928.4677151768528</v>
      </c>
      <c r="AO91" s="1380"/>
      <c r="AP91" s="1372">
        <f>'izvršenje PO IZVORIMA-detaljno'!AP91</f>
        <v>0</v>
      </c>
      <c r="AQ91" s="1359">
        <f t="shared" si="253"/>
        <v>0</v>
      </c>
      <c r="AR91" s="1380"/>
      <c r="AS91" s="1380"/>
      <c r="AT91" s="1381"/>
      <c r="AU91" s="1359">
        <f t="shared" si="254"/>
        <v>0</v>
      </c>
      <c r="AV91" s="1380"/>
      <c r="AW91" s="1382"/>
      <c r="AX91" s="1437"/>
      <c r="AY91" s="1403"/>
      <c r="AZ91" s="1450"/>
      <c r="BA91" s="208"/>
      <c r="BB91" s="210"/>
      <c r="BC91" s="61"/>
      <c r="BD91" s="126">
        <f>J91+M91+P91+T91+W91+Z91+AD91+AH91+AL91+AP91+AT91+AW91</f>
        <v>46339.96</v>
      </c>
      <c r="BE91" s="46">
        <v>323191</v>
      </c>
      <c r="BF91" s="254"/>
      <c r="BG91" s="489"/>
      <c r="BH91" s="489"/>
      <c r="BI91" s="529"/>
      <c r="BJ91" s="486"/>
      <c r="BK91" s="486"/>
      <c r="BL91" s="486"/>
      <c r="BM91" s="486"/>
    </row>
    <row r="92" spans="1:65" s="22" customFormat="1" ht="15.75" thickBot="1" x14ac:dyDescent="0.3">
      <c r="A92" s="76">
        <v>3231</v>
      </c>
      <c r="B92" s="508" t="s">
        <v>150</v>
      </c>
      <c r="C92" s="88">
        <f>SUM(C88:C91)</f>
        <v>7790.2077111951685</v>
      </c>
      <c r="D92" s="88">
        <f t="shared" ref="D92:E92" si="328">SUM(D88:D91)</f>
        <v>0</v>
      </c>
      <c r="E92" s="89">
        <f t="shared" si="328"/>
        <v>49484.24</v>
      </c>
      <c r="F92" s="253">
        <f t="shared" si="275"/>
        <v>635.21079070699329</v>
      </c>
      <c r="G92" s="252">
        <f t="shared" si="276"/>
        <v>0</v>
      </c>
      <c r="H92" s="1431">
        <f t="shared" ref="H92" si="329">SUM(H88:H91)</f>
        <v>0</v>
      </c>
      <c r="I92" s="116">
        <f t="shared" ref="I92:AL92" si="330">SUM(I88:I91)</f>
        <v>0</v>
      </c>
      <c r="J92" s="88">
        <f t="shared" si="330"/>
        <v>0</v>
      </c>
      <c r="K92" s="252">
        <f t="shared" si="327"/>
        <v>0</v>
      </c>
      <c r="L92" s="88">
        <f t="shared" si="330"/>
        <v>0</v>
      </c>
      <c r="M92" s="113">
        <f t="shared" si="330"/>
        <v>0</v>
      </c>
      <c r="N92" s="1610">
        <f t="shared" ref="N92" si="331">SUM(N88:N91)</f>
        <v>2409.8188333665139</v>
      </c>
      <c r="O92" s="88">
        <f t="shared" si="330"/>
        <v>0</v>
      </c>
      <c r="P92" s="88">
        <f>SUM(P88:P91)</f>
        <v>3222.4</v>
      </c>
      <c r="Q92" s="252">
        <f t="shared" si="247"/>
        <v>0</v>
      </c>
      <c r="R92" s="88">
        <f t="shared" ref="R92" si="332">SUM(R88:R91)</f>
        <v>0</v>
      </c>
      <c r="S92" s="88">
        <f t="shared" si="330"/>
        <v>0</v>
      </c>
      <c r="T92" s="88">
        <f t="shared" si="330"/>
        <v>0</v>
      </c>
      <c r="U92" s="252">
        <f t="shared" si="248"/>
        <v>0</v>
      </c>
      <c r="V92" s="88">
        <f t="shared" si="330"/>
        <v>0</v>
      </c>
      <c r="W92" s="88">
        <f t="shared" si="330"/>
        <v>0</v>
      </c>
      <c r="X92" s="82"/>
      <c r="Y92" s="82">
        <f>'izvršenje PO IZVORIMA-detaljno'!AI92+'izvršenje PO IZVORIMA-detaljno'!AL92+'izvršenje PO IZVORIMA-detaljno'!AB92</f>
        <v>0</v>
      </c>
      <c r="Z92" s="113">
        <f t="shared" si="330"/>
        <v>0</v>
      </c>
      <c r="AA92" s="252">
        <f t="shared" si="249"/>
        <v>0</v>
      </c>
      <c r="AB92" s="417"/>
      <c r="AC92" s="417">
        <f>'izvršenje PO IZVORIMA-detaljno'!G92+'izvršenje PO IZVORIMA-detaljno'!M92</f>
        <v>0</v>
      </c>
      <c r="AD92" s="88">
        <f t="shared" si="330"/>
        <v>0</v>
      </c>
      <c r="AE92" s="252">
        <f t="shared" si="250"/>
        <v>0</v>
      </c>
      <c r="AF92" s="108">
        <f>SUM(AF88:AF91)</f>
        <v>1434.999004578937</v>
      </c>
      <c r="AG92" s="108">
        <f>'izvršenje PO IZVORIMA-detaljno'!J92+'izvršenje PO IZVORIMA-detaljno'!P92</f>
        <v>0</v>
      </c>
      <c r="AH92" s="88">
        <f>SUM(AH88:AH91)</f>
        <v>28306.260000000002</v>
      </c>
      <c r="AI92" s="252">
        <f t="shared" si="251"/>
        <v>0</v>
      </c>
      <c r="AJ92" s="82"/>
      <c r="AK92" s="82">
        <f>'izvršenje PO IZVORIMA-detaljno'!S92</f>
        <v>0</v>
      </c>
      <c r="AL92" s="88">
        <f t="shared" si="330"/>
        <v>17935.03</v>
      </c>
      <c r="AM92" s="252">
        <f t="shared" si="252"/>
        <v>0</v>
      </c>
      <c r="AN92" s="82">
        <f>SUM(AN90:AN91)</f>
        <v>3945.3898732497178</v>
      </c>
      <c r="AO92" s="82">
        <f>'izvršenje PO IZVORIMA-detaljno'!AO92</f>
        <v>0</v>
      </c>
      <c r="AP92" s="88">
        <f>SUM(AP88:AP91)</f>
        <v>20.55</v>
      </c>
      <c r="AQ92" s="252">
        <f t="shared" si="253"/>
        <v>0</v>
      </c>
      <c r="AR92" s="82">
        <f>'izvršenje PO IZVORIMA-detaljno'!AQ92</f>
        <v>0</v>
      </c>
      <c r="AS92" s="82">
        <f>'izvršenje PO IZVORIMA-detaljno'!AR92</f>
        <v>0</v>
      </c>
      <c r="AT92" s="88">
        <f t="shared" ref="AT92" si="333">SUM(AT88:AT91)</f>
        <v>0</v>
      </c>
      <c r="AU92" s="252">
        <f t="shared" si="254"/>
        <v>0</v>
      </c>
      <c r="AV92" s="88">
        <f t="shared" ref="AV92:AX92" si="334">SUM(AV88:AV91)</f>
        <v>0</v>
      </c>
      <c r="AW92" s="89">
        <f t="shared" si="334"/>
        <v>0</v>
      </c>
      <c r="AX92" s="1459">
        <f t="shared" si="334"/>
        <v>0</v>
      </c>
      <c r="AY92" s="89">
        <f t="shared" ref="AY92:AZ92" si="335">SUM(AY88:AY91)</f>
        <v>0</v>
      </c>
      <c r="AZ92" s="113">
        <f t="shared" si="335"/>
        <v>0</v>
      </c>
      <c r="BA92" s="1459">
        <f t="shared" ref="BA92:BB92" si="336">SUM(BA88:BA91)</f>
        <v>0</v>
      </c>
      <c r="BB92" s="89">
        <f t="shared" si="336"/>
        <v>0</v>
      </c>
      <c r="BC92" s="411">
        <f>AV92+AS92+AO92+AK92+AG92+AC92+Y92+V92+S92+O92+L92+I92+AY92</f>
        <v>0</v>
      </c>
      <c r="BD92" s="89">
        <f t="shared" ref="BD92" si="337">SUM(BD88:BD91)</f>
        <v>49484.24</v>
      </c>
      <c r="BE92" s="76">
        <v>3231</v>
      </c>
      <c r="BF92" s="525"/>
      <c r="BG92" s="484"/>
      <c r="BH92" s="484"/>
      <c r="BI92" s="527"/>
      <c r="BJ92" s="484"/>
      <c r="BK92" s="484"/>
      <c r="BL92" s="484"/>
      <c r="BM92" s="484"/>
    </row>
    <row r="93" spans="1:65" s="6" customFormat="1" x14ac:dyDescent="0.25">
      <c r="A93" s="74">
        <v>323211</v>
      </c>
      <c r="B93" s="506" t="s">
        <v>58</v>
      </c>
      <c r="C93" s="75">
        <f t="shared" si="325"/>
        <v>1171.4287610325835</v>
      </c>
      <c r="D93" s="69"/>
      <c r="E93" s="122">
        <f t="shared" si="326"/>
        <v>0</v>
      </c>
      <c r="F93" s="240">
        <f t="shared" si="275"/>
        <v>0</v>
      </c>
      <c r="G93" s="241">
        <f t="shared" si="276"/>
        <v>0</v>
      </c>
      <c r="H93" s="124"/>
      <c r="I93" s="124"/>
      <c r="J93" s="176">
        <f>'izvršenje PO IZVORIMA-detaljno'!E93</f>
        <v>0</v>
      </c>
      <c r="K93" s="1286">
        <f t="shared" si="327"/>
        <v>0</v>
      </c>
      <c r="L93" s="52"/>
      <c r="M93" s="51"/>
      <c r="N93" s="1419">
        <f>'izvršenje PO IZVORIMA-detaljno'!V93</f>
        <v>895.28170416086004</v>
      </c>
      <c r="O93" s="1314"/>
      <c r="P93" s="1326">
        <f>'izvršenje PO IZVORIMA-detaljno'!X93</f>
        <v>0</v>
      </c>
      <c r="Q93" s="1309">
        <f t="shared" si="247"/>
        <v>0</v>
      </c>
      <c r="R93" s="1314"/>
      <c r="S93" s="1314"/>
      <c r="T93" s="1326">
        <f>'izvršenje PO IZVORIMA-detaljno'!AA93</f>
        <v>0</v>
      </c>
      <c r="U93" s="1309">
        <f t="shared" si="248"/>
        <v>0</v>
      </c>
      <c r="V93" s="1314"/>
      <c r="W93" s="1315"/>
      <c r="X93" s="1307"/>
      <c r="Y93" s="1307"/>
      <c r="Z93" s="1326">
        <f>'izvršenje PO IZVORIMA-detaljno'!AM93+'izvršenje PO IZVORIMA-detaljno'!AJ93+'izvršenje PO IZVORIMA-detaljno'!AC93</f>
        <v>0</v>
      </c>
      <c r="AA93" s="1309">
        <f t="shared" si="249"/>
        <v>0</v>
      </c>
      <c r="AB93" s="1357"/>
      <c r="AC93" s="1357"/>
      <c r="AD93" s="1370"/>
      <c r="AE93" s="1350">
        <f t="shared" si="250"/>
        <v>0</v>
      </c>
      <c r="AF93" s="1357"/>
      <c r="AG93" s="1357"/>
      <c r="AH93" s="1372">
        <f>'izvršenje PO IZVORIMA-detaljno'!K93+'izvršenje PO IZVORIMA-detaljno'!Q93</f>
        <v>0</v>
      </c>
      <c r="AI93" s="1350">
        <f t="shared" si="251"/>
        <v>0</v>
      </c>
      <c r="AJ93" s="1357"/>
      <c r="AK93" s="1357"/>
      <c r="AL93" s="1383">
        <f>'izvršenje PO IZVORIMA-detaljno'!T93+'izvršenje PO IZVORIMA-detaljno'!U93</f>
        <v>0</v>
      </c>
      <c r="AM93" s="1350">
        <f t="shared" si="252"/>
        <v>0</v>
      </c>
      <c r="AN93" s="1372">
        <f>'izvršenje PO IZVORIMA-detaljno'!AN93</f>
        <v>276.14705687172341</v>
      </c>
      <c r="AO93" s="1357"/>
      <c r="AP93" s="1372">
        <f>'izvršenje PO IZVORIMA-detaljno'!AP93</f>
        <v>0</v>
      </c>
      <c r="AQ93" s="1350">
        <f t="shared" si="253"/>
        <v>0</v>
      </c>
      <c r="AR93" s="1357"/>
      <c r="AS93" s="1357"/>
      <c r="AT93" s="1370"/>
      <c r="AU93" s="1350">
        <f t="shared" si="254"/>
        <v>0</v>
      </c>
      <c r="AV93" s="1357"/>
      <c r="AW93" s="1358"/>
      <c r="AX93" s="1435"/>
      <c r="AY93" s="1401"/>
      <c r="AZ93" s="1444"/>
      <c r="BA93" s="180"/>
      <c r="BB93" s="178"/>
      <c r="BC93" s="57"/>
      <c r="BD93" s="126">
        <f>J93+M93+P93+T93+W93+Z93+AD93+AH93+AL93+AP93+AT93+AW93</f>
        <v>0</v>
      </c>
      <c r="BE93" s="74">
        <v>323211</v>
      </c>
      <c r="BF93" s="518"/>
      <c r="BG93" s="493"/>
      <c r="BH93" s="493"/>
      <c r="BI93" s="530"/>
      <c r="BJ93" s="487"/>
      <c r="BK93" s="487"/>
      <c r="BL93" s="487"/>
      <c r="BM93" s="487"/>
    </row>
    <row r="94" spans="1:65" s="6" customFormat="1" x14ac:dyDescent="0.25">
      <c r="A94" s="45">
        <v>323221</v>
      </c>
      <c r="B94" s="507" t="s">
        <v>59</v>
      </c>
      <c r="C94" s="75">
        <f t="shared" si="325"/>
        <v>0</v>
      </c>
      <c r="D94" s="5"/>
      <c r="E94" s="122">
        <f t="shared" si="326"/>
        <v>13726.009999999997</v>
      </c>
      <c r="F94" s="235">
        <f t="shared" si="275"/>
        <v>0</v>
      </c>
      <c r="G94" s="237">
        <f t="shared" si="276"/>
        <v>0</v>
      </c>
      <c r="H94" s="124"/>
      <c r="I94" s="124"/>
      <c r="J94" s="176">
        <f>'izvršenje PO IZVORIMA-detaljno'!E94</f>
        <v>0</v>
      </c>
      <c r="K94" s="1287">
        <f t="shared" si="327"/>
        <v>0</v>
      </c>
      <c r="L94" s="52"/>
      <c r="M94" s="51"/>
      <c r="N94" s="1419">
        <f>'izvršenje PO IZVORIMA-detaljno'!V94</f>
        <v>0</v>
      </c>
      <c r="O94" s="1314"/>
      <c r="P94" s="1326">
        <f>'izvršenje PO IZVORIMA-detaljno'!X94</f>
        <v>5053.0699999999979</v>
      </c>
      <c r="Q94" s="1313">
        <f t="shared" si="247"/>
        <v>0</v>
      </c>
      <c r="R94" s="1326">
        <f>'izvršenje PO IZVORIMA-detaljno'!Y94</f>
        <v>0</v>
      </c>
      <c r="S94" s="1314"/>
      <c r="T94" s="1326">
        <f>'izvršenje PO IZVORIMA-detaljno'!AA94</f>
        <v>6512.88</v>
      </c>
      <c r="U94" s="1313">
        <f t="shared" si="248"/>
        <v>0</v>
      </c>
      <c r="V94" s="1314"/>
      <c r="W94" s="1315"/>
      <c r="X94" s="1307"/>
      <c r="Y94" s="1307"/>
      <c r="Z94" s="1326">
        <f>'izvršenje PO IZVORIMA-detaljno'!AM94+'izvršenje PO IZVORIMA-detaljno'!AJ94+'izvršenje PO IZVORIMA-detaljno'!AC94</f>
        <v>349.4</v>
      </c>
      <c r="AA94" s="1313">
        <f t="shared" si="249"/>
        <v>0</v>
      </c>
      <c r="AB94" s="1357"/>
      <c r="AC94" s="1357"/>
      <c r="AD94" s="1370"/>
      <c r="AE94" s="1355">
        <f t="shared" si="250"/>
        <v>0</v>
      </c>
      <c r="AF94" s="1357"/>
      <c r="AG94" s="1357"/>
      <c r="AH94" s="1372">
        <f>'izvršenje PO IZVORIMA-detaljno'!K94+'izvršenje PO IZVORIMA-detaljno'!Q94</f>
        <v>0</v>
      </c>
      <c r="AI94" s="1355">
        <f t="shared" si="251"/>
        <v>0</v>
      </c>
      <c r="AJ94" s="1357"/>
      <c r="AK94" s="1357"/>
      <c r="AL94" s="1383">
        <f>'izvršenje PO IZVORIMA-detaljno'!T94+'izvršenje PO IZVORIMA-detaljno'!U94</f>
        <v>0</v>
      </c>
      <c r="AM94" s="1355">
        <f t="shared" si="252"/>
        <v>0</v>
      </c>
      <c r="AN94" s="1357"/>
      <c r="AO94" s="1357"/>
      <c r="AP94" s="1372">
        <f>'izvršenje PO IZVORIMA-detaljno'!AP94</f>
        <v>1810.6599999999999</v>
      </c>
      <c r="AQ94" s="1355">
        <f t="shared" si="253"/>
        <v>0</v>
      </c>
      <c r="AR94" s="1357"/>
      <c r="AS94" s="1357"/>
      <c r="AT94" s="1370"/>
      <c r="AU94" s="1355">
        <f t="shared" si="254"/>
        <v>0</v>
      </c>
      <c r="AV94" s="1357"/>
      <c r="AW94" s="1358"/>
      <c r="AX94" s="1435"/>
      <c r="AY94" s="1401"/>
      <c r="AZ94" s="1444"/>
      <c r="BA94" s="180"/>
      <c r="BB94" s="178"/>
      <c r="BC94" s="57"/>
      <c r="BD94" s="126">
        <f>J94+M94+P94+T94+W94+Z94+AD94+AH94+AL94+AP94+AT94+AW94</f>
        <v>13726.009999999997</v>
      </c>
      <c r="BE94" s="45">
        <v>323221</v>
      </c>
      <c r="BF94" s="518"/>
      <c r="BG94" s="493"/>
      <c r="BH94" s="493"/>
      <c r="BI94" s="530"/>
      <c r="BJ94" s="487"/>
      <c r="BK94" s="487"/>
      <c r="BL94" s="487"/>
      <c r="BM94" s="487"/>
    </row>
    <row r="95" spans="1:65" s="2" customFormat="1" ht="15.75" thickBot="1" x14ac:dyDescent="0.3">
      <c r="A95" s="46">
        <v>323291</v>
      </c>
      <c r="B95" s="504" t="s">
        <v>60</v>
      </c>
      <c r="C95" s="75">
        <f t="shared" si="325"/>
        <v>4023.7494193377129</v>
      </c>
      <c r="D95" s="4"/>
      <c r="E95" s="122">
        <f t="shared" si="326"/>
        <v>7147.23</v>
      </c>
      <c r="F95" s="242">
        <f t="shared" si="275"/>
        <v>177.62612069357922</v>
      </c>
      <c r="G95" s="243">
        <f t="shared" si="276"/>
        <v>0</v>
      </c>
      <c r="H95" s="125"/>
      <c r="I95" s="125"/>
      <c r="J95" s="176">
        <f>'izvršenje PO IZVORIMA-detaljno'!E95</f>
        <v>0</v>
      </c>
      <c r="K95" s="1288">
        <f t="shared" si="327"/>
        <v>0</v>
      </c>
      <c r="L95" s="59"/>
      <c r="M95" s="60"/>
      <c r="N95" s="1419">
        <f>'izvršenje PO IZVORIMA-detaljno'!V95</f>
        <v>4023.7494193377129</v>
      </c>
      <c r="O95" s="1328"/>
      <c r="P95" s="1326">
        <f>'izvršenje PO IZVORIMA-detaljno'!X95</f>
        <v>7147.23</v>
      </c>
      <c r="Q95" s="1316">
        <f t="shared" si="247"/>
        <v>0</v>
      </c>
      <c r="R95" s="1328"/>
      <c r="S95" s="1328"/>
      <c r="T95" s="1326">
        <f>'izvršenje PO IZVORIMA-detaljno'!AA95</f>
        <v>0</v>
      </c>
      <c r="U95" s="1316">
        <f t="shared" si="248"/>
        <v>0</v>
      </c>
      <c r="V95" s="1328"/>
      <c r="W95" s="1329"/>
      <c r="X95" s="1307"/>
      <c r="Y95" s="1307"/>
      <c r="Z95" s="1326">
        <f>'izvršenje PO IZVORIMA-detaljno'!AM95+'izvršenje PO IZVORIMA-detaljno'!AJ95+'izvršenje PO IZVORIMA-detaljno'!AC95</f>
        <v>0</v>
      </c>
      <c r="AA95" s="1316">
        <f t="shared" si="249"/>
        <v>0</v>
      </c>
      <c r="AB95" s="1380"/>
      <c r="AC95" s="1380"/>
      <c r="AD95" s="1381"/>
      <c r="AE95" s="1359">
        <f t="shared" si="250"/>
        <v>0</v>
      </c>
      <c r="AF95" s="1380"/>
      <c r="AG95" s="1380"/>
      <c r="AH95" s="1372">
        <f>'izvršenje PO IZVORIMA-detaljno'!K95+'izvršenje PO IZVORIMA-detaljno'!Q95</f>
        <v>0</v>
      </c>
      <c r="AI95" s="1359">
        <f t="shared" si="251"/>
        <v>0</v>
      </c>
      <c r="AJ95" s="1380"/>
      <c r="AK95" s="1380"/>
      <c r="AL95" s="1383">
        <f>'izvršenje PO IZVORIMA-detaljno'!T95+'izvršenje PO IZVORIMA-detaljno'!U95</f>
        <v>0</v>
      </c>
      <c r="AM95" s="1359">
        <f t="shared" si="252"/>
        <v>0</v>
      </c>
      <c r="AN95" s="1380"/>
      <c r="AO95" s="1380"/>
      <c r="AP95" s="1372">
        <f>'izvršenje PO IZVORIMA-detaljno'!AP95</f>
        <v>0</v>
      </c>
      <c r="AQ95" s="1359">
        <f t="shared" si="253"/>
        <v>0</v>
      </c>
      <c r="AR95" s="1380"/>
      <c r="AS95" s="1380"/>
      <c r="AT95" s="1381"/>
      <c r="AU95" s="1359">
        <f t="shared" si="254"/>
        <v>0</v>
      </c>
      <c r="AV95" s="1380"/>
      <c r="AW95" s="1382"/>
      <c r="AX95" s="1437"/>
      <c r="AY95" s="1403"/>
      <c r="AZ95" s="1450"/>
      <c r="BA95" s="208"/>
      <c r="BB95" s="210"/>
      <c r="BC95" s="61"/>
      <c r="BD95" s="126">
        <f>J95+M95+P95+T95+W95+Z95+AD95+AH95+AL95+AP95+AT95+AW95</f>
        <v>7147.23</v>
      </c>
      <c r="BE95" s="46">
        <v>323291</v>
      </c>
      <c r="BF95" s="254"/>
      <c r="BG95" s="489"/>
      <c r="BH95" s="489"/>
      <c r="BI95" s="529"/>
      <c r="BJ95" s="486"/>
      <c r="BK95" s="486"/>
      <c r="BL95" s="486"/>
      <c r="BM95" s="486"/>
    </row>
    <row r="96" spans="1:65" s="1539" customFormat="1" ht="15.75" thickBot="1" x14ac:dyDescent="0.3">
      <c r="A96" s="76">
        <v>3232</v>
      </c>
      <c r="B96" s="505" t="s">
        <v>61</v>
      </c>
      <c r="C96" s="82">
        <f>SUM(C93:C95)</f>
        <v>5195.1781803702961</v>
      </c>
      <c r="D96" s="82">
        <f t="shared" ref="D96:E96" si="338">D93+D94+D95</f>
        <v>0</v>
      </c>
      <c r="E96" s="83">
        <f t="shared" si="338"/>
        <v>20873.239999999998</v>
      </c>
      <c r="F96" s="253">
        <f t="shared" si="275"/>
        <v>401.78102223458711</v>
      </c>
      <c r="G96" s="252">
        <f t="shared" si="276"/>
        <v>0</v>
      </c>
      <c r="H96" s="411">
        <f t="shared" ref="H96" si="339">H93+H94+H95</f>
        <v>0</v>
      </c>
      <c r="I96" s="115">
        <f t="shared" ref="I96:AP96" si="340">I93+I94+I95</f>
        <v>0</v>
      </c>
      <c r="J96" s="82">
        <f t="shared" si="340"/>
        <v>0</v>
      </c>
      <c r="K96" s="252">
        <f t="shared" si="327"/>
        <v>0</v>
      </c>
      <c r="L96" s="82">
        <f t="shared" si="340"/>
        <v>0</v>
      </c>
      <c r="M96" s="112">
        <f t="shared" si="340"/>
        <v>0</v>
      </c>
      <c r="N96" s="417">
        <f>N93+N94+N95</f>
        <v>4919.0311234985729</v>
      </c>
      <c r="O96" s="82">
        <f t="shared" si="340"/>
        <v>0</v>
      </c>
      <c r="P96" s="82">
        <f t="shared" si="340"/>
        <v>12200.299999999997</v>
      </c>
      <c r="Q96" s="252">
        <f t="shared" si="247"/>
        <v>0</v>
      </c>
      <c r="R96" s="82">
        <f t="shared" si="340"/>
        <v>0</v>
      </c>
      <c r="S96" s="82">
        <f t="shared" si="340"/>
        <v>0</v>
      </c>
      <c r="T96" s="82">
        <f>T93+T94+T95</f>
        <v>6512.88</v>
      </c>
      <c r="U96" s="252">
        <f t="shared" si="248"/>
        <v>0</v>
      </c>
      <c r="V96" s="82">
        <f t="shared" si="340"/>
        <v>0</v>
      </c>
      <c r="W96" s="82">
        <f t="shared" si="340"/>
        <v>0</v>
      </c>
      <c r="X96" s="82"/>
      <c r="Y96" s="82">
        <f>'izvršenje PO IZVORIMA-detaljno'!AI96+'izvršenje PO IZVORIMA-detaljno'!AL96+'izvršenje PO IZVORIMA-detaljno'!AB96</f>
        <v>0</v>
      </c>
      <c r="Z96" s="112">
        <f t="shared" si="340"/>
        <v>349.4</v>
      </c>
      <c r="AA96" s="252">
        <f t="shared" si="249"/>
        <v>0</v>
      </c>
      <c r="AB96" s="417"/>
      <c r="AC96" s="417">
        <f>'izvršenje PO IZVORIMA-detaljno'!G96+'izvršenje PO IZVORIMA-detaljno'!M96</f>
        <v>0</v>
      </c>
      <c r="AD96" s="82">
        <f t="shared" si="340"/>
        <v>0</v>
      </c>
      <c r="AE96" s="252">
        <f t="shared" si="250"/>
        <v>0</v>
      </c>
      <c r="AF96" s="108"/>
      <c r="AG96" s="108">
        <f>'izvršenje PO IZVORIMA-detaljno'!J96+'izvršenje PO IZVORIMA-detaljno'!P96</f>
        <v>0</v>
      </c>
      <c r="AH96" s="82">
        <f t="shared" si="340"/>
        <v>0</v>
      </c>
      <c r="AI96" s="252">
        <f t="shared" si="251"/>
        <v>0</v>
      </c>
      <c r="AJ96" s="82"/>
      <c r="AK96" s="82">
        <f>'izvršenje PO IZVORIMA-detaljno'!S96</f>
        <v>0</v>
      </c>
      <c r="AL96" s="82">
        <f t="shared" si="340"/>
        <v>0</v>
      </c>
      <c r="AM96" s="252">
        <f t="shared" si="252"/>
        <v>0</v>
      </c>
      <c r="AN96" s="82">
        <f>SUM(AN93:AN95)</f>
        <v>276.14705687172341</v>
      </c>
      <c r="AO96" s="82">
        <f>'izvršenje PO IZVORIMA-detaljno'!AO96</f>
        <v>0</v>
      </c>
      <c r="AP96" s="82">
        <f t="shared" si="340"/>
        <v>1810.6599999999999</v>
      </c>
      <c r="AQ96" s="252">
        <f t="shared" si="253"/>
        <v>0</v>
      </c>
      <c r="AR96" s="82">
        <f>'izvršenje PO IZVORIMA-detaljno'!AQ96</f>
        <v>0</v>
      </c>
      <c r="AS96" s="82">
        <f>'izvršenje PO IZVORIMA-detaljno'!AR96</f>
        <v>0</v>
      </c>
      <c r="AT96" s="82">
        <f t="shared" ref="AT96" si="341">AT93+AT94+AT95</f>
        <v>0</v>
      </c>
      <c r="AU96" s="252">
        <f t="shared" si="254"/>
        <v>0</v>
      </c>
      <c r="AV96" s="82">
        <f t="shared" ref="AV96:AX96" si="342">AV93+AV94+AV95</f>
        <v>0</v>
      </c>
      <c r="AW96" s="83">
        <f t="shared" si="342"/>
        <v>0</v>
      </c>
      <c r="AX96" s="407">
        <f t="shared" si="342"/>
        <v>0</v>
      </c>
      <c r="AY96" s="83">
        <f t="shared" ref="AY96:AZ96" si="343">AY93+AY94+AY95</f>
        <v>0</v>
      </c>
      <c r="AZ96" s="112">
        <f t="shared" si="343"/>
        <v>0</v>
      </c>
      <c r="BA96" s="407">
        <f t="shared" ref="BA96:BB96" si="344">BA93+BA94+BA95</f>
        <v>0</v>
      </c>
      <c r="BB96" s="83">
        <f t="shared" si="344"/>
        <v>0</v>
      </c>
      <c r="BC96" s="411">
        <f>AV96+AS96+AO96+AK96+AG96+AC96+Y96+V96+S96+O96+L96+I96+AY96</f>
        <v>0</v>
      </c>
      <c r="BD96" s="83">
        <f t="shared" ref="BD96" si="345">BD93+BD94+BD95</f>
        <v>20873.239999999998</v>
      </c>
      <c r="BE96" s="76">
        <v>3232</v>
      </c>
      <c r="BF96" s="522"/>
      <c r="BG96" s="493"/>
      <c r="BH96" s="493"/>
      <c r="BI96" s="530"/>
      <c r="BJ96" s="493"/>
      <c r="BK96" s="493"/>
      <c r="BL96" s="493"/>
      <c r="BM96" s="493"/>
    </row>
    <row r="97" spans="1:65" x14ac:dyDescent="0.25">
      <c r="A97" s="62">
        <v>323311</v>
      </c>
      <c r="B97" s="498" t="s">
        <v>149</v>
      </c>
      <c r="C97" s="75">
        <f t="shared" si="325"/>
        <v>1244.2763288871192</v>
      </c>
      <c r="D97" s="80"/>
      <c r="E97" s="122">
        <f t="shared" si="326"/>
        <v>1476.53</v>
      </c>
      <c r="F97" s="240">
        <f t="shared" si="275"/>
        <v>118.66576304</v>
      </c>
      <c r="G97" s="241">
        <f t="shared" si="276"/>
        <v>0</v>
      </c>
      <c r="H97" s="124"/>
      <c r="I97" s="124"/>
      <c r="J97" s="176">
        <f>'izvršenje PO IZVORIMA-detaljno'!E97</f>
        <v>0</v>
      </c>
      <c r="K97" s="1286">
        <f t="shared" si="327"/>
        <v>0</v>
      </c>
      <c r="L97" s="52"/>
      <c r="M97" s="51"/>
      <c r="N97" s="1419">
        <f>'izvršenje PO IZVORIMA-detaljno'!V97</f>
        <v>0</v>
      </c>
      <c r="O97" s="1314"/>
      <c r="P97" s="1326">
        <f>'izvršenje PO IZVORIMA-detaljno'!X97</f>
        <v>0</v>
      </c>
      <c r="Q97" s="1309">
        <f t="shared" si="247"/>
        <v>0</v>
      </c>
      <c r="R97" s="1326">
        <f>'izvršenje PO IZVORIMA-detaljno'!Y97</f>
        <v>12.932510451921162</v>
      </c>
      <c r="S97" s="1314"/>
      <c r="T97" s="1326">
        <f>'izvršenje PO IZVORIMA-detaljno'!AA97</f>
        <v>286.8</v>
      </c>
      <c r="U97" s="1309">
        <f t="shared" si="248"/>
        <v>0</v>
      </c>
      <c r="V97" s="1314"/>
      <c r="W97" s="1315"/>
      <c r="X97" s="1307"/>
      <c r="Y97" s="1307"/>
      <c r="Z97" s="1326">
        <f>'izvršenje PO IZVORIMA-detaljno'!AM97+'izvršenje PO IZVORIMA-detaljno'!AJ97+'izvršenje PO IZVORIMA-detaljno'!AC97</f>
        <v>0</v>
      </c>
      <c r="AA97" s="1309">
        <f t="shared" si="249"/>
        <v>0</v>
      </c>
      <c r="AB97" s="1427">
        <f>'izvršenje PO IZVORIMA-detaljno'!F97+'izvršenje PO IZVORIMA-detaljno'!L97</f>
        <v>235.92275532550266</v>
      </c>
      <c r="AC97" s="1356"/>
      <c r="AD97" s="1372">
        <f>'izvršenje PO IZVORIMA-detaljno'!H97+'izvršenje PO IZVORIMA-detaljno'!N97</f>
        <v>692.03</v>
      </c>
      <c r="AE97" s="1350">
        <f t="shared" si="250"/>
        <v>0</v>
      </c>
      <c r="AF97" s="1372">
        <f>'izvršenje PO IZVORIMA-detaljno'!I97+'izvršenje PO IZVORIMA-detaljno'!O97</f>
        <v>995.4210631096953</v>
      </c>
      <c r="AG97" s="1356"/>
      <c r="AH97" s="1372">
        <f>'izvršenje PO IZVORIMA-detaljno'!K97+'izvršenje PO IZVORIMA-detaljno'!Q97</f>
        <v>497.70000000000005</v>
      </c>
      <c r="AI97" s="1350">
        <f t="shared" si="251"/>
        <v>0</v>
      </c>
      <c r="AJ97" s="1357"/>
      <c r="AK97" s="1357"/>
      <c r="AL97" s="1383">
        <f>'izvršenje PO IZVORIMA-detaljno'!T97+'izvršenje PO IZVORIMA-detaljno'!U97</f>
        <v>0</v>
      </c>
      <c r="AM97" s="1350">
        <f t="shared" si="252"/>
        <v>0</v>
      </c>
      <c r="AN97" s="1357"/>
      <c r="AO97" s="1357"/>
      <c r="AP97" s="1372">
        <f>'izvršenje PO IZVORIMA-detaljno'!AP97</f>
        <v>0</v>
      </c>
      <c r="AQ97" s="1350">
        <f t="shared" si="253"/>
        <v>0</v>
      </c>
      <c r="AR97" s="1357"/>
      <c r="AS97" s="1357"/>
      <c r="AT97" s="1370"/>
      <c r="AU97" s="1350">
        <f t="shared" si="254"/>
        <v>0</v>
      </c>
      <c r="AV97" s="1357"/>
      <c r="AW97" s="1358"/>
      <c r="AX97" s="1435"/>
      <c r="AY97" s="1401"/>
      <c r="AZ97" s="1444"/>
      <c r="BA97" s="180"/>
      <c r="BB97" s="178"/>
      <c r="BC97" s="57"/>
      <c r="BD97" s="126">
        <f>J97+M97+P97+T97+W97+Z97+AD97+AH97+AL97+AP97+AT97+AW97</f>
        <v>1476.53</v>
      </c>
      <c r="BE97" s="62">
        <v>323311</v>
      </c>
      <c r="BG97" s="484"/>
      <c r="BH97" s="484"/>
      <c r="BI97" s="527"/>
    </row>
    <row r="98" spans="1:65" x14ac:dyDescent="0.25">
      <c r="A98" s="44">
        <v>323321</v>
      </c>
      <c r="B98" s="499" t="s">
        <v>62</v>
      </c>
      <c r="C98" s="75">
        <f t="shared" si="325"/>
        <v>1482.3810471829584</v>
      </c>
      <c r="D98" s="5"/>
      <c r="E98" s="122">
        <f t="shared" si="326"/>
        <v>839.71999999999991</v>
      </c>
      <c r="F98" s="235">
        <f t="shared" si="275"/>
        <v>56.646703733548208</v>
      </c>
      <c r="G98" s="237">
        <f t="shared" si="276"/>
        <v>0</v>
      </c>
      <c r="H98" s="124"/>
      <c r="I98" s="124"/>
      <c r="J98" s="176">
        <f>'izvršenje PO IZVORIMA-detaljno'!E98</f>
        <v>0</v>
      </c>
      <c r="K98" s="1287">
        <f t="shared" si="327"/>
        <v>0</v>
      </c>
      <c r="L98" s="52"/>
      <c r="M98" s="51"/>
      <c r="N98" s="1419">
        <f>'izvršenje PO IZVORIMA-detaljno'!V98</f>
        <v>1482.3810471829584</v>
      </c>
      <c r="O98" s="1314"/>
      <c r="P98" s="1326">
        <f>'izvršenje PO IZVORIMA-detaljno'!X98</f>
        <v>0</v>
      </c>
      <c r="Q98" s="1313">
        <f t="shared" si="247"/>
        <v>0</v>
      </c>
      <c r="R98" s="1314"/>
      <c r="S98" s="1314"/>
      <c r="T98" s="1326">
        <f>'izvršenje PO IZVORIMA-detaljno'!AA98</f>
        <v>43.65</v>
      </c>
      <c r="U98" s="1313">
        <f t="shared" si="248"/>
        <v>0</v>
      </c>
      <c r="V98" s="1314"/>
      <c r="W98" s="1315"/>
      <c r="X98" s="1307"/>
      <c r="Y98" s="1307"/>
      <c r="Z98" s="1326">
        <f>'izvršenje PO IZVORIMA-detaljno'!AM98+'izvršenje PO IZVORIMA-detaljno'!AJ98+'izvršenje PO IZVORIMA-detaljno'!AC98</f>
        <v>0</v>
      </c>
      <c r="AA98" s="1313">
        <f t="shared" si="249"/>
        <v>0</v>
      </c>
      <c r="AB98" s="1357"/>
      <c r="AC98" s="1357"/>
      <c r="AD98" s="1372">
        <f>'izvršenje PO IZVORIMA-detaljno'!H98+'izvršenje PO IZVORIMA-detaljno'!N98</f>
        <v>796.06999999999994</v>
      </c>
      <c r="AE98" s="1355">
        <f t="shared" si="250"/>
        <v>0</v>
      </c>
      <c r="AF98" s="1372">
        <f>'izvršenje PO IZVORIMA-detaljno'!I98+'izvršenje PO IZVORIMA-detaljno'!O98</f>
        <v>0</v>
      </c>
      <c r="AG98" s="1357"/>
      <c r="AH98" s="1372">
        <f>'izvršenje PO IZVORIMA-detaljno'!K98+'izvršenje PO IZVORIMA-detaljno'!Q98</f>
        <v>0</v>
      </c>
      <c r="AI98" s="1355">
        <f t="shared" si="251"/>
        <v>0</v>
      </c>
      <c r="AJ98" s="1357"/>
      <c r="AK98" s="1357"/>
      <c r="AL98" s="1383">
        <f>'izvršenje PO IZVORIMA-detaljno'!T98+'izvršenje PO IZVORIMA-detaljno'!U98</f>
        <v>0</v>
      </c>
      <c r="AM98" s="1355">
        <f t="shared" si="252"/>
        <v>0</v>
      </c>
      <c r="AN98" s="1357"/>
      <c r="AO98" s="1357"/>
      <c r="AP98" s="1372">
        <f>'izvršenje PO IZVORIMA-detaljno'!AP98</f>
        <v>0</v>
      </c>
      <c r="AQ98" s="1355">
        <f t="shared" si="253"/>
        <v>0</v>
      </c>
      <c r="AR98" s="1357"/>
      <c r="AS98" s="1357"/>
      <c r="AT98" s="1370"/>
      <c r="AU98" s="1355">
        <f t="shared" si="254"/>
        <v>0</v>
      </c>
      <c r="AV98" s="1357"/>
      <c r="AW98" s="1358"/>
      <c r="AX98" s="1435"/>
      <c r="AY98" s="1401"/>
      <c r="AZ98" s="1444"/>
      <c r="BA98" s="180"/>
      <c r="BB98" s="178"/>
      <c r="BC98" s="57"/>
      <c r="BD98" s="126">
        <f>J98+M98+P98+T98+W98+Z98+AD98+AH98+AL98+AP98+AT98+AW98</f>
        <v>839.71999999999991</v>
      </c>
      <c r="BE98" s="44">
        <v>323321</v>
      </c>
      <c r="BG98" s="484"/>
      <c r="BH98" s="484"/>
      <c r="BI98" s="527"/>
    </row>
    <row r="99" spans="1:65" x14ac:dyDescent="0.25">
      <c r="A99" s="44">
        <v>323341</v>
      </c>
      <c r="B99" s="499" t="s">
        <v>169</v>
      </c>
      <c r="C99" s="75">
        <f t="shared" si="325"/>
        <v>340.10219656247926</v>
      </c>
      <c r="D99" s="5"/>
      <c r="E99" s="122">
        <f t="shared" si="326"/>
        <v>742.49999999999989</v>
      </c>
      <c r="F99" s="235">
        <f t="shared" si="275"/>
        <v>218.31673170731705</v>
      </c>
      <c r="G99" s="237">
        <f t="shared" si="276"/>
        <v>0</v>
      </c>
      <c r="H99" s="124"/>
      <c r="I99" s="124"/>
      <c r="J99" s="176">
        <f>'izvršenje PO IZVORIMA-detaljno'!E99</f>
        <v>0</v>
      </c>
      <c r="K99" s="1287">
        <f t="shared" si="327"/>
        <v>0</v>
      </c>
      <c r="L99" s="52"/>
      <c r="M99" s="51"/>
      <c r="N99" s="1419">
        <f>'izvršenje PO IZVORIMA-detaljno'!V99</f>
        <v>0</v>
      </c>
      <c r="O99" s="1314"/>
      <c r="P99" s="1326">
        <f>'izvršenje PO IZVORIMA-detaljno'!X99</f>
        <v>0</v>
      </c>
      <c r="Q99" s="1313">
        <f t="shared" si="247"/>
        <v>0</v>
      </c>
      <c r="R99" s="1312">
        <f>'izvršenje PO IZVORIMA-detaljno'!Y99</f>
        <v>17.674696396575747</v>
      </c>
      <c r="S99" s="1312"/>
      <c r="T99" s="1326">
        <f>'izvršenje PO IZVORIMA-detaljno'!AA99</f>
        <v>34.43</v>
      </c>
      <c r="U99" s="1313">
        <f t="shared" si="248"/>
        <v>0</v>
      </c>
      <c r="V99" s="1314"/>
      <c r="W99" s="1315"/>
      <c r="X99" s="1307"/>
      <c r="Y99" s="1307"/>
      <c r="Z99" s="1326">
        <f>'izvršenje PO IZVORIMA-detaljno'!AM99+'izvršenje PO IZVORIMA-detaljno'!AJ99+'izvršenje PO IZVORIMA-detaljno'!AC99</f>
        <v>0</v>
      </c>
      <c r="AA99" s="1313">
        <f t="shared" si="249"/>
        <v>0</v>
      </c>
      <c r="AB99" s="1356">
        <f>'izvršenje PO IZVORIMA-detaljno'!F99+'izvršenje PO IZVORIMA-detaljno'!L99</f>
        <v>322.4275001659035</v>
      </c>
      <c r="AC99" s="1357"/>
      <c r="AD99" s="1372">
        <f>'izvršenje PO IZVORIMA-detaljno'!H99+'izvršenje PO IZVORIMA-detaljno'!N99</f>
        <v>628.06999999999994</v>
      </c>
      <c r="AE99" s="1355">
        <f t="shared" si="250"/>
        <v>0</v>
      </c>
      <c r="AF99" s="1372">
        <f>'izvršenje PO IZVORIMA-detaljno'!I99+'izvršenje PO IZVORIMA-detaljno'!O99</f>
        <v>0</v>
      </c>
      <c r="AG99" s="1357"/>
      <c r="AH99" s="1372">
        <f>'izvršenje PO IZVORIMA-detaljno'!K99+'izvršenje PO IZVORIMA-detaljno'!Q99</f>
        <v>80</v>
      </c>
      <c r="AI99" s="1355">
        <f t="shared" si="251"/>
        <v>0</v>
      </c>
      <c r="AJ99" s="1357"/>
      <c r="AK99" s="1357"/>
      <c r="AL99" s="1383">
        <f>'izvršenje PO IZVORIMA-detaljno'!T99+'izvršenje PO IZVORIMA-detaljno'!U99</f>
        <v>0</v>
      </c>
      <c r="AM99" s="1355">
        <f t="shared" si="252"/>
        <v>0</v>
      </c>
      <c r="AN99" s="1357"/>
      <c r="AO99" s="1357"/>
      <c r="AP99" s="1372">
        <f>'izvršenje PO IZVORIMA-detaljno'!AP99</f>
        <v>0</v>
      </c>
      <c r="AQ99" s="1355">
        <f t="shared" si="253"/>
        <v>0</v>
      </c>
      <c r="AR99" s="1357"/>
      <c r="AS99" s="1357"/>
      <c r="AT99" s="1370"/>
      <c r="AU99" s="1355">
        <f t="shared" si="254"/>
        <v>0</v>
      </c>
      <c r="AV99" s="1357"/>
      <c r="AW99" s="1358"/>
      <c r="AX99" s="1435"/>
      <c r="AY99" s="1401"/>
      <c r="AZ99" s="1444"/>
      <c r="BA99" s="180"/>
      <c r="BB99" s="178"/>
      <c r="BC99" s="57"/>
      <c r="BD99" s="126">
        <f>J99+M99+P99+T99+W99+Z99+AD99+AH99+AL99+AP99+AT99+AW99</f>
        <v>742.49999999999989</v>
      </c>
      <c r="BE99" s="44">
        <v>323341</v>
      </c>
      <c r="BG99" s="484"/>
      <c r="BH99" s="484"/>
      <c r="BI99" s="527"/>
    </row>
    <row r="100" spans="1:65" s="2" customFormat="1" ht="15.75" thickBot="1" x14ac:dyDescent="0.3">
      <c r="A100" s="47">
        <v>323391</v>
      </c>
      <c r="B100" s="500" t="s">
        <v>63</v>
      </c>
      <c r="C100" s="75">
        <f t="shared" si="325"/>
        <v>127.41389607804101</v>
      </c>
      <c r="D100" s="4"/>
      <c r="E100" s="122">
        <f t="shared" si="326"/>
        <v>127.44</v>
      </c>
      <c r="F100" s="242">
        <f t="shared" si="275"/>
        <v>100.02048750000002</v>
      </c>
      <c r="G100" s="243">
        <f t="shared" si="276"/>
        <v>0</v>
      </c>
      <c r="H100" s="125"/>
      <c r="I100" s="125"/>
      <c r="J100" s="176">
        <f>'izvršenje PO IZVORIMA-detaljno'!E100</f>
        <v>0</v>
      </c>
      <c r="K100" s="1288">
        <f t="shared" si="327"/>
        <v>0</v>
      </c>
      <c r="L100" s="59"/>
      <c r="M100" s="60"/>
      <c r="N100" s="1419">
        <f>'izvršenje PO IZVORIMA-detaljno'!V100</f>
        <v>127.41389607804101</v>
      </c>
      <c r="O100" s="1328"/>
      <c r="P100" s="1326">
        <f>'izvršenje PO IZVORIMA-detaljno'!X100</f>
        <v>127.44</v>
      </c>
      <c r="Q100" s="1316">
        <f t="shared" si="247"/>
        <v>0</v>
      </c>
      <c r="R100" s="1328"/>
      <c r="S100" s="1328"/>
      <c r="T100" s="1326">
        <f>'izvršenje PO IZVORIMA-detaljno'!AA100</f>
        <v>0</v>
      </c>
      <c r="U100" s="1316">
        <f t="shared" si="248"/>
        <v>0</v>
      </c>
      <c r="V100" s="1328"/>
      <c r="W100" s="1329"/>
      <c r="X100" s="1307"/>
      <c r="Y100" s="1307"/>
      <c r="Z100" s="1326">
        <f>'izvršenje PO IZVORIMA-detaljno'!AM100+'izvršenje PO IZVORIMA-detaljno'!AJ100+'izvršenje PO IZVORIMA-detaljno'!AC100</f>
        <v>0</v>
      </c>
      <c r="AA100" s="1316">
        <f t="shared" si="249"/>
        <v>0</v>
      </c>
      <c r="AB100" s="1380"/>
      <c r="AC100" s="1380"/>
      <c r="AD100" s="1372">
        <f>'izvršenje PO IZVORIMA-detaljno'!H100+'izvršenje PO IZVORIMA-detaljno'!N100</f>
        <v>0</v>
      </c>
      <c r="AE100" s="1359">
        <f t="shared" si="250"/>
        <v>0</v>
      </c>
      <c r="AF100" s="1372">
        <f>'izvršenje PO IZVORIMA-detaljno'!I100+'izvršenje PO IZVORIMA-detaljno'!O100</f>
        <v>0</v>
      </c>
      <c r="AG100" s="1380"/>
      <c r="AH100" s="1372">
        <f>'izvršenje PO IZVORIMA-detaljno'!K100+'izvršenje PO IZVORIMA-detaljno'!Q100</f>
        <v>0</v>
      </c>
      <c r="AI100" s="1359">
        <f t="shared" si="251"/>
        <v>0</v>
      </c>
      <c r="AJ100" s="1380"/>
      <c r="AK100" s="1380"/>
      <c r="AL100" s="1383">
        <f>'izvršenje PO IZVORIMA-detaljno'!T100+'izvršenje PO IZVORIMA-detaljno'!U100</f>
        <v>0</v>
      </c>
      <c r="AM100" s="1359">
        <f t="shared" si="252"/>
        <v>0</v>
      </c>
      <c r="AN100" s="1380"/>
      <c r="AO100" s="1380"/>
      <c r="AP100" s="1372">
        <f>'izvršenje PO IZVORIMA-detaljno'!AP100</f>
        <v>0</v>
      </c>
      <c r="AQ100" s="1359">
        <f t="shared" si="253"/>
        <v>0</v>
      </c>
      <c r="AR100" s="1380"/>
      <c r="AS100" s="1380"/>
      <c r="AT100" s="1381"/>
      <c r="AU100" s="1359">
        <f t="shared" si="254"/>
        <v>0</v>
      </c>
      <c r="AV100" s="1380"/>
      <c r="AW100" s="1382"/>
      <c r="AX100" s="1437"/>
      <c r="AY100" s="1403"/>
      <c r="AZ100" s="1450"/>
      <c r="BA100" s="208"/>
      <c r="BB100" s="210"/>
      <c r="BC100" s="61"/>
      <c r="BD100" s="126">
        <f>J100+M100+P100+T100+W100+Z100+AD100+AH100+AL100+AP100+AT100+AW100</f>
        <v>127.44</v>
      </c>
      <c r="BE100" s="47">
        <v>323391</v>
      </c>
      <c r="BF100" s="254"/>
      <c r="BG100" s="489"/>
      <c r="BH100" s="489"/>
      <c r="BI100" s="529"/>
      <c r="BJ100" s="486"/>
      <c r="BK100" s="486"/>
      <c r="BL100" s="486"/>
      <c r="BM100" s="486"/>
    </row>
    <row r="101" spans="1:65" s="22" customFormat="1" ht="15.75" thickBot="1" x14ac:dyDescent="0.3">
      <c r="A101" s="76">
        <v>3233</v>
      </c>
      <c r="B101" s="505" t="s">
        <v>64</v>
      </c>
      <c r="C101" s="82">
        <f>SUM(C97:C100)</f>
        <v>3194.1734687105977</v>
      </c>
      <c r="D101" s="82">
        <f t="shared" ref="D101:E101" si="346">D97+D98+D100+D99</f>
        <v>0</v>
      </c>
      <c r="E101" s="83">
        <f t="shared" si="346"/>
        <v>3186.19</v>
      </c>
      <c r="F101" s="253">
        <f t="shared" si="275"/>
        <v>99.750061517046532</v>
      </c>
      <c r="G101" s="252">
        <f t="shared" si="276"/>
        <v>0</v>
      </c>
      <c r="H101" s="411">
        <f t="shared" ref="H101" si="347">H97+H98+H100+H99</f>
        <v>0</v>
      </c>
      <c r="I101" s="115">
        <f t="shared" ref="I101:AP101" si="348">I97+I98+I100+I99</f>
        <v>0</v>
      </c>
      <c r="J101" s="82">
        <f t="shared" si="348"/>
        <v>0</v>
      </c>
      <c r="K101" s="252">
        <f t="shared" si="327"/>
        <v>0</v>
      </c>
      <c r="L101" s="82">
        <f t="shared" si="348"/>
        <v>0</v>
      </c>
      <c r="M101" s="112">
        <f t="shared" si="348"/>
        <v>0</v>
      </c>
      <c r="N101" s="417">
        <f>N97+N98+N100+N99</f>
        <v>1609.7949432609994</v>
      </c>
      <c r="O101" s="82">
        <f t="shared" si="348"/>
        <v>0</v>
      </c>
      <c r="P101" s="82">
        <f t="shared" si="348"/>
        <v>127.44</v>
      </c>
      <c r="Q101" s="252">
        <f t="shared" si="247"/>
        <v>0</v>
      </c>
      <c r="R101" s="82">
        <f>R97+R98+R100+R99</f>
        <v>30.607206848496908</v>
      </c>
      <c r="S101" s="82">
        <f t="shared" si="348"/>
        <v>0</v>
      </c>
      <c r="T101" s="82">
        <f>T97+T98+T100+T99</f>
        <v>364.88</v>
      </c>
      <c r="U101" s="252">
        <f t="shared" si="248"/>
        <v>0</v>
      </c>
      <c r="V101" s="82">
        <f t="shared" si="348"/>
        <v>0</v>
      </c>
      <c r="W101" s="82">
        <f t="shared" si="348"/>
        <v>0</v>
      </c>
      <c r="X101" s="82"/>
      <c r="Y101" s="82">
        <f>'izvršenje PO IZVORIMA-detaljno'!AI101+'izvršenje PO IZVORIMA-detaljno'!AL101+'izvršenje PO IZVORIMA-detaljno'!AB101</f>
        <v>0</v>
      </c>
      <c r="Z101" s="112">
        <f t="shared" si="348"/>
        <v>0</v>
      </c>
      <c r="AA101" s="252">
        <f t="shared" si="249"/>
        <v>0</v>
      </c>
      <c r="AB101" s="417">
        <f>SUM(AB97:AB100)</f>
        <v>558.35025549140619</v>
      </c>
      <c r="AC101" s="417">
        <f>'izvršenje PO IZVORIMA-detaljno'!G101+'izvršenje PO IZVORIMA-detaljno'!M101</f>
        <v>0</v>
      </c>
      <c r="AD101" s="82">
        <f>AD97+AD98+AD100+AD99</f>
        <v>2116.17</v>
      </c>
      <c r="AE101" s="252">
        <f t="shared" si="250"/>
        <v>0</v>
      </c>
      <c r="AF101" s="108">
        <f>SUM(AF97:AF100)</f>
        <v>995.4210631096953</v>
      </c>
      <c r="AG101" s="108">
        <f>'izvršenje PO IZVORIMA-detaljno'!J101+'izvršenje PO IZVORIMA-detaljno'!P101</f>
        <v>0</v>
      </c>
      <c r="AH101" s="82">
        <f>AH97+AH98+AH100+AH99</f>
        <v>577.70000000000005</v>
      </c>
      <c r="AI101" s="252">
        <f t="shared" si="251"/>
        <v>0</v>
      </c>
      <c r="AJ101" s="82"/>
      <c r="AK101" s="82">
        <f>'izvršenje PO IZVORIMA-detaljno'!S101</f>
        <v>0</v>
      </c>
      <c r="AL101" s="82">
        <f t="shared" si="348"/>
        <v>0</v>
      </c>
      <c r="AM101" s="252">
        <f t="shared" si="252"/>
        <v>0</v>
      </c>
      <c r="AN101" s="82"/>
      <c r="AO101" s="82">
        <f>'izvršenje PO IZVORIMA-detaljno'!AO101</f>
        <v>0</v>
      </c>
      <c r="AP101" s="82">
        <f t="shared" si="348"/>
        <v>0</v>
      </c>
      <c r="AQ101" s="252">
        <f t="shared" si="253"/>
        <v>0</v>
      </c>
      <c r="AR101" s="82">
        <f>'izvršenje PO IZVORIMA-detaljno'!AQ101</f>
        <v>0</v>
      </c>
      <c r="AS101" s="82">
        <f>'izvršenje PO IZVORIMA-detaljno'!AR101</f>
        <v>0</v>
      </c>
      <c r="AT101" s="82">
        <f t="shared" ref="AT101" si="349">AT97+AT98+AT100+AT99</f>
        <v>0</v>
      </c>
      <c r="AU101" s="252">
        <f t="shared" si="254"/>
        <v>0</v>
      </c>
      <c r="AV101" s="82">
        <f t="shared" ref="AV101:AX101" si="350">AV97+AV98+AV100+AV99</f>
        <v>0</v>
      </c>
      <c r="AW101" s="83">
        <f t="shared" si="350"/>
        <v>0</v>
      </c>
      <c r="AX101" s="407">
        <f t="shared" si="350"/>
        <v>0</v>
      </c>
      <c r="AY101" s="83">
        <f t="shared" ref="AY101:AZ101" si="351">AY97+AY98+AY100+AY99</f>
        <v>0</v>
      </c>
      <c r="AZ101" s="112">
        <f t="shared" si="351"/>
        <v>0</v>
      </c>
      <c r="BA101" s="407">
        <f t="shared" ref="BA101:BB101" si="352">BA97+BA98+BA100+BA99</f>
        <v>0</v>
      </c>
      <c r="BB101" s="83">
        <f t="shared" si="352"/>
        <v>0</v>
      </c>
      <c r="BC101" s="411">
        <f>AV101+AS101+AO101+AK101+AG101+AC101+Y101+V101+S101+O101+L101+I101+AY101</f>
        <v>0</v>
      </c>
      <c r="BD101" s="83">
        <f t="shared" ref="BD101" si="353">BD97+BD98+BD100+BD99</f>
        <v>3186.19</v>
      </c>
      <c r="BE101" s="76">
        <v>3233</v>
      </c>
      <c r="BF101" s="522"/>
      <c r="BG101" s="484"/>
      <c r="BH101" s="484"/>
      <c r="BI101" s="527"/>
      <c r="BJ101" s="484"/>
      <c r="BK101" s="484"/>
      <c r="BL101" s="484"/>
      <c r="BM101" s="484"/>
    </row>
    <row r="102" spans="1:65" s="6" customFormat="1" x14ac:dyDescent="0.25">
      <c r="A102" s="74">
        <v>323411</v>
      </c>
      <c r="B102" s="506" t="s">
        <v>65</v>
      </c>
      <c r="C102" s="75">
        <f t="shared" si="325"/>
        <v>2297.7224766076047</v>
      </c>
      <c r="D102" s="75"/>
      <c r="E102" s="122">
        <f t="shared" si="326"/>
        <v>2070.9899999999998</v>
      </c>
      <c r="F102" s="240">
        <f t="shared" si="275"/>
        <v>90.132294960949494</v>
      </c>
      <c r="G102" s="241">
        <f t="shared" si="276"/>
        <v>0</v>
      </c>
      <c r="H102" s="124"/>
      <c r="I102" s="124"/>
      <c r="J102" s="176">
        <f>'izvršenje PO IZVORIMA-detaljno'!E102</f>
        <v>0</v>
      </c>
      <c r="K102" s="1286">
        <f t="shared" si="327"/>
        <v>0</v>
      </c>
      <c r="L102" s="52"/>
      <c r="M102" s="51"/>
      <c r="N102" s="1419">
        <f>'izvršenje PO IZVORIMA-detaljno'!V102</f>
        <v>2297.7224766076047</v>
      </c>
      <c r="O102" s="1314"/>
      <c r="P102" s="1326">
        <f>'izvršenje PO IZVORIMA-detaljno'!X102</f>
        <v>1947.2299999999998</v>
      </c>
      <c r="Q102" s="1309">
        <f t="shared" ref="Q102:Q133" si="354">IF(O102&lt;&gt;0,P102/O102*100,0)</f>
        <v>0</v>
      </c>
      <c r="R102" s="1314"/>
      <c r="S102" s="1314"/>
      <c r="T102" s="1326">
        <f>'izvršenje PO IZVORIMA-detaljno'!AA102</f>
        <v>0</v>
      </c>
      <c r="U102" s="1309">
        <f t="shared" ref="U102:U133" si="355">IF(S102&lt;&gt;0,T102/S102*100,0)</f>
        <v>0</v>
      </c>
      <c r="V102" s="1314"/>
      <c r="W102" s="1315"/>
      <c r="X102" s="1307"/>
      <c r="Y102" s="1307"/>
      <c r="Z102" s="1326">
        <f>'izvršenje PO IZVORIMA-detaljno'!AM102+'izvršenje PO IZVORIMA-detaljno'!AJ102+'izvršenje PO IZVORIMA-detaljno'!AC102</f>
        <v>0</v>
      </c>
      <c r="AA102" s="1309">
        <f t="shared" ref="AA102:AA133" si="356">IF(Y102&lt;&gt;0,Z102/Y102*100,0)</f>
        <v>0</v>
      </c>
      <c r="AB102" s="1357"/>
      <c r="AC102" s="1357"/>
      <c r="AD102" s="1372">
        <f>'izvršenje PO IZVORIMA-detaljno'!H102+'izvršenje PO IZVORIMA-detaljno'!N102</f>
        <v>0</v>
      </c>
      <c r="AE102" s="1350">
        <f t="shared" ref="AE102:AE133" si="357">IF(AC102&lt;&gt;0,AD102/AC102*100,0)</f>
        <v>0</v>
      </c>
      <c r="AF102" s="1357"/>
      <c r="AG102" s="1357"/>
      <c r="AH102" s="1372">
        <f>'izvršenje PO IZVORIMA-detaljno'!K102+'izvršenje PO IZVORIMA-detaljno'!Q102</f>
        <v>123.76</v>
      </c>
      <c r="AI102" s="1350">
        <f>IF(AG102&lt;&gt;0,AH102/AG102*100,0)</f>
        <v>0</v>
      </c>
      <c r="AJ102" s="1357"/>
      <c r="AK102" s="1357"/>
      <c r="AL102" s="1383">
        <f>'izvršenje PO IZVORIMA-detaljno'!T102+'izvršenje PO IZVORIMA-detaljno'!U102</f>
        <v>0</v>
      </c>
      <c r="AM102" s="1350">
        <f t="shared" ref="AM102:AM133" si="358">IF(AK102&lt;&gt;0,AL102/AK102*100,0)</f>
        <v>0</v>
      </c>
      <c r="AN102" s="1357"/>
      <c r="AO102" s="1357"/>
      <c r="AP102" s="1372">
        <f>'izvršenje PO IZVORIMA-detaljno'!AP102</f>
        <v>0</v>
      </c>
      <c r="AQ102" s="1350">
        <f t="shared" ref="AQ102:AQ133" si="359">IF(AO102&lt;&gt;0,AP102/AO102*100,0)</f>
        <v>0</v>
      </c>
      <c r="AR102" s="1357"/>
      <c r="AS102" s="1357"/>
      <c r="AT102" s="1370"/>
      <c r="AU102" s="1350">
        <f t="shared" ref="AU102:AU133" si="360">IF(AS102&lt;&gt;0,AT102/AS102*100,0)</f>
        <v>0</v>
      </c>
      <c r="AV102" s="1357"/>
      <c r="AW102" s="1358"/>
      <c r="AX102" s="1435"/>
      <c r="AY102" s="1401"/>
      <c r="AZ102" s="1444"/>
      <c r="BA102" s="180"/>
      <c r="BB102" s="178"/>
      <c r="BC102" s="57"/>
      <c r="BD102" s="126">
        <f>J102+M102+P102+T102+W102+Z102+AD102+AH102+AL102+AP102+AT102+AW102</f>
        <v>2070.9899999999998</v>
      </c>
      <c r="BE102" s="74">
        <v>323411</v>
      </c>
      <c r="BF102" s="518"/>
      <c r="BG102" s="493"/>
      <c r="BH102" s="493"/>
      <c r="BI102" s="530"/>
      <c r="BJ102" s="487"/>
      <c r="BK102" s="487"/>
      <c r="BL102" s="487"/>
      <c r="BM102" s="487"/>
    </row>
    <row r="103" spans="1:65" x14ac:dyDescent="0.25">
      <c r="A103" s="45">
        <v>323421</v>
      </c>
      <c r="B103" s="507" t="s">
        <v>66</v>
      </c>
      <c r="C103" s="75">
        <f t="shared" si="325"/>
        <v>1659.7889707346208</v>
      </c>
      <c r="D103" s="13"/>
      <c r="E103" s="122">
        <f t="shared" si="326"/>
        <v>2391.35</v>
      </c>
      <c r="F103" s="235">
        <f t="shared" si="275"/>
        <v>144.0755446725008</v>
      </c>
      <c r="G103" s="237">
        <f t="shared" si="276"/>
        <v>0</v>
      </c>
      <c r="H103" s="124"/>
      <c r="I103" s="124"/>
      <c r="J103" s="176">
        <f>'izvršenje PO IZVORIMA-detaljno'!E103</f>
        <v>0</v>
      </c>
      <c r="K103" s="1287">
        <f t="shared" si="327"/>
        <v>0</v>
      </c>
      <c r="L103" s="52"/>
      <c r="M103" s="51"/>
      <c r="N103" s="1419">
        <f>'izvršenje PO IZVORIMA-detaljno'!V103</f>
        <v>1659.7889707346208</v>
      </c>
      <c r="O103" s="1314"/>
      <c r="P103" s="1326">
        <f>'izvršenje PO IZVORIMA-detaljno'!X103</f>
        <v>1659.38</v>
      </c>
      <c r="Q103" s="1313">
        <f t="shared" si="354"/>
        <v>0</v>
      </c>
      <c r="R103" s="1314"/>
      <c r="S103" s="1314"/>
      <c r="T103" s="1326">
        <f>'izvršenje PO IZVORIMA-detaljno'!AA103</f>
        <v>0</v>
      </c>
      <c r="U103" s="1313">
        <f t="shared" si="355"/>
        <v>0</v>
      </c>
      <c r="V103" s="1314"/>
      <c r="W103" s="1315"/>
      <c r="X103" s="1307"/>
      <c r="Y103" s="1307"/>
      <c r="Z103" s="1326">
        <f>'izvršenje PO IZVORIMA-detaljno'!AM103+'izvršenje PO IZVORIMA-detaljno'!AJ103+'izvršenje PO IZVORIMA-detaljno'!AC103</f>
        <v>0</v>
      </c>
      <c r="AA103" s="1313">
        <f t="shared" si="356"/>
        <v>0</v>
      </c>
      <c r="AB103" s="1357"/>
      <c r="AC103" s="1357"/>
      <c r="AD103" s="1372">
        <f>'izvršenje PO IZVORIMA-detaljno'!H103+'izvršenje PO IZVORIMA-detaljno'!N103</f>
        <v>0</v>
      </c>
      <c r="AE103" s="1355">
        <f t="shared" si="357"/>
        <v>0</v>
      </c>
      <c r="AF103" s="1357"/>
      <c r="AG103" s="1357"/>
      <c r="AH103" s="1372">
        <f>'izvršenje PO IZVORIMA-detaljno'!K103+'izvršenje PO IZVORIMA-detaljno'!Q103</f>
        <v>230.85</v>
      </c>
      <c r="AI103" s="1355">
        <f t="shared" ref="AI103:AI133" si="361">IF(AG103&lt;&gt;0,AH103/AG103*100,0)</f>
        <v>0</v>
      </c>
      <c r="AJ103" s="1357"/>
      <c r="AK103" s="1357"/>
      <c r="AL103" s="1383">
        <f>'izvršenje PO IZVORIMA-detaljno'!T103+'izvršenje PO IZVORIMA-detaljno'!U103</f>
        <v>0</v>
      </c>
      <c r="AM103" s="1355">
        <f t="shared" si="358"/>
        <v>0</v>
      </c>
      <c r="AN103" s="1357"/>
      <c r="AO103" s="1357"/>
      <c r="AP103" s="1372">
        <f>'izvršenje PO IZVORIMA-detaljno'!AP103</f>
        <v>501.12</v>
      </c>
      <c r="AQ103" s="1355">
        <f t="shared" si="359"/>
        <v>0</v>
      </c>
      <c r="AR103" s="1357"/>
      <c r="AS103" s="1357"/>
      <c r="AT103" s="1370"/>
      <c r="AU103" s="1355">
        <f t="shared" si="360"/>
        <v>0</v>
      </c>
      <c r="AV103" s="1357"/>
      <c r="AW103" s="1358"/>
      <c r="AX103" s="1435"/>
      <c r="AY103" s="1401"/>
      <c r="AZ103" s="1444"/>
      <c r="BA103" s="180"/>
      <c r="BB103" s="178"/>
      <c r="BC103" s="57"/>
      <c r="BD103" s="126">
        <f>J103+M103+P103+T103+W103+Z103+AD103+AH103+AL103+AP103+AT103+AW103</f>
        <v>2391.35</v>
      </c>
      <c r="BE103" s="45">
        <v>323421</v>
      </c>
      <c r="BG103" s="484"/>
      <c r="BH103" s="484"/>
      <c r="BI103" s="527"/>
    </row>
    <row r="104" spans="1:65" x14ac:dyDescent="0.25">
      <c r="A104" s="45">
        <v>323441</v>
      </c>
      <c r="B104" s="507" t="s">
        <v>67</v>
      </c>
      <c r="C104" s="75">
        <f t="shared" si="325"/>
        <v>0</v>
      </c>
      <c r="D104" s="13"/>
      <c r="E104" s="122">
        <f t="shared" si="326"/>
        <v>0</v>
      </c>
      <c r="F104" s="235">
        <f t="shared" si="275"/>
        <v>0</v>
      </c>
      <c r="G104" s="237">
        <f t="shared" si="276"/>
        <v>0</v>
      </c>
      <c r="H104" s="124"/>
      <c r="I104" s="124"/>
      <c r="J104" s="176">
        <f>'izvršenje PO IZVORIMA-detaljno'!E104</f>
        <v>0</v>
      </c>
      <c r="K104" s="1287">
        <f t="shared" si="327"/>
        <v>0</v>
      </c>
      <c r="L104" s="52"/>
      <c r="M104" s="51"/>
      <c r="N104" s="1419">
        <f>'izvršenje PO IZVORIMA-detaljno'!V104</f>
        <v>0</v>
      </c>
      <c r="O104" s="1314"/>
      <c r="P104" s="1326">
        <f>'izvršenje PO IZVORIMA-detaljno'!X104</f>
        <v>0</v>
      </c>
      <c r="Q104" s="1313">
        <f t="shared" si="354"/>
        <v>0</v>
      </c>
      <c r="R104" s="1314"/>
      <c r="S104" s="1314"/>
      <c r="T104" s="1326">
        <f>'izvršenje PO IZVORIMA-detaljno'!AA104</f>
        <v>0</v>
      </c>
      <c r="U104" s="1313">
        <f t="shared" si="355"/>
        <v>0</v>
      </c>
      <c r="V104" s="1314"/>
      <c r="W104" s="1315"/>
      <c r="X104" s="1307"/>
      <c r="Y104" s="1307"/>
      <c r="Z104" s="1326">
        <f>'izvršenje PO IZVORIMA-detaljno'!AM104+'izvršenje PO IZVORIMA-detaljno'!AJ104+'izvršenje PO IZVORIMA-detaljno'!AC104</f>
        <v>0</v>
      </c>
      <c r="AA104" s="1313">
        <f t="shared" si="356"/>
        <v>0</v>
      </c>
      <c r="AB104" s="1357"/>
      <c r="AC104" s="1357"/>
      <c r="AD104" s="1372">
        <f>'izvršenje PO IZVORIMA-detaljno'!H104+'izvršenje PO IZVORIMA-detaljno'!N104</f>
        <v>0</v>
      </c>
      <c r="AE104" s="1355">
        <f t="shared" si="357"/>
        <v>0</v>
      </c>
      <c r="AF104" s="1357"/>
      <c r="AG104" s="1357"/>
      <c r="AH104" s="1372">
        <f>'izvršenje PO IZVORIMA-detaljno'!K104+'izvršenje PO IZVORIMA-detaljno'!Q104</f>
        <v>0</v>
      </c>
      <c r="AI104" s="1355">
        <f>IF(AG104&lt;&gt;0,AH104/AG104*100,0)</f>
        <v>0</v>
      </c>
      <c r="AJ104" s="1357"/>
      <c r="AK104" s="1357"/>
      <c r="AL104" s="1383">
        <f>'izvršenje PO IZVORIMA-detaljno'!T104+'izvršenje PO IZVORIMA-detaljno'!U104</f>
        <v>0</v>
      </c>
      <c r="AM104" s="1355">
        <f t="shared" si="358"/>
        <v>0</v>
      </c>
      <c r="AN104" s="1357"/>
      <c r="AO104" s="1357"/>
      <c r="AP104" s="1372">
        <f>'izvršenje PO IZVORIMA-detaljno'!AP104</f>
        <v>0</v>
      </c>
      <c r="AQ104" s="1355">
        <f t="shared" si="359"/>
        <v>0</v>
      </c>
      <c r="AR104" s="1357"/>
      <c r="AS104" s="1357"/>
      <c r="AT104" s="1370"/>
      <c r="AU104" s="1355">
        <f t="shared" si="360"/>
        <v>0</v>
      </c>
      <c r="AV104" s="1357"/>
      <c r="AW104" s="1358"/>
      <c r="AX104" s="1435"/>
      <c r="AY104" s="1401"/>
      <c r="AZ104" s="1444"/>
      <c r="BA104" s="180"/>
      <c r="BB104" s="178"/>
      <c r="BC104" s="57"/>
      <c r="BD104" s="126">
        <f>J104+M104+P104+T104+W104+Z104+AD104+AH104+AL104+AP104+AT104+AW104</f>
        <v>0</v>
      </c>
      <c r="BE104" s="45">
        <v>323441</v>
      </c>
      <c r="BG104" s="484"/>
      <c r="BH104" s="484"/>
      <c r="BI104" s="527"/>
    </row>
    <row r="105" spans="1:65" s="2" customFormat="1" ht="15.75" thickBot="1" x14ac:dyDescent="0.3">
      <c r="A105" s="46">
        <v>323491</v>
      </c>
      <c r="B105" s="504" t="s">
        <v>68</v>
      </c>
      <c r="C105" s="75">
        <f t="shared" si="325"/>
        <v>2672.649810869998</v>
      </c>
      <c r="D105" s="14"/>
      <c r="E105" s="122">
        <f t="shared" si="326"/>
        <v>4175.88</v>
      </c>
      <c r="F105" s="242">
        <f t="shared" si="275"/>
        <v>156.24493650519341</v>
      </c>
      <c r="G105" s="243">
        <f t="shared" si="276"/>
        <v>0</v>
      </c>
      <c r="H105" s="125"/>
      <c r="I105" s="125"/>
      <c r="J105" s="176">
        <f>'izvršenje PO IZVORIMA-detaljno'!E105</f>
        <v>0</v>
      </c>
      <c r="K105" s="1288">
        <f t="shared" si="327"/>
        <v>0</v>
      </c>
      <c r="L105" s="59"/>
      <c r="M105" s="60"/>
      <c r="N105" s="1419">
        <f>'izvršenje PO IZVORIMA-detaljno'!V105</f>
        <v>2672.649810869998</v>
      </c>
      <c r="O105" s="1328"/>
      <c r="P105" s="1326">
        <f>'izvršenje PO IZVORIMA-detaljno'!X105</f>
        <v>4175.88</v>
      </c>
      <c r="Q105" s="1316">
        <f t="shared" si="354"/>
        <v>0</v>
      </c>
      <c r="R105" s="1328"/>
      <c r="S105" s="1328"/>
      <c r="T105" s="1326">
        <f>'izvršenje PO IZVORIMA-detaljno'!AA105</f>
        <v>0</v>
      </c>
      <c r="U105" s="1316">
        <f t="shared" si="355"/>
        <v>0</v>
      </c>
      <c r="V105" s="1328"/>
      <c r="W105" s="1329"/>
      <c r="X105" s="1307"/>
      <c r="Y105" s="1307"/>
      <c r="Z105" s="1326">
        <f>'izvršenje PO IZVORIMA-detaljno'!AM105+'izvršenje PO IZVORIMA-detaljno'!AJ105+'izvršenje PO IZVORIMA-detaljno'!AC105</f>
        <v>0</v>
      </c>
      <c r="AA105" s="1316">
        <f t="shared" si="356"/>
        <v>0</v>
      </c>
      <c r="AB105" s="1380"/>
      <c r="AC105" s="1380"/>
      <c r="AD105" s="1372">
        <f>'izvršenje PO IZVORIMA-detaljno'!H105+'izvršenje PO IZVORIMA-detaljno'!N105</f>
        <v>0</v>
      </c>
      <c r="AE105" s="1359">
        <f t="shared" si="357"/>
        <v>0</v>
      </c>
      <c r="AF105" s="1380"/>
      <c r="AG105" s="1380"/>
      <c r="AH105" s="1372">
        <f>'izvršenje PO IZVORIMA-detaljno'!K105+'izvršenje PO IZVORIMA-detaljno'!Q105</f>
        <v>0</v>
      </c>
      <c r="AI105" s="1359">
        <f t="shared" si="361"/>
        <v>0</v>
      </c>
      <c r="AJ105" s="1380"/>
      <c r="AK105" s="1380"/>
      <c r="AL105" s="1383">
        <f>'izvršenje PO IZVORIMA-detaljno'!T105+'izvršenje PO IZVORIMA-detaljno'!U105</f>
        <v>0</v>
      </c>
      <c r="AM105" s="1359">
        <f t="shared" si="358"/>
        <v>0</v>
      </c>
      <c r="AN105" s="1380"/>
      <c r="AO105" s="1380"/>
      <c r="AP105" s="1372">
        <f>'izvršenje PO IZVORIMA-detaljno'!AP105</f>
        <v>0</v>
      </c>
      <c r="AQ105" s="1359">
        <f t="shared" si="359"/>
        <v>0</v>
      </c>
      <c r="AR105" s="1380"/>
      <c r="AS105" s="1380"/>
      <c r="AT105" s="1381"/>
      <c r="AU105" s="1359">
        <f t="shared" si="360"/>
        <v>0</v>
      </c>
      <c r="AV105" s="1380"/>
      <c r="AW105" s="1382"/>
      <c r="AX105" s="1437"/>
      <c r="AY105" s="1403"/>
      <c r="AZ105" s="1450"/>
      <c r="BA105" s="208"/>
      <c r="BB105" s="210"/>
      <c r="BC105" s="61"/>
      <c r="BD105" s="126">
        <f>J105+M105+P105+T105+W105+Z105+AD105+AH105+AL105+AP105+AT105+AW105</f>
        <v>4175.88</v>
      </c>
      <c r="BE105" s="46">
        <v>323491</v>
      </c>
      <c r="BF105" s="254"/>
      <c r="BG105" s="489"/>
      <c r="BH105" s="489"/>
      <c r="BI105" s="529"/>
      <c r="BJ105" s="486"/>
      <c r="BK105" s="486"/>
      <c r="BL105" s="486"/>
      <c r="BM105" s="486"/>
    </row>
    <row r="106" spans="1:65" s="1539" customFormat="1" ht="15.75" thickBot="1" x14ac:dyDescent="0.3">
      <c r="A106" s="76">
        <v>3234</v>
      </c>
      <c r="B106" s="505" t="s">
        <v>69</v>
      </c>
      <c r="C106" s="82">
        <f>SUM(C102:C105)</f>
        <v>6630.1612582122234</v>
      </c>
      <c r="D106" s="82">
        <f t="shared" ref="D106:E106" si="362">SUM(D102:D105)</f>
        <v>0</v>
      </c>
      <c r="E106" s="83">
        <f t="shared" si="362"/>
        <v>8638.2200000000012</v>
      </c>
      <c r="F106" s="253">
        <f t="shared" si="275"/>
        <v>130.28672551969328</v>
      </c>
      <c r="G106" s="252">
        <f t="shared" si="276"/>
        <v>0</v>
      </c>
      <c r="H106" s="411">
        <f t="shared" ref="H106" si="363">SUM(H102:H105)</f>
        <v>0</v>
      </c>
      <c r="I106" s="115">
        <f t="shared" ref="I106:AP106" si="364">SUM(I102:I105)</f>
        <v>0</v>
      </c>
      <c r="J106" s="82">
        <f t="shared" si="364"/>
        <v>0</v>
      </c>
      <c r="K106" s="252">
        <f t="shared" si="327"/>
        <v>0</v>
      </c>
      <c r="L106" s="82">
        <f t="shared" si="364"/>
        <v>0</v>
      </c>
      <c r="M106" s="112">
        <f t="shared" si="364"/>
        <v>0</v>
      </c>
      <c r="N106" s="417">
        <f>SUM(N102:N105)</f>
        <v>6630.1612582122234</v>
      </c>
      <c r="O106" s="82">
        <f t="shared" si="364"/>
        <v>0</v>
      </c>
      <c r="P106" s="82">
        <f t="shared" si="364"/>
        <v>7782.49</v>
      </c>
      <c r="Q106" s="252">
        <f t="shared" si="354"/>
        <v>0</v>
      </c>
      <c r="R106" s="82">
        <f t="shared" ref="R106" si="365">SUM(R102:R105)</f>
        <v>0</v>
      </c>
      <c r="S106" s="82">
        <f t="shared" si="364"/>
        <v>0</v>
      </c>
      <c r="T106" s="82">
        <f t="shared" si="364"/>
        <v>0</v>
      </c>
      <c r="U106" s="252">
        <f t="shared" si="355"/>
        <v>0</v>
      </c>
      <c r="V106" s="82">
        <f t="shared" si="364"/>
        <v>0</v>
      </c>
      <c r="W106" s="82">
        <f t="shared" si="364"/>
        <v>0</v>
      </c>
      <c r="X106" s="82"/>
      <c r="Y106" s="82">
        <f>'izvršenje PO IZVORIMA-detaljno'!AI106+'izvršenje PO IZVORIMA-detaljno'!AL106+'izvršenje PO IZVORIMA-detaljno'!AB106</f>
        <v>0</v>
      </c>
      <c r="Z106" s="112">
        <f t="shared" si="364"/>
        <v>0</v>
      </c>
      <c r="AA106" s="252">
        <f t="shared" si="356"/>
        <v>0</v>
      </c>
      <c r="AB106" s="417"/>
      <c r="AC106" s="417">
        <f>'izvršenje PO IZVORIMA-detaljno'!G106+'izvršenje PO IZVORIMA-detaljno'!M106</f>
        <v>0</v>
      </c>
      <c r="AD106" s="82">
        <f t="shared" si="364"/>
        <v>0</v>
      </c>
      <c r="AE106" s="252">
        <f t="shared" si="357"/>
        <v>0</v>
      </c>
      <c r="AF106" s="108"/>
      <c r="AG106" s="108">
        <f>'izvršenje PO IZVORIMA-detaljno'!J106+'izvršenje PO IZVORIMA-detaljno'!P106</f>
        <v>0</v>
      </c>
      <c r="AH106" s="82">
        <f>SUM(AH102:AH105)</f>
        <v>354.61</v>
      </c>
      <c r="AI106" s="252">
        <f t="shared" si="361"/>
        <v>0</v>
      </c>
      <c r="AJ106" s="82"/>
      <c r="AK106" s="82">
        <f>'izvršenje PO IZVORIMA-detaljno'!S106</f>
        <v>0</v>
      </c>
      <c r="AL106" s="82">
        <f t="shared" si="364"/>
        <v>0</v>
      </c>
      <c r="AM106" s="252">
        <f t="shared" si="358"/>
        <v>0</v>
      </c>
      <c r="AN106" s="82"/>
      <c r="AO106" s="82">
        <f>'izvršenje PO IZVORIMA-detaljno'!AO106</f>
        <v>0</v>
      </c>
      <c r="AP106" s="82">
        <f t="shared" si="364"/>
        <v>501.12</v>
      </c>
      <c r="AQ106" s="252">
        <f t="shared" si="359"/>
        <v>0</v>
      </c>
      <c r="AR106" s="82">
        <f>'izvršenje PO IZVORIMA-detaljno'!AQ106</f>
        <v>0</v>
      </c>
      <c r="AS106" s="82">
        <f>'izvršenje PO IZVORIMA-detaljno'!AR106</f>
        <v>0</v>
      </c>
      <c r="AT106" s="82">
        <f t="shared" ref="AT106" si="366">SUM(AT102:AT105)</f>
        <v>0</v>
      </c>
      <c r="AU106" s="252">
        <f t="shared" si="360"/>
        <v>0</v>
      </c>
      <c r="AV106" s="82">
        <f t="shared" ref="AV106:AX106" si="367">SUM(AV102:AV105)</f>
        <v>0</v>
      </c>
      <c r="AW106" s="83">
        <f t="shared" si="367"/>
        <v>0</v>
      </c>
      <c r="AX106" s="407">
        <f t="shared" si="367"/>
        <v>0</v>
      </c>
      <c r="AY106" s="83">
        <f t="shared" ref="AY106:AZ106" si="368">SUM(AY102:AY105)</f>
        <v>0</v>
      </c>
      <c r="AZ106" s="112">
        <f t="shared" si="368"/>
        <v>0</v>
      </c>
      <c r="BA106" s="407">
        <f t="shared" ref="BA106:BB106" si="369">SUM(BA102:BA105)</f>
        <v>0</v>
      </c>
      <c r="BB106" s="83">
        <f t="shared" si="369"/>
        <v>0</v>
      </c>
      <c r="BC106" s="411">
        <f>AV106+AS106+AO106+AK106+AG106+AC106+Y106+V106+S106+O106+L106+I106+AY106</f>
        <v>0</v>
      </c>
      <c r="BD106" s="83">
        <f>SUM(BD102:BD105)</f>
        <v>8638.2200000000012</v>
      </c>
      <c r="BE106" s="76">
        <v>3234</v>
      </c>
      <c r="BF106" s="522"/>
      <c r="BG106" s="493"/>
      <c r="BH106" s="493"/>
      <c r="BI106" s="530"/>
      <c r="BJ106" s="493"/>
      <c r="BK106" s="493"/>
      <c r="BL106" s="493"/>
      <c r="BM106" s="493"/>
    </row>
    <row r="107" spans="1:65" x14ac:dyDescent="0.25">
      <c r="A107" s="74">
        <v>323521</v>
      </c>
      <c r="B107" s="506" t="s">
        <v>70</v>
      </c>
      <c r="C107" s="75">
        <f t="shared" si="325"/>
        <v>350.05640719357621</v>
      </c>
      <c r="D107" s="69"/>
      <c r="E107" s="122">
        <f t="shared" si="326"/>
        <v>418.32</v>
      </c>
      <c r="F107" s="240">
        <f t="shared" si="275"/>
        <v>119.50074085308057</v>
      </c>
      <c r="G107" s="241">
        <f t="shared" si="276"/>
        <v>0</v>
      </c>
      <c r="H107" s="124"/>
      <c r="I107" s="124"/>
      <c r="J107" s="176">
        <f>'izvršenje PO IZVORIMA-detaljno'!E107</f>
        <v>0</v>
      </c>
      <c r="K107" s="1286">
        <f t="shared" si="327"/>
        <v>0</v>
      </c>
      <c r="L107" s="52"/>
      <c r="M107" s="51"/>
      <c r="N107" s="1419">
        <f>'izvršenje PO IZVORIMA-detaljno'!V107</f>
        <v>350.05640719357621</v>
      </c>
      <c r="O107" s="1314"/>
      <c r="P107" s="1326">
        <f>'izvršenje PO IZVORIMA-detaljno'!X107</f>
        <v>418.32</v>
      </c>
      <c r="Q107" s="1309">
        <f t="shared" si="354"/>
        <v>0</v>
      </c>
      <c r="R107" s="1314"/>
      <c r="S107" s="1314"/>
      <c r="T107" s="1326">
        <f>'izvršenje PO IZVORIMA-detaljno'!AA107</f>
        <v>0</v>
      </c>
      <c r="U107" s="1309">
        <f t="shared" si="355"/>
        <v>0</v>
      </c>
      <c r="V107" s="1314"/>
      <c r="W107" s="1315"/>
      <c r="X107" s="1307"/>
      <c r="Y107" s="1307"/>
      <c r="Z107" s="1326">
        <f>'izvršenje PO IZVORIMA-detaljno'!AM107+'izvršenje PO IZVORIMA-detaljno'!AJ107+'izvršenje PO IZVORIMA-detaljno'!AC107</f>
        <v>0</v>
      </c>
      <c r="AA107" s="1309">
        <f t="shared" si="356"/>
        <v>0</v>
      </c>
      <c r="AB107" s="1357"/>
      <c r="AC107" s="1357"/>
      <c r="AD107" s="1372">
        <f>'izvršenje PO IZVORIMA-detaljno'!H107+'izvršenje PO IZVORIMA-detaljno'!N107</f>
        <v>0</v>
      </c>
      <c r="AE107" s="1350">
        <f t="shared" si="357"/>
        <v>0</v>
      </c>
      <c r="AF107" s="1372"/>
      <c r="AG107" s="1357"/>
      <c r="AH107" s="1372">
        <f>'izvršenje PO IZVORIMA-detaljno'!K107+'izvršenje PO IZVORIMA-detaljno'!Q107</f>
        <v>0</v>
      </c>
      <c r="AI107" s="1350">
        <f t="shared" si="361"/>
        <v>0</v>
      </c>
      <c r="AJ107" s="1357"/>
      <c r="AK107" s="1357"/>
      <c r="AL107" s="1383">
        <f>'izvršenje PO IZVORIMA-detaljno'!T107+'izvršenje PO IZVORIMA-detaljno'!U107</f>
        <v>0</v>
      </c>
      <c r="AM107" s="1350">
        <f t="shared" si="358"/>
        <v>0</v>
      </c>
      <c r="AN107" s="1357"/>
      <c r="AO107" s="1357"/>
      <c r="AP107" s="1372">
        <f>'izvršenje PO IZVORIMA-detaljno'!AP107</f>
        <v>0</v>
      </c>
      <c r="AQ107" s="1350">
        <f t="shared" si="359"/>
        <v>0</v>
      </c>
      <c r="AR107" s="1357"/>
      <c r="AS107" s="1357"/>
      <c r="AT107" s="1370"/>
      <c r="AU107" s="1350">
        <f t="shared" si="360"/>
        <v>0</v>
      </c>
      <c r="AV107" s="1357"/>
      <c r="AW107" s="1358"/>
      <c r="AX107" s="1435"/>
      <c r="AY107" s="1401"/>
      <c r="AZ107" s="1444"/>
      <c r="BA107" s="180"/>
      <c r="BB107" s="178"/>
      <c r="BC107" s="57"/>
      <c r="BD107" s="126">
        <f>J107+M107+P107+T107+W107+Z107+AD107+AH107+AL107+AP107+AT107+AW107</f>
        <v>418.32</v>
      </c>
      <c r="BE107" s="74">
        <v>323521</v>
      </c>
      <c r="BG107" s="484"/>
      <c r="BH107" s="484"/>
      <c r="BI107" s="527"/>
    </row>
    <row r="108" spans="1:65" s="2" customFormat="1" ht="15.75" thickBot="1" x14ac:dyDescent="0.3">
      <c r="A108" s="46">
        <v>323541</v>
      </c>
      <c r="B108" s="504" t="s">
        <v>71</v>
      </c>
      <c r="C108" s="75">
        <f t="shared" si="325"/>
        <v>75934.197358816105</v>
      </c>
      <c r="D108" s="4"/>
      <c r="E108" s="122">
        <f t="shared" si="326"/>
        <v>1588.19</v>
      </c>
      <c r="F108" s="242">
        <f t="shared" si="275"/>
        <v>2.0915345855244074</v>
      </c>
      <c r="G108" s="243">
        <f t="shared" si="276"/>
        <v>0</v>
      </c>
      <c r="H108" s="125"/>
      <c r="I108" s="125"/>
      <c r="J108" s="176">
        <f>'izvršenje PO IZVORIMA-detaljno'!E108</f>
        <v>0</v>
      </c>
      <c r="K108" s="1288">
        <f t="shared" si="327"/>
        <v>0</v>
      </c>
      <c r="L108" s="59"/>
      <c r="M108" s="60"/>
      <c r="N108" s="1419">
        <f>'izvršenje PO IZVORIMA-detaljno'!V108</f>
        <v>1194.5052757316344</v>
      </c>
      <c r="O108" s="1328"/>
      <c r="P108" s="1326">
        <f>'izvršenje PO IZVORIMA-detaljno'!X108</f>
        <v>1012.5</v>
      </c>
      <c r="Q108" s="1316">
        <f t="shared" si="354"/>
        <v>0</v>
      </c>
      <c r="R108" s="1328"/>
      <c r="S108" s="1328"/>
      <c r="T108" s="1326">
        <f>'izvršenje PO IZVORIMA-detaljno'!AA108</f>
        <v>0</v>
      </c>
      <c r="U108" s="1316">
        <f t="shared" si="355"/>
        <v>0</v>
      </c>
      <c r="V108" s="1328"/>
      <c r="W108" s="1329"/>
      <c r="X108" s="1307"/>
      <c r="Y108" s="1307"/>
      <c r="Z108" s="1326">
        <f>'izvršenje PO IZVORIMA-detaljno'!AM108+'izvršenje PO IZVORIMA-detaljno'!AJ108+'izvršenje PO IZVORIMA-detaljno'!AC108</f>
        <v>0</v>
      </c>
      <c r="AA108" s="1316">
        <f t="shared" si="356"/>
        <v>0</v>
      </c>
      <c r="AB108" s="1380"/>
      <c r="AC108" s="1380"/>
      <c r="AD108" s="1372">
        <f>'izvršenje PO IZVORIMA-detaljno'!H108+'izvršenje PO IZVORIMA-detaljno'!N108</f>
        <v>0</v>
      </c>
      <c r="AE108" s="1359">
        <f t="shared" si="357"/>
        <v>0</v>
      </c>
      <c r="AF108" s="1383">
        <f>'izvršenje PO IZVORIMA-detaljno'!I108+'izvršenje PO IZVORIMA-detaljno'!O108</f>
        <v>74739.692083084476</v>
      </c>
      <c r="AG108" s="1380"/>
      <c r="AH108" s="1372">
        <f>'izvršenje PO IZVORIMA-detaljno'!K108+'izvršenje PO IZVORIMA-detaljno'!Q108</f>
        <v>575.68999999999994</v>
      </c>
      <c r="AI108" s="1359">
        <f t="shared" si="361"/>
        <v>0</v>
      </c>
      <c r="AJ108" s="1380"/>
      <c r="AK108" s="1380"/>
      <c r="AL108" s="1383">
        <f>'izvršenje PO IZVORIMA-detaljno'!T108+'izvršenje PO IZVORIMA-detaljno'!U108</f>
        <v>0</v>
      </c>
      <c r="AM108" s="1359">
        <f t="shared" si="358"/>
        <v>0</v>
      </c>
      <c r="AN108" s="1380"/>
      <c r="AO108" s="1380"/>
      <c r="AP108" s="1372">
        <f>'izvršenje PO IZVORIMA-detaljno'!AP108</f>
        <v>0</v>
      </c>
      <c r="AQ108" s="1359">
        <f t="shared" si="359"/>
        <v>0</v>
      </c>
      <c r="AR108" s="1380"/>
      <c r="AS108" s="1380"/>
      <c r="AT108" s="1381"/>
      <c r="AU108" s="1359">
        <f t="shared" si="360"/>
        <v>0</v>
      </c>
      <c r="AV108" s="1380"/>
      <c r="AW108" s="1382"/>
      <c r="AX108" s="1437"/>
      <c r="AY108" s="1403"/>
      <c r="AZ108" s="1450"/>
      <c r="BA108" s="208"/>
      <c r="BB108" s="210"/>
      <c r="BC108" s="61"/>
      <c r="BD108" s="126">
        <f>J108+M108+P108+T108+W108+Z108+AD108+AH108+AL108+AP108+AT108+AW108</f>
        <v>1588.19</v>
      </c>
      <c r="BE108" s="46">
        <v>323541</v>
      </c>
      <c r="BF108" s="254"/>
      <c r="BG108" s="489"/>
      <c r="BH108" s="489"/>
      <c r="BI108" s="529"/>
      <c r="BJ108" s="486"/>
      <c r="BK108" s="486"/>
      <c r="BL108" s="486"/>
      <c r="BM108" s="486"/>
    </row>
    <row r="109" spans="1:65" s="1539" customFormat="1" ht="15.75" thickBot="1" x14ac:dyDescent="0.3">
      <c r="A109" s="76">
        <v>3235</v>
      </c>
      <c r="B109" s="505" t="s">
        <v>72</v>
      </c>
      <c r="C109" s="82">
        <f>SUM(C107:C108)</f>
        <v>76284.253766009686</v>
      </c>
      <c r="D109" s="82">
        <f t="shared" ref="D109:E109" si="370">D107+D108</f>
        <v>0</v>
      </c>
      <c r="E109" s="83">
        <f t="shared" si="370"/>
        <v>2006.51</v>
      </c>
      <c r="F109" s="253">
        <f t="shared" si="275"/>
        <v>2.6303069125571623</v>
      </c>
      <c r="G109" s="252">
        <f t="shared" si="276"/>
        <v>0</v>
      </c>
      <c r="H109" s="411">
        <f t="shared" ref="H109" si="371">H107+H108</f>
        <v>0</v>
      </c>
      <c r="I109" s="115">
        <f t="shared" ref="I109:AP109" si="372">I107+I108</f>
        <v>0</v>
      </c>
      <c r="J109" s="82">
        <f t="shared" si="372"/>
        <v>0</v>
      </c>
      <c r="K109" s="252">
        <f t="shared" si="327"/>
        <v>0</v>
      </c>
      <c r="L109" s="82">
        <f t="shared" si="372"/>
        <v>0</v>
      </c>
      <c r="M109" s="112">
        <f t="shared" si="372"/>
        <v>0</v>
      </c>
      <c r="N109" s="417">
        <f t="shared" ref="N109" si="373">N107+N108</f>
        <v>1544.5616829252106</v>
      </c>
      <c r="O109" s="82">
        <f t="shared" si="372"/>
        <v>0</v>
      </c>
      <c r="P109" s="82">
        <f t="shared" si="372"/>
        <v>1430.82</v>
      </c>
      <c r="Q109" s="252">
        <f t="shared" si="354"/>
        <v>0</v>
      </c>
      <c r="R109" s="82">
        <f t="shared" ref="R109" si="374">R107+R108</f>
        <v>0</v>
      </c>
      <c r="S109" s="82">
        <f t="shared" si="372"/>
        <v>0</v>
      </c>
      <c r="T109" s="82">
        <f t="shared" si="372"/>
        <v>0</v>
      </c>
      <c r="U109" s="252">
        <f t="shared" si="355"/>
        <v>0</v>
      </c>
      <c r="V109" s="82">
        <f t="shared" si="372"/>
        <v>0</v>
      </c>
      <c r="W109" s="82">
        <f t="shared" si="372"/>
        <v>0</v>
      </c>
      <c r="X109" s="82"/>
      <c r="Y109" s="82">
        <f>'izvršenje PO IZVORIMA-detaljno'!AI109+'izvršenje PO IZVORIMA-detaljno'!AL109+'izvršenje PO IZVORIMA-detaljno'!AB109</f>
        <v>0</v>
      </c>
      <c r="Z109" s="112">
        <f t="shared" si="372"/>
        <v>0</v>
      </c>
      <c r="AA109" s="252">
        <f t="shared" si="356"/>
        <v>0</v>
      </c>
      <c r="AB109" s="417"/>
      <c r="AC109" s="417">
        <f>'izvršenje PO IZVORIMA-detaljno'!G109+'izvršenje PO IZVORIMA-detaljno'!M109</f>
        <v>0</v>
      </c>
      <c r="AD109" s="82">
        <f t="shared" si="372"/>
        <v>0</v>
      </c>
      <c r="AE109" s="252">
        <f t="shared" si="357"/>
        <v>0</v>
      </c>
      <c r="AF109" s="108">
        <f>SUM(AF108)</f>
        <v>74739.692083084476</v>
      </c>
      <c r="AG109" s="108">
        <f>'izvršenje PO IZVORIMA-detaljno'!J109+'izvršenje PO IZVORIMA-detaljno'!P109</f>
        <v>0</v>
      </c>
      <c r="AH109" s="82">
        <f t="shared" si="372"/>
        <v>575.68999999999994</v>
      </c>
      <c r="AI109" s="252">
        <f t="shared" si="361"/>
        <v>0</v>
      </c>
      <c r="AJ109" s="82"/>
      <c r="AK109" s="82">
        <f>'izvršenje PO IZVORIMA-detaljno'!S109</f>
        <v>0</v>
      </c>
      <c r="AL109" s="82">
        <f t="shared" si="372"/>
        <v>0</v>
      </c>
      <c r="AM109" s="252">
        <f t="shared" si="358"/>
        <v>0</v>
      </c>
      <c r="AN109" s="82"/>
      <c r="AO109" s="82">
        <f>'izvršenje PO IZVORIMA-detaljno'!AO109</f>
        <v>0</v>
      </c>
      <c r="AP109" s="82">
        <f t="shared" si="372"/>
        <v>0</v>
      </c>
      <c r="AQ109" s="252">
        <f t="shared" si="359"/>
        <v>0</v>
      </c>
      <c r="AR109" s="82">
        <f>'izvršenje PO IZVORIMA-detaljno'!AQ109</f>
        <v>0</v>
      </c>
      <c r="AS109" s="82">
        <f>'izvršenje PO IZVORIMA-detaljno'!AR109</f>
        <v>0</v>
      </c>
      <c r="AT109" s="82">
        <f t="shared" ref="AT109" si="375">AT107+AT108</f>
        <v>0</v>
      </c>
      <c r="AU109" s="252">
        <f t="shared" si="360"/>
        <v>0</v>
      </c>
      <c r="AV109" s="82">
        <f t="shared" ref="AV109:AX109" si="376">AV107+AV108</f>
        <v>0</v>
      </c>
      <c r="AW109" s="83">
        <f t="shared" si="376"/>
        <v>0</v>
      </c>
      <c r="AX109" s="407">
        <f t="shared" si="376"/>
        <v>0</v>
      </c>
      <c r="AY109" s="83">
        <f t="shared" ref="AY109:AZ109" si="377">AY107+AY108</f>
        <v>0</v>
      </c>
      <c r="AZ109" s="112">
        <f t="shared" si="377"/>
        <v>0</v>
      </c>
      <c r="BA109" s="407">
        <f t="shared" ref="BA109:BB109" si="378">BA107+BA108</f>
        <v>0</v>
      </c>
      <c r="BB109" s="83">
        <f t="shared" si="378"/>
        <v>0</v>
      </c>
      <c r="BC109" s="411">
        <f>AV109+AS109+AO109+AK109+AG109+AC109+Y109+V109+S109+O109+L109+I109+AY109</f>
        <v>0</v>
      </c>
      <c r="BD109" s="83">
        <f t="shared" ref="BD109" si="379">BD107+BD108</f>
        <v>2006.51</v>
      </c>
      <c r="BE109" s="76">
        <v>3235</v>
      </c>
      <c r="BF109" s="522"/>
      <c r="BG109" s="493"/>
      <c r="BH109" s="493"/>
      <c r="BI109" s="530"/>
      <c r="BJ109" s="493"/>
      <c r="BK109" s="493"/>
      <c r="BL109" s="493"/>
      <c r="BM109" s="493"/>
    </row>
    <row r="110" spans="1:65" s="2" customFormat="1" x14ac:dyDescent="0.25">
      <c r="A110" s="15">
        <v>323611</v>
      </c>
      <c r="B110" s="509" t="s">
        <v>73</v>
      </c>
      <c r="C110" s="75">
        <f t="shared" si="325"/>
        <v>1244.2763288871192</v>
      </c>
      <c r="D110" s="161"/>
      <c r="E110" s="122">
        <f t="shared" si="326"/>
        <v>3400.91</v>
      </c>
      <c r="F110" s="240">
        <f t="shared" si="275"/>
        <v>273.32433487999998</v>
      </c>
      <c r="G110" s="241">
        <f t="shared" si="276"/>
        <v>0</v>
      </c>
      <c r="H110" s="125"/>
      <c r="I110" s="125"/>
      <c r="J110" s="176">
        <f>'izvršenje PO IZVORIMA-detaljno'!E110</f>
        <v>0</v>
      </c>
      <c r="K110" s="1286">
        <f t="shared" si="327"/>
        <v>0</v>
      </c>
      <c r="L110" s="59"/>
      <c r="M110" s="60"/>
      <c r="N110" s="1419">
        <f>'izvršenje PO IZVORIMA-detaljno'!V110</f>
        <v>1244.2763288871192</v>
      </c>
      <c r="O110" s="1328"/>
      <c r="P110" s="1326">
        <f>'izvršenje PO IZVORIMA-detaljno'!X110</f>
        <v>3400.91</v>
      </c>
      <c r="Q110" s="1309">
        <f t="shared" si="354"/>
        <v>0</v>
      </c>
      <c r="R110" s="1328"/>
      <c r="S110" s="1328"/>
      <c r="T110" s="1326">
        <f>'izvršenje PO IZVORIMA-detaljno'!AA110</f>
        <v>0</v>
      </c>
      <c r="U110" s="1309">
        <f t="shared" si="355"/>
        <v>0</v>
      </c>
      <c r="V110" s="1328"/>
      <c r="W110" s="1329"/>
      <c r="X110" s="1307"/>
      <c r="Y110" s="1307"/>
      <c r="Z110" s="1326">
        <f>'izvršenje PO IZVORIMA-detaljno'!AM110+'izvršenje PO IZVORIMA-detaljno'!AJ110+'izvršenje PO IZVORIMA-detaljno'!AC110</f>
        <v>0</v>
      </c>
      <c r="AA110" s="1309">
        <f t="shared" si="356"/>
        <v>0</v>
      </c>
      <c r="AB110" s="1380"/>
      <c r="AC110" s="1380"/>
      <c r="AD110" s="1372">
        <f>'izvršenje PO IZVORIMA-detaljno'!H110+'izvršenje PO IZVORIMA-detaljno'!N110</f>
        <v>0</v>
      </c>
      <c r="AE110" s="1350">
        <f t="shared" si="357"/>
        <v>0</v>
      </c>
      <c r="AF110" s="1380"/>
      <c r="AG110" s="1380"/>
      <c r="AH110" s="1372">
        <f>'izvršenje PO IZVORIMA-detaljno'!K110+'izvršenje PO IZVORIMA-detaljno'!Q110</f>
        <v>0</v>
      </c>
      <c r="AI110" s="1350">
        <f t="shared" si="361"/>
        <v>0</v>
      </c>
      <c r="AJ110" s="1380"/>
      <c r="AK110" s="1380"/>
      <c r="AL110" s="1383">
        <f>'izvršenje PO IZVORIMA-detaljno'!T110+'izvršenje PO IZVORIMA-detaljno'!U110</f>
        <v>0</v>
      </c>
      <c r="AM110" s="1350">
        <f t="shared" si="358"/>
        <v>0</v>
      </c>
      <c r="AN110" s="1380"/>
      <c r="AO110" s="1380"/>
      <c r="AP110" s="1372">
        <f>'izvršenje PO IZVORIMA-detaljno'!AP110</f>
        <v>0</v>
      </c>
      <c r="AQ110" s="1350">
        <f t="shared" si="359"/>
        <v>0</v>
      </c>
      <c r="AR110" s="1380"/>
      <c r="AS110" s="1380"/>
      <c r="AT110" s="1381"/>
      <c r="AU110" s="1350">
        <f t="shared" si="360"/>
        <v>0</v>
      </c>
      <c r="AV110" s="1380"/>
      <c r="AW110" s="1382"/>
      <c r="AX110" s="1437"/>
      <c r="AY110" s="1403"/>
      <c r="AZ110" s="1450"/>
      <c r="BA110" s="208"/>
      <c r="BB110" s="210"/>
      <c r="BC110" s="61"/>
      <c r="BD110" s="126">
        <f>J110+M110+P110+T110+W110+Z110+AD110+AH110+AL110+AP110+AT110+AW110</f>
        <v>3400.91</v>
      </c>
      <c r="BE110" s="15">
        <v>323611</v>
      </c>
      <c r="BF110" s="254"/>
      <c r="BG110" s="489"/>
      <c r="BH110" s="489"/>
      <c r="BI110" s="529"/>
      <c r="BJ110" s="486"/>
      <c r="BK110" s="486"/>
      <c r="BL110" s="486"/>
      <c r="BM110" s="486"/>
    </row>
    <row r="111" spans="1:65" s="2" customFormat="1" ht="15.75" thickBot="1" x14ac:dyDescent="0.3">
      <c r="A111" s="77">
        <v>323631</v>
      </c>
      <c r="B111" s="502" t="s">
        <v>239</v>
      </c>
      <c r="C111" s="75">
        <f t="shared" si="325"/>
        <v>447.93947839936288</v>
      </c>
      <c r="D111" s="71"/>
      <c r="E111" s="122">
        <f t="shared" si="326"/>
        <v>0</v>
      </c>
      <c r="F111" s="242">
        <f t="shared" si="275"/>
        <v>0</v>
      </c>
      <c r="G111" s="243">
        <f t="shared" si="276"/>
        <v>0</v>
      </c>
      <c r="H111" s="125"/>
      <c r="I111" s="125"/>
      <c r="J111" s="176">
        <f>'izvršenje PO IZVORIMA-detaljno'!E111</f>
        <v>0</v>
      </c>
      <c r="K111" s="1288">
        <f t="shared" si="327"/>
        <v>0</v>
      </c>
      <c r="L111" s="59"/>
      <c r="M111" s="60"/>
      <c r="N111" s="1419">
        <f>'izvršenje PO IZVORIMA-detaljno'!V111</f>
        <v>434.66719755790029</v>
      </c>
      <c r="O111" s="1328"/>
      <c r="P111" s="1326">
        <f>'izvršenje PO IZVORIMA-detaljno'!X111</f>
        <v>0</v>
      </c>
      <c r="Q111" s="1316">
        <f t="shared" si="354"/>
        <v>0</v>
      </c>
      <c r="R111" s="1328"/>
      <c r="S111" s="1328"/>
      <c r="T111" s="1326">
        <f>'izvršenje PO IZVORIMA-detaljno'!AA111</f>
        <v>0</v>
      </c>
      <c r="U111" s="1316">
        <f t="shared" si="355"/>
        <v>0</v>
      </c>
      <c r="V111" s="1328"/>
      <c r="W111" s="1329"/>
      <c r="X111" s="1307"/>
      <c r="Y111" s="1307"/>
      <c r="Z111" s="1326">
        <f>'izvršenje PO IZVORIMA-detaljno'!AM111+'izvršenje PO IZVORIMA-detaljno'!AJ111+'izvršenje PO IZVORIMA-detaljno'!AC111</f>
        <v>0</v>
      </c>
      <c r="AA111" s="1316">
        <f t="shared" si="356"/>
        <v>0</v>
      </c>
      <c r="AB111" s="1380"/>
      <c r="AC111" s="1380"/>
      <c r="AD111" s="1372">
        <f>'izvršenje PO IZVORIMA-detaljno'!H111+'izvršenje PO IZVORIMA-detaljno'!N111</f>
        <v>0</v>
      </c>
      <c r="AE111" s="1359">
        <f t="shared" si="357"/>
        <v>0</v>
      </c>
      <c r="AF111" s="1380"/>
      <c r="AG111" s="1380"/>
      <c r="AH111" s="1372">
        <f>'izvršenje PO IZVORIMA-detaljno'!K111+'izvršenje PO IZVORIMA-detaljno'!Q111</f>
        <v>0</v>
      </c>
      <c r="AI111" s="1359">
        <f t="shared" si="361"/>
        <v>0</v>
      </c>
      <c r="AJ111" s="1380"/>
      <c r="AK111" s="1380"/>
      <c r="AL111" s="1383">
        <f>'izvršenje PO IZVORIMA-detaljno'!T111+'izvršenje PO IZVORIMA-detaljno'!U111</f>
        <v>0</v>
      </c>
      <c r="AM111" s="1359">
        <f t="shared" si="358"/>
        <v>0</v>
      </c>
      <c r="AN111" s="1383">
        <f>'izvršenje PO IZVORIMA-detaljno'!AN111</f>
        <v>13.272280841462605</v>
      </c>
      <c r="AO111" s="1380"/>
      <c r="AP111" s="1372">
        <f>'izvršenje PO IZVORIMA-detaljno'!AP111</f>
        <v>0</v>
      </c>
      <c r="AQ111" s="1359">
        <f t="shared" si="359"/>
        <v>0</v>
      </c>
      <c r="AR111" s="1380"/>
      <c r="AS111" s="1380"/>
      <c r="AT111" s="1381"/>
      <c r="AU111" s="1359">
        <f t="shared" si="360"/>
        <v>0</v>
      </c>
      <c r="AV111" s="1380"/>
      <c r="AW111" s="1382"/>
      <c r="AX111" s="1437"/>
      <c r="AY111" s="1403"/>
      <c r="AZ111" s="1450"/>
      <c r="BA111" s="208"/>
      <c r="BB111" s="210"/>
      <c r="BC111" s="61"/>
      <c r="BD111" s="126">
        <f>J111+M111+P111+T111+W111+Z111+AD111+AH111+AL111+AP111+AT111+AW111</f>
        <v>0</v>
      </c>
      <c r="BE111" s="77">
        <v>323631</v>
      </c>
      <c r="BF111" s="254"/>
      <c r="BG111" s="489"/>
      <c r="BH111" s="489"/>
      <c r="BI111" s="529"/>
      <c r="BJ111" s="486"/>
      <c r="BK111" s="486"/>
      <c r="BL111" s="486"/>
      <c r="BM111" s="486"/>
    </row>
    <row r="112" spans="1:65" s="1539" customFormat="1" ht="15.75" thickBot="1" x14ac:dyDescent="0.3">
      <c r="A112" s="76">
        <v>3236</v>
      </c>
      <c r="B112" s="505" t="s">
        <v>74</v>
      </c>
      <c r="C112" s="82">
        <f>SUM(C110:C111)</f>
        <v>1692.2158072864822</v>
      </c>
      <c r="D112" s="90"/>
      <c r="E112" s="83">
        <f>E110+E111</f>
        <v>3400.91</v>
      </c>
      <c r="F112" s="253">
        <f t="shared" si="275"/>
        <v>200.97377564705883</v>
      </c>
      <c r="G112" s="252">
        <f t="shared" si="276"/>
        <v>0</v>
      </c>
      <c r="H112" s="411">
        <f t="shared" ref="H112" si="380">H110</f>
        <v>0</v>
      </c>
      <c r="I112" s="115">
        <f t="shared" ref="I112:AL112" si="381">I110</f>
        <v>0</v>
      </c>
      <c r="J112" s="82">
        <f t="shared" si="381"/>
        <v>0</v>
      </c>
      <c r="K112" s="252">
        <f t="shared" si="327"/>
        <v>0</v>
      </c>
      <c r="L112" s="82">
        <f t="shared" si="381"/>
        <v>0</v>
      </c>
      <c r="M112" s="112">
        <f t="shared" si="381"/>
        <v>0</v>
      </c>
      <c r="N112" s="417">
        <f>N110+N111</f>
        <v>1678.9435264450194</v>
      </c>
      <c r="O112" s="82">
        <f t="shared" si="381"/>
        <v>0</v>
      </c>
      <c r="P112" s="82">
        <f>P110+P111</f>
        <v>3400.91</v>
      </c>
      <c r="Q112" s="252">
        <f t="shared" si="354"/>
        <v>0</v>
      </c>
      <c r="R112" s="82">
        <f t="shared" ref="R112" si="382">R110</f>
        <v>0</v>
      </c>
      <c r="S112" s="82">
        <f t="shared" si="381"/>
        <v>0</v>
      </c>
      <c r="T112" s="82">
        <f t="shared" si="381"/>
        <v>0</v>
      </c>
      <c r="U112" s="252">
        <f t="shared" si="355"/>
        <v>0</v>
      </c>
      <c r="V112" s="82">
        <f t="shared" si="381"/>
        <v>0</v>
      </c>
      <c r="W112" s="82">
        <f t="shared" si="381"/>
        <v>0</v>
      </c>
      <c r="X112" s="82"/>
      <c r="Y112" s="82">
        <f>'izvršenje PO IZVORIMA-detaljno'!AI112+'izvršenje PO IZVORIMA-detaljno'!AL112+'izvršenje PO IZVORIMA-detaljno'!AB112</f>
        <v>0</v>
      </c>
      <c r="Z112" s="112">
        <f t="shared" si="381"/>
        <v>0</v>
      </c>
      <c r="AA112" s="252">
        <f t="shared" si="356"/>
        <v>0</v>
      </c>
      <c r="AB112" s="417"/>
      <c r="AC112" s="417">
        <f>'izvršenje PO IZVORIMA-detaljno'!G112+'izvršenje PO IZVORIMA-detaljno'!M112</f>
        <v>0</v>
      </c>
      <c r="AD112" s="82">
        <f t="shared" si="381"/>
        <v>0</v>
      </c>
      <c r="AE112" s="252">
        <f t="shared" si="357"/>
        <v>0</v>
      </c>
      <c r="AF112" s="108"/>
      <c r="AG112" s="108">
        <f>'izvršenje PO IZVORIMA-detaljno'!J112+'izvršenje PO IZVORIMA-detaljno'!P112</f>
        <v>0</v>
      </c>
      <c r="AH112" s="82">
        <f t="shared" si="381"/>
        <v>0</v>
      </c>
      <c r="AI112" s="252">
        <f t="shared" si="361"/>
        <v>0</v>
      </c>
      <c r="AJ112" s="82"/>
      <c r="AK112" s="82">
        <f>'izvršenje PO IZVORIMA-detaljno'!S112</f>
        <v>0</v>
      </c>
      <c r="AL112" s="82">
        <f t="shared" si="381"/>
        <v>0</v>
      </c>
      <c r="AM112" s="252">
        <f t="shared" si="358"/>
        <v>0</v>
      </c>
      <c r="AN112" s="207">
        <f>SUM(AN110:AN111)</f>
        <v>13.272280841462605</v>
      </c>
      <c r="AO112" s="82">
        <f>'izvršenje PO IZVORIMA-detaljno'!AO112</f>
        <v>0</v>
      </c>
      <c r="AP112" s="82">
        <f>AP110+AP111</f>
        <v>0</v>
      </c>
      <c r="AQ112" s="252">
        <f t="shared" si="359"/>
        <v>0</v>
      </c>
      <c r="AR112" s="82">
        <f>'izvršenje PO IZVORIMA-detaljno'!AQ112</f>
        <v>0</v>
      </c>
      <c r="AS112" s="82">
        <f>'izvršenje PO IZVORIMA-detaljno'!AR112</f>
        <v>0</v>
      </c>
      <c r="AT112" s="82">
        <f t="shared" ref="AT112" si="383">AT110</f>
        <v>0</v>
      </c>
      <c r="AU112" s="252">
        <f t="shared" si="360"/>
        <v>0</v>
      </c>
      <c r="AV112" s="82">
        <f t="shared" ref="AV112:AX112" si="384">AV110</f>
        <v>0</v>
      </c>
      <c r="AW112" s="83">
        <f t="shared" si="384"/>
        <v>0</v>
      </c>
      <c r="AX112" s="407">
        <f t="shared" si="384"/>
        <v>0</v>
      </c>
      <c r="AY112" s="83">
        <f t="shared" ref="AY112:AZ112" si="385">AY110</f>
        <v>0</v>
      </c>
      <c r="AZ112" s="112">
        <f t="shared" si="385"/>
        <v>0</v>
      </c>
      <c r="BA112" s="407">
        <f t="shared" ref="BA112:BB112" si="386">BA110</f>
        <v>0</v>
      </c>
      <c r="BB112" s="83">
        <f t="shared" si="386"/>
        <v>0</v>
      </c>
      <c r="BC112" s="411">
        <f>AV112+AS112+AO112+AK112+AG112+AC112+Y112+V112+S112+O112+L112+I112+AY112</f>
        <v>0</v>
      </c>
      <c r="BD112" s="83">
        <f>BD110+BD111</f>
        <v>3400.91</v>
      </c>
      <c r="BE112" s="76">
        <v>3236</v>
      </c>
      <c r="BF112" s="522"/>
      <c r="BG112" s="493"/>
      <c r="BH112" s="493"/>
      <c r="BI112" s="530"/>
      <c r="BJ112" s="493"/>
      <c r="BK112" s="493"/>
      <c r="BL112" s="493"/>
      <c r="BM112" s="493"/>
    </row>
    <row r="113" spans="1:65" x14ac:dyDescent="0.25">
      <c r="A113" s="74">
        <v>323711</v>
      </c>
      <c r="B113" s="506" t="s">
        <v>75</v>
      </c>
      <c r="C113" s="75">
        <f t="shared" si="325"/>
        <v>260.61848828721213</v>
      </c>
      <c r="D113" s="75"/>
      <c r="E113" s="122">
        <f t="shared" si="326"/>
        <v>0</v>
      </c>
      <c r="F113" s="240">
        <f t="shared" si="275"/>
        <v>0</v>
      </c>
      <c r="G113" s="241">
        <f t="shared" si="276"/>
        <v>0</v>
      </c>
      <c r="H113" s="123">
        <f>'izvršenje PO IZVORIMA-detaljno'!C113</f>
        <v>0</v>
      </c>
      <c r="I113" s="124"/>
      <c r="J113" s="176">
        <f>'izvršenje PO IZVORIMA-detaljno'!E113</f>
        <v>0</v>
      </c>
      <c r="K113" s="1286">
        <f t="shared" si="327"/>
        <v>0</v>
      </c>
      <c r="L113" s="52"/>
      <c r="M113" s="51"/>
      <c r="N113" s="1419">
        <f>'izvršenje PO IZVORIMA-detaljno'!V113</f>
        <v>0</v>
      </c>
      <c r="O113" s="1314"/>
      <c r="P113" s="1326">
        <f>'izvršenje PO IZVORIMA-detaljno'!X113</f>
        <v>0</v>
      </c>
      <c r="Q113" s="1309">
        <f t="shared" si="354"/>
        <v>0</v>
      </c>
      <c r="R113" s="1314"/>
      <c r="S113" s="1314"/>
      <c r="T113" s="1326">
        <f>'izvršenje PO IZVORIMA-detaljno'!AA113</f>
        <v>0</v>
      </c>
      <c r="U113" s="1309">
        <f t="shared" si="355"/>
        <v>0</v>
      </c>
      <c r="V113" s="1314"/>
      <c r="W113" s="1315"/>
      <c r="X113" s="1307"/>
      <c r="Y113" s="1307"/>
      <c r="Z113" s="1326">
        <f>'izvršenje PO IZVORIMA-detaljno'!AM113+'izvršenje PO IZVORIMA-detaljno'!AJ113+'izvršenje PO IZVORIMA-detaljno'!AC113</f>
        <v>0</v>
      </c>
      <c r="AA113" s="1309">
        <f t="shared" si="356"/>
        <v>0</v>
      </c>
      <c r="AB113" s="1357"/>
      <c r="AC113" s="1357"/>
      <c r="AD113" s="1372">
        <f>'izvršenje PO IZVORIMA-detaljno'!H113+'izvršenje PO IZVORIMA-detaljno'!N113</f>
        <v>0</v>
      </c>
      <c r="AE113" s="1350">
        <f t="shared" si="357"/>
        <v>0</v>
      </c>
      <c r="AF113" s="1383">
        <f>'izvršenje PO IZVORIMA-detaljno'!I113+'izvršenje PO IZVORIMA-detaljno'!O113</f>
        <v>0</v>
      </c>
      <c r="AG113" s="1357"/>
      <c r="AH113" s="1372">
        <f>'izvršenje PO IZVORIMA-detaljno'!K113+'izvršenje PO IZVORIMA-detaljno'!Q113</f>
        <v>0</v>
      </c>
      <c r="AI113" s="1350">
        <f t="shared" si="361"/>
        <v>0</v>
      </c>
      <c r="AJ113" s="1357"/>
      <c r="AK113" s="1357"/>
      <c r="AL113" s="1383">
        <f>'izvršenje PO IZVORIMA-detaljno'!T113+'izvršenje PO IZVORIMA-detaljno'!U113</f>
        <v>0</v>
      </c>
      <c r="AM113" s="1350">
        <f t="shared" si="358"/>
        <v>0</v>
      </c>
      <c r="AN113" s="1372">
        <f>'izvršenje PO IZVORIMA-detaljno'!AN113</f>
        <v>260.61848828721213</v>
      </c>
      <c r="AO113" s="1357"/>
      <c r="AP113" s="1372">
        <f>'izvršenje PO IZVORIMA-detaljno'!AP113</f>
        <v>0</v>
      </c>
      <c r="AQ113" s="1350">
        <f t="shared" si="359"/>
        <v>0</v>
      </c>
      <c r="AR113" s="1357"/>
      <c r="AS113" s="1357"/>
      <c r="AT113" s="1370"/>
      <c r="AU113" s="1350">
        <f t="shared" si="360"/>
        <v>0</v>
      </c>
      <c r="AV113" s="1357"/>
      <c r="AW113" s="1358"/>
      <c r="AX113" s="1435"/>
      <c r="AY113" s="1401"/>
      <c r="AZ113" s="1444"/>
      <c r="BA113" s="180"/>
      <c r="BB113" s="178"/>
      <c r="BC113" s="57"/>
      <c r="BD113" s="126">
        <f>J113+M113+P113+T113+W113+Z113+AD113+AH113+AL113+AP113+AT113+AW113</f>
        <v>0</v>
      </c>
      <c r="BE113" s="74">
        <v>323711</v>
      </c>
      <c r="BG113" s="484"/>
      <c r="BH113" s="484"/>
      <c r="BI113" s="527"/>
    </row>
    <row r="114" spans="1:65" s="6" customFormat="1" x14ac:dyDescent="0.25">
      <c r="A114" s="45">
        <v>323721</v>
      </c>
      <c r="B114" s="507" t="s">
        <v>76</v>
      </c>
      <c r="C114" s="75">
        <f t="shared" si="325"/>
        <v>8153.5430353706288</v>
      </c>
      <c r="D114" s="13"/>
      <c r="E114" s="122">
        <f t="shared" si="326"/>
        <v>5281.12</v>
      </c>
      <c r="F114" s="235">
        <f t="shared" si="275"/>
        <v>64.770860680935144</v>
      </c>
      <c r="G114" s="237">
        <f t="shared" si="276"/>
        <v>0</v>
      </c>
      <c r="H114" s="123">
        <f>'izvršenje PO IZVORIMA-detaljno'!C114</f>
        <v>8153.5430353706288</v>
      </c>
      <c r="I114" s="124"/>
      <c r="J114" s="176">
        <f>'izvršenje PO IZVORIMA-detaljno'!E114</f>
        <v>5281.12</v>
      </c>
      <c r="K114" s="1287">
        <f t="shared" si="327"/>
        <v>0</v>
      </c>
      <c r="L114" s="52"/>
      <c r="M114" s="51"/>
      <c r="N114" s="1419">
        <f>'izvršenje PO IZVORIMA-detaljno'!V114</f>
        <v>0</v>
      </c>
      <c r="O114" s="1314"/>
      <c r="P114" s="1326">
        <f>'izvršenje PO IZVORIMA-detaljno'!X114</f>
        <v>0</v>
      </c>
      <c r="Q114" s="1313">
        <f t="shared" si="354"/>
        <v>0</v>
      </c>
      <c r="R114" s="1314"/>
      <c r="S114" s="1314"/>
      <c r="T114" s="1326">
        <f>'izvršenje PO IZVORIMA-detaljno'!AA114</f>
        <v>0</v>
      </c>
      <c r="U114" s="1313">
        <f t="shared" si="355"/>
        <v>0</v>
      </c>
      <c r="V114" s="1314"/>
      <c r="W114" s="1315"/>
      <c r="X114" s="1307"/>
      <c r="Y114" s="1307"/>
      <c r="Z114" s="1326">
        <f>'izvršenje PO IZVORIMA-detaljno'!AM114+'izvršenje PO IZVORIMA-detaljno'!AJ114+'izvršenje PO IZVORIMA-detaljno'!AC114</f>
        <v>0</v>
      </c>
      <c r="AA114" s="1313">
        <f t="shared" si="356"/>
        <v>0</v>
      </c>
      <c r="AB114" s="1357"/>
      <c r="AC114" s="1357"/>
      <c r="AD114" s="1372">
        <f>'izvršenje PO IZVORIMA-detaljno'!H114+'izvršenje PO IZVORIMA-detaljno'!N114</f>
        <v>0</v>
      </c>
      <c r="AE114" s="1355">
        <f t="shared" si="357"/>
        <v>0</v>
      </c>
      <c r="AF114" s="1383">
        <f>'izvršenje PO IZVORIMA-detaljno'!I114+'izvršenje PO IZVORIMA-detaljno'!O114</f>
        <v>0</v>
      </c>
      <c r="AG114" s="1357"/>
      <c r="AH114" s="1372">
        <f>'izvršenje PO IZVORIMA-detaljno'!K114+'izvršenje PO IZVORIMA-detaljno'!Q114</f>
        <v>0</v>
      </c>
      <c r="AI114" s="1355">
        <f t="shared" si="361"/>
        <v>0</v>
      </c>
      <c r="AJ114" s="1357"/>
      <c r="AK114" s="1357"/>
      <c r="AL114" s="1383">
        <f>'izvršenje PO IZVORIMA-detaljno'!T114+'izvršenje PO IZVORIMA-detaljno'!U114</f>
        <v>0</v>
      </c>
      <c r="AM114" s="1355">
        <f t="shared" si="358"/>
        <v>0</v>
      </c>
      <c r="AN114" s="1370"/>
      <c r="AO114" s="1357"/>
      <c r="AP114" s="1372">
        <f>'izvršenje PO IZVORIMA-detaljno'!AP114</f>
        <v>0</v>
      </c>
      <c r="AQ114" s="1355">
        <f t="shared" si="359"/>
        <v>0</v>
      </c>
      <c r="AR114" s="1357"/>
      <c r="AS114" s="1357"/>
      <c r="AT114" s="1370"/>
      <c r="AU114" s="1355">
        <f t="shared" si="360"/>
        <v>0</v>
      </c>
      <c r="AV114" s="1357"/>
      <c r="AW114" s="1358"/>
      <c r="AX114" s="1435"/>
      <c r="AY114" s="1401"/>
      <c r="AZ114" s="1444"/>
      <c r="BA114" s="180"/>
      <c r="BB114" s="178"/>
      <c r="BC114" s="57"/>
      <c r="BD114" s="126">
        <f>J114+M114+P114+T114+W114+Z114+AD114+AH114+AL114+AP114+AT114+AW114</f>
        <v>5281.12</v>
      </c>
      <c r="BE114" s="45">
        <v>323721</v>
      </c>
      <c r="BF114" s="518"/>
      <c r="BG114" s="493"/>
      <c r="BH114" s="493"/>
      <c r="BI114" s="530"/>
      <c r="BJ114" s="487"/>
      <c r="BK114" s="487"/>
      <c r="BL114" s="487"/>
      <c r="BM114" s="487"/>
    </row>
    <row r="115" spans="1:65" s="6" customFormat="1" x14ac:dyDescent="0.25">
      <c r="A115" s="45">
        <v>323731</v>
      </c>
      <c r="B115" s="507" t="s">
        <v>77</v>
      </c>
      <c r="C115" s="75">
        <f t="shared" si="325"/>
        <v>248.85526577742382</v>
      </c>
      <c r="D115" s="13"/>
      <c r="E115" s="122">
        <f t="shared" si="326"/>
        <v>0</v>
      </c>
      <c r="F115" s="235">
        <f t="shared" si="275"/>
        <v>0</v>
      </c>
      <c r="G115" s="237">
        <f t="shared" si="276"/>
        <v>0</v>
      </c>
      <c r="H115" s="123">
        <f>'izvršenje PO IZVORIMA-detaljno'!C115</f>
        <v>0</v>
      </c>
      <c r="I115" s="124"/>
      <c r="J115" s="176">
        <f>'izvršenje PO IZVORIMA-detaljno'!E115</f>
        <v>0</v>
      </c>
      <c r="K115" s="1287">
        <f t="shared" si="327"/>
        <v>0</v>
      </c>
      <c r="L115" s="52"/>
      <c r="M115" s="51"/>
      <c r="N115" s="1419">
        <f>'izvršenje PO IZVORIMA-detaljno'!V115</f>
        <v>248.85526577742382</v>
      </c>
      <c r="O115" s="1314"/>
      <c r="P115" s="1326">
        <f>'izvršenje PO IZVORIMA-detaljno'!X115</f>
        <v>0</v>
      </c>
      <c r="Q115" s="1313">
        <f t="shared" si="354"/>
        <v>0</v>
      </c>
      <c r="R115" s="1314"/>
      <c r="S115" s="1314"/>
      <c r="T115" s="1326">
        <f>'izvršenje PO IZVORIMA-detaljno'!AA115</f>
        <v>0</v>
      </c>
      <c r="U115" s="1313">
        <f t="shared" si="355"/>
        <v>0</v>
      </c>
      <c r="V115" s="1314"/>
      <c r="W115" s="1315"/>
      <c r="X115" s="1307"/>
      <c r="Y115" s="1307"/>
      <c r="Z115" s="1326">
        <f>'izvršenje PO IZVORIMA-detaljno'!AM115+'izvršenje PO IZVORIMA-detaljno'!AJ115+'izvršenje PO IZVORIMA-detaljno'!AC115</f>
        <v>0</v>
      </c>
      <c r="AA115" s="1313">
        <f t="shared" si="356"/>
        <v>0</v>
      </c>
      <c r="AB115" s="1357"/>
      <c r="AC115" s="1357"/>
      <c r="AD115" s="1372">
        <f>'izvršenje PO IZVORIMA-detaljno'!H115+'izvršenje PO IZVORIMA-detaljno'!N115</f>
        <v>0</v>
      </c>
      <c r="AE115" s="1355">
        <f t="shared" si="357"/>
        <v>0</v>
      </c>
      <c r="AF115" s="1383">
        <f>'izvršenje PO IZVORIMA-detaljno'!I115+'izvršenje PO IZVORIMA-detaljno'!O115</f>
        <v>0</v>
      </c>
      <c r="AG115" s="1357"/>
      <c r="AH115" s="1372">
        <f>'izvršenje PO IZVORIMA-detaljno'!K115+'izvršenje PO IZVORIMA-detaljno'!Q115</f>
        <v>0</v>
      </c>
      <c r="AI115" s="1355">
        <f t="shared" si="361"/>
        <v>0</v>
      </c>
      <c r="AJ115" s="1357"/>
      <c r="AK115" s="1357"/>
      <c r="AL115" s="1383">
        <f>'izvršenje PO IZVORIMA-detaljno'!T115+'izvršenje PO IZVORIMA-detaljno'!U115</f>
        <v>0</v>
      </c>
      <c r="AM115" s="1355">
        <f t="shared" si="358"/>
        <v>0</v>
      </c>
      <c r="AN115" s="1370"/>
      <c r="AO115" s="1357"/>
      <c r="AP115" s="1372">
        <f>'izvršenje PO IZVORIMA-detaljno'!AP115</f>
        <v>0</v>
      </c>
      <c r="AQ115" s="1355">
        <f t="shared" si="359"/>
        <v>0</v>
      </c>
      <c r="AR115" s="1357"/>
      <c r="AS115" s="1357"/>
      <c r="AT115" s="1370"/>
      <c r="AU115" s="1355">
        <f t="shared" si="360"/>
        <v>0</v>
      </c>
      <c r="AV115" s="1357"/>
      <c r="AW115" s="1358"/>
      <c r="AX115" s="1435"/>
      <c r="AY115" s="1401"/>
      <c r="AZ115" s="1444"/>
      <c r="BA115" s="180"/>
      <c r="BB115" s="178"/>
      <c r="BC115" s="57"/>
      <c r="BD115" s="126">
        <f>J115+M115+P115+T115+W115+Z115+AD115+AH115+AL115+AP115+AT115+AW115</f>
        <v>0</v>
      </c>
      <c r="BE115" s="45">
        <v>323731</v>
      </c>
      <c r="BF115" s="518"/>
      <c r="BG115" s="493"/>
      <c r="BH115" s="493"/>
      <c r="BI115" s="530"/>
      <c r="BJ115" s="487"/>
      <c r="BK115" s="487"/>
      <c r="BL115" s="487"/>
      <c r="BM115" s="487"/>
    </row>
    <row r="116" spans="1:65" s="2" customFormat="1" ht="15.75" thickBot="1" x14ac:dyDescent="0.3">
      <c r="A116" s="46">
        <v>323791</v>
      </c>
      <c r="B116" s="504" t="s">
        <v>78</v>
      </c>
      <c r="C116" s="75">
        <f t="shared" si="325"/>
        <v>103186.96529298559</v>
      </c>
      <c r="D116" s="14"/>
      <c r="E116" s="122">
        <f t="shared" si="326"/>
        <v>96746.6</v>
      </c>
      <c r="F116" s="242">
        <f t="shared" si="275"/>
        <v>93.75854762789173</v>
      </c>
      <c r="G116" s="243">
        <f t="shared" si="276"/>
        <v>0</v>
      </c>
      <c r="H116" s="123">
        <f>'izvršenje PO IZVORIMA-detaljno'!C116</f>
        <v>0</v>
      </c>
      <c r="I116" s="125"/>
      <c r="J116" s="176">
        <f>'izvršenje PO IZVORIMA-detaljno'!E116</f>
        <v>0</v>
      </c>
      <c r="K116" s="1288">
        <f t="shared" si="327"/>
        <v>0</v>
      </c>
      <c r="L116" s="59"/>
      <c r="M116" s="60"/>
      <c r="N116" s="1419">
        <f>'izvršenje PO IZVORIMA-detaljno'!V116</f>
        <v>2603.35788705289</v>
      </c>
      <c r="O116" s="1328"/>
      <c r="P116" s="1326">
        <f>'izvršenje PO IZVORIMA-detaljno'!X116</f>
        <v>2906.25</v>
      </c>
      <c r="Q116" s="1316">
        <f t="shared" si="354"/>
        <v>0</v>
      </c>
      <c r="R116" s="1330">
        <f>'izvršenje PO IZVORIMA-detaljno'!Y116</f>
        <v>64.663879487689954</v>
      </c>
      <c r="S116" s="1328"/>
      <c r="T116" s="1326">
        <f>'izvršenje PO IZVORIMA-detaljno'!AA116</f>
        <v>0</v>
      </c>
      <c r="U116" s="1316">
        <f t="shared" si="355"/>
        <v>0</v>
      </c>
      <c r="V116" s="1328"/>
      <c r="W116" s="1329"/>
      <c r="X116" s="1307"/>
      <c r="Y116" s="1307"/>
      <c r="Z116" s="1326">
        <f>'izvršenje PO IZVORIMA-detaljno'!AM116+'izvršenje PO IZVORIMA-detaljno'!AJ116+'izvršenje PO IZVORIMA-detaljno'!AC116</f>
        <v>0</v>
      </c>
      <c r="AA116" s="1316">
        <f t="shared" si="356"/>
        <v>0</v>
      </c>
      <c r="AB116" s="1384">
        <f>'izvršenje PO IZVORIMA-detaljno'!F116+'izvršenje PO IZVORIMA-detaljno'!L116</f>
        <v>1179.6124493994291</v>
      </c>
      <c r="AC116" s="1380"/>
      <c r="AD116" s="1372">
        <f>'izvršenje PO IZVORIMA-detaljno'!H116+'izvršenje PO IZVORIMA-detaljno'!N116</f>
        <v>0</v>
      </c>
      <c r="AE116" s="1359">
        <f t="shared" si="357"/>
        <v>0</v>
      </c>
      <c r="AF116" s="1383">
        <f>'izvršenje PO IZVORIMA-detaljno'!I116+'izvršenje PO IZVORIMA-detaljno'!O116</f>
        <v>99339.331077045586</v>
      </c>
      <c r="AG116" s="1380"/>
      <c r="AH116" s="1372">
        <f>'izvršenje PO IZVORIMA-detaljno'!K116+'izvršenje PO IZVORIMA-detaljno'!Q116</f>
        <v>93840.35</v>
      </c>
      <c r="AI116" s="1359">
        <f t="shared" si="361"/>
        <v>0</v>
      </c>
      <c r="AJ116" s="1380"/>
      <c r="AK116" s="1380"/>
      <c r="AL116" s="1383">
        <f>'izvršenje PO IZVORIMA-detaljno'!T116+'izvršenje PO IZVORIMA-detaljno'!U116</f>
        <v>0</v>
      </c>
      <c r="AM116" s="1359">
        <f t="shared" si="358"/>
        <v>0</v>
      </c>
      <c r="AN116" s="1381"/>
      <c r="AO116" s="1380"/>
      <c r="AP116" s="1372">
        <f>'izvršenje PO IZVORIMA-detaljno'!AP116</f>
        <v>0</v>
      </c>
      <c r="AQ116" s="1359">
        <f t="shared" si="359"/>
        <v>0</v>
      </c>
      <c r="AR116" s="1380"/>
      <c r="AS116" s="1380"/>
      <c r="AT116" s="1381"/>
      <c r="AU116" s="1359">
        <f t="shared" si="360"/>
        <v>0</v>
      </c>
      <c r="AV116" s="1380"/>
      <c r="AW116" s="1382"/>
      <c r="AX116" s="1437"/>
      <c r="AY116" s="1403"/>
      <c r="AZ116" s="1450"/>
      <c r="BA116" s="208"/>
      <c r="BB116" s="210"/>
      <c r="BC116" s="61"/>
      <c r="BD116" s="126">
        <f>J116+M116+P116+T116+W116+Z116+AD116+AH116+AL116+AP116+AT116+AW116</f>
        <v>96746.6</v>
      </c>
      <c r="BE116" s="46">
        <v>323791</v>
      </c>
      <c r="BF116" s="254"/>
      <c r="BG116" s="489"/>
      <c r="BH116" s="489"/>
      <c r="BI116" s="529"/>
      <c r="BJ116" s="486"/>
      <c r="BK116" s="486"/>
      <c r="BL116" s="486"/>
      <c r="BM116" s="486"/>
    </row>
    <row r="117" spans="1:65" s="22" customFormat="1" ht="15.75" thickBot="1" x14ac:dyDescent="0.3">
      <c r="A117" s="76">
        <v>3237</v>
      </c>
      <c r="B117" s="505" t="s">
        <v>79</v>
      </c>
      <c r="C117" s="82">
        <f>SUM(C113:C116)</f>
        <v>111849.98208242086</v>
      </c>
      <c r="D117" s="82">
        <f t="shared" ref="D117" si="387">SUM(D113:D116)</f>
        <v>0</v>
      </c>
      <c r="E117" s="83">
        <f>SUM(E113:E116)</f>
        <v>102027.72</v>
      </c>
      <c r="F117" s="253">
        <f t="shared" si="275"/>
        <v>91.218360611642339</v>
      </c>
      <c r="G117" s="252">
        <f t="shared" si="276"/>
        <v>0</v>
      </c>
      <c r="H117" s="411">
        <f t="shared" ref="H117" si="388">SUM(H113:H116)</f>
        <v>8153.5430353706288</v>
      </c>
      <c r="I117" s="115">
        <f t="shared" ref="I117:AP117" si="389">SUM(I113:I116)</f>
        <v>0</v>
      </c>
      <c r="J117" s="82">
        <f>SUM(J113:J116)</f>
        <v>5281.12</v>
      </c>
      <c r="K117" s="252">
        <f t="shared" si="327"/>
        <v>0</v>
      </c>
      <c r="L117" s="82">
        <f t="shared" si="389"/>
        <v>0</v>
      </c>
      <c r="M117" s="112">
        <f t="shared" si="389"/>
        <v>0</v>
      </c>
      <c r="N117" s="417">
        <f t="shared" ref="N117" si="390">SUM(N113:N116)</f>
        <v>2852.2131528303139</v>
      </c>
      <c r="O117" s="82">
        <f t="shared" si="389"/>
        <v>0</v>
      </c>
      <c r="P117" s="82">
        <f>SUM(P113:P116)</f>
        <v>2906.25</v>
      </c>
      <c r="Q117" s="252">
        <f t="shared" si="354"/>
        <v>0</v>
      </c>
      <c r="R117" s="82">
        <f>SUM(R113:R116)</f>
        <v>64.663879487689954</v>
      </c>
      <c r="S117" s="82">
        <f t="shared" si="389"/>
        <v>0</v>
      </c>
      <c r="T117" s="82">
        <f t="shared" si="389"/>
        <v>0</v>
      </c>
      <c r="U117" s="252">
        <f t="shared" si="355"/>
        <v>0</v>
      </c>
      <c r="V117" s="82">
        <f t="shared" si="389"/>
        <v>0</v>
      </c>
      <c r="W117" s="82">
        <f t="shared" si="389"/>
        <v>0</v>
      </c>
      <c r="X117" s="82"/>
      <c r="Y117" s="82">
        <f>'izvršenje PO IZVORIMA-detaljno'!AI117+'izvršenje PO IZVORIMA-detaljno'!AL117+'izvršenje PO IZVORIMA-detaljno'!AB117</f>
        <v>0</v>
      </c>
      <c r="Z117" s="112">
        <f t="shared" si="389"/>
        <v>0</v>
      </c>
      <c r="AA117" s="252">
        <f t="shared" si="356"/>
        <v>0</v>
      </c>
      <c r="AB117" s="417">
        <f t="shared" si="389"/>
        <v>1179.6124493994291</v>
      </c>
      <c r="AC117" s="417">
        <f>'izvršenje PO IZVORIMA-detaljno'!G117+'izvršenje PO IZVORIMA-detaljno'!M117</f>
        <v>0</v>
      </c>
      <c r="AD117" s="82">
        <f t="shared" si="389"/>
        <v>0</v>
      </c>
      <c r="AE117" s="252">
        <f t="shared" si="357"/>
        <v>0</v>
      </c>
      <c r="AF117" s="108">
        <f>SUM(AF113:AF116)</f>
        <v>99339.331077045586</v>
      </c>
      <c r="AG117" s="108">
        <f>'izvršenje PO IZVORIMA-detaljno'!J117+'izvršenje PO IZVORIMA-detaljno'!P117</f>
        <v>0</v>
      </c>
      <c r="AH117" s="82">
        <f t="shared" si="389"/>
        <v>93840.35</v>
      </c>
      <c r="AI117" s="252">
        <f t="shared" si="361"/>
        <v>0</v>
      </c>
      <c r="AJ117" s="82"/>
      <c r="AK117" s="82">
        <f>'izvršenje PO IZVORIMA-detaljno'!S117</f>
        <v>0</v>
      </c>
      <c r="AL117" s="82">
        <f t="shared" si="389"/>
        <v>0</v>
      </c>
      <c r="AM117" s="252">
        <f t="shared" si="358"/>
        <v>0</v>
      </c>
      <c r="AN117" s="82">
        <f>SUM(AN113:AN116)</f>
        <v>260.61848828721213</v>
      </c>
      <c r="AO117" s="82">
        <f>'izvršenje PO IZVORIMA-detaljno'!AO117</f>
        <v>0</v>
      </c>
      <c r="AP117" s="82">
        <f t="shared" si="389"/>
        <v>0</v>
      </c>
      <c r="AQ117" s="252">
        <f t="shared" si="359"/>
        <v>0</v>
      </c>
      <c r="AR117" s="82">
        <f>'izvršenje PO IZVORIMA-detaljno'!AQ117</f>
        <v>0</v>
      </c>
      <c r="AS117" s="82">
        <f>'izvršenje PO IZVORIMA-detaljno'!AR117</f>
        <v>0</v>
      </c>
      <c r="AT117" s="82">
        <f t="shared" ref="AT117" si="391">SUM(AT113:AT116)</f>
        <v>0</v>
      </c>
      <c r="AU117" s="252">
        <f t="shared" si="360"/>
        <v>0</v>
      </c>
      <c r="AV117" s="82">
        <f t="shared" ref="AV117:AX117" si="392">SUM(AV113:AV116)</f>
        <v>0</v>
      </c>
      <c r="AW117" s="83">
        <f t="shared" si="392"/>
        <v>0</v>
      </c>
      <c r="AX117" s="407">
        <f t="shared" si="392"/>
        <v>0</v>
      </c>
      <c r="AY117" s="83">
        <f t="shared" ref="AY117:AZ117" si="393">SUM(AY113:AY116)</f>
        <v>0</v>
      </c>
      <c r="AZ117" s="112">
        <f t="shared" si="393"/>
        <v>0</v>
      </c>
      <c r="BA117" s="407">
        <f t="shared" ref="BA117:BB117" si="394">SUM(BA113:BA116)</f>
        <v>0</v>
      </c>
      <c r="BB117" s="83">
        <f t="shared" si="394"/>
        <v>0</v>
      </c>
      <c r="BC117" s="411">
        <f>AV117+AS117+AO117+AK117+AG117+AC117+Y117+V117+S117+O117+L117+I117+AY117</f>
        <v>0</v>
      </c>
      <c r="BD117" s="83">
        <f t="shared" ref="BD117" si="395">SUM(BD113:BD116)</f>
        <v>102027.72</v>
      </c>
      <c r="BE117" s="76">
        <v>3237</v>
      </c>
      <c r="BF117" s="522"/>
      <c r="BG117" s="484"/>
      <c r="BH117" s="484"/>
      <c r="BI117" s="527"/>
      <c r="BJ117" s="484"/>
      <c r="BK117" s="484"/>
      <c r="BL117" s="484"/>
      <c r="BM117" s="484"/>
    </row>
    <row r="118" spans="1:65" x14ac:dyDescent="0.25">
      <c r="A118" s="77">
        <v>323811</v>
      </c>
      <c r="B118" s="502" t="s">
        <v>80</v>
      </c>
      <c r="C118" s="75">
        <f t="shared" si="325"/>
        <v>49.771053155484765</v>
      </c>
      <c r="D118" s="71"/>
      <c r="E118" s="122">
        <f t="shared" si="326"/>
        <v>49.78</v>
      </c>
      <c r="F118" s="240">
        <f t="shared" si="275"/>
        <v>100.01797600000002</v>
      </c>
      <c r="G118" s="241">
        <f t="shared" si="276"/>
        <v>0</v>
      </c>
      <c r="H118" s="124"/>
      <c r="I118" s="124"/>
      <c r="J118" s="51"/>
      <c r="K118" s="1286">
        <f t="shared" si="327"/>
        <v>0</v>
      </c>
      <c r="L118" s="52"/>
      <c r="M118" s="51"/>
      <c r="N118" s="1419">
        <f>'izvršenje PO IZVORIMA-detaljno'!V118</f>
        <v>49.771053155484765</v>
      </c>
      <c r="O118" s="1314"/>
      <c r="P118" s="1326">
        <f>'izvršenje PO IZVORIMA-detaljno'!X118</f>
        <v>49.78</v>
      </c>
      <c r="Q118" s="1309">
        <f t="shared" si="354"/>
        <v>0</v>
      </c>
      <c r="R118" s="1314"/>
      <c r="S118" s="1314"/>
      <c r="T118" s="1326">
        <f>'izvršenje PO IZVORIMA-detaljno'!AA118</f>
        <v>0</v>
      </c>
      <c r="U118" s="1309">
        <f t="shared" si="355"/>
        <v>0</v>
      </c>
      <c r="V118" s="1314"/>
      <c r="W118" s="1315"/>
      <c r="X118" s="1307"/>
      <c r="Y118" s="1307"/>
      <c r="Z118" s="1326">
        <f>'izvršenje PO IZVORIMA-detaljno'!AM118+'izvršenje PO IZVORIMA-detaljno'!AJ118+'izvršenje PO IZVORIMA-detaljno'!AC118</f>
        <v>0</v>
      </c>
      <c r="AA118" s="1309">
        <f t="shared" si="356"/>
        <v>0</v>
      </c>
      <c r="AB118" s="1357"/>
      <c r="AC118" s="1357"/>
      <c r="AD118" s="1372">
        <f>'izvršenje PO IZVORIMA-detaljno'!H118+'izvršenje PO IZVORIMA-detaljno'!N118</f>
        <v>0</v>
      </c>
      <c r="AE118" s="1350">
        <f t="shared" si="357"/>
        <v>0</v>
      </c>
      <c r="AF118" s="1357"/>
      <c r="AG118" s="1357"/>
      <c r="AH118" s="1372">
        <f>'izvršenje PO IZVORIMA-detaljno'!K118+'izvršenje PO IZVORIMA-detaljno'!Q118</f>
        <v>0</v>
      </c>
      <c r="AI118" s="1350">
        <f t="shared" si="361"/>
        <v>0</v>
      </c>
      <c r="AJ118" s="1357"/>
      <c r="AK118" s="1357"/>
      <c r="AL118" s="1383">
        <f>'izvršenje PO IZVORIMA-detaljno'!T118+'izvršenje PO IZVORIMA-detaljno'!U118</f>
        <v>0</v>
      </c>
      <c r="AM118" s="1350">
        <f t="shared" si="358"/>
        <v>0</v>
      </c>
      <c r="AN118" s="1357"/>
      <c r="AO118" s="1357"/>
      <c r="AP118" s="1372">
        <f>'izvršenje PO IZVORIMA-detaljno'!AP118</f>
        <v>0</v>
      </c>
      <c r="AQ118" s="1350">
        <f t="shared" si="359"/>
        <v>0</v>
      </c>
      <c r="AR118" s="1357"/>
      <c r="AS118" s="1357"/>
      <c r="AT118" s="1370"/>
      <c r="AU118" s="1350">
        <f t="shared" si="360"/>
        <v>0</v>
      </c>
      <c r="AV118" s="1357"/>
      <c r="AW118" s="1358"/>
      <c r="AX118" s="1435"/>
      <c r="AY118" s="1401"/>
      <c r="AZ118" s="1444"/>
      <c r="BA118" s="180"/>
      <c r="BB118" s="178"/>
      <c r="BC118" s="57"/>
      <c r="BD118" s="126">
        <f>J118+M118+P118+T118+W118+Z118+AD118+AH118+AL118+AP118+AT118+AW118</f>
        <v>49.78</v>
      </c>
      <c r="BE118" s="77">
        <v>323811</v>
      </c>
      <c r="BG118" s="484"/>
      <c r="BH118" s="484"/>
      <c r="BI118" s="527"/>
    </row>
    <row r="119" spans="1:65" x14ac:dyDescent="0.25">
      <c r="A119" s="47">
        <v>323821</v>
      </c>
      <c r="B119" s="500" t="s">
        <v>160</v>
      </c>
      <c r="C119" s="75">
        <f t="shared" si="325"/>
        <v>0</v>
      </c>
      <c r="D119" s="4"/>
      <c r="E119" s="122">
        <f t="shared" si="326"/>
        <v>0</v>
      </c>
      <c r="F119" s="235">
        <f t="shared" si="275"/>
        <v>0</v>
      </c>
      <c r="G119" s="237">
        <f t="shared" si="276"/>
        <v>0</v>
      </c>
      <c r="H119" s="124"/>
      <c r="I119" s="124"/>
      <c r="J119" s="51"/>
      <c r="K119" s="1287">
        <f t="shared" si="327"/>
        <v>0</v>
      </c>
      <c r="L119" s="52"/>
      <c r="M119" s="51"/>
      <c r="N119" s="1419">
        <f>'izvršenje PO IZVORIMA-detaljno'!V119</f>
        <v>0</v>
      </c>
      <c r="O119" s="1314"/>
      <c r="P119" s="1326">
        <f>'izvršenje PO IZVORIMA-detaljno'!X119</f>
        <v>0</v>
      </c>
      <c r="Q119" s="1313">
        <f t="shared" si="354"/>
        <v>0</v>
      </c>
      <c r="R119" s="1314"/>
      <c r="S119" s="1314"/>
      <c r="T119" s="1326">
        <f>'izvršenje PO IZVORIMA-detaljno'!AA119</f>
        <v>0</v>
      </c>
      <c r="U119" s="1313">
        <f t="shared" si="355"/>
        <v>0</v>
      </c>
      <c r="V119" s="1314"/>
      <c r="W119" s="1315"/>
      <c r="X119" s="1307"/>
      <c r="Y119" s="1307"/>
      <c r="Z119" s="1326">
        <f>'izvršenje PO IZVORIMA-detaljno'!AM119+'izvršenje PO IZVORIMA-detaljno'!AJ119+'izvršenje PO IZVORIMA-detaljno'!AC119</f>
        <v>0</v>
      </c>
      <c r="AA119" s="1313">
        <f t="shared" si="356"/>
        <v>0</v>
      </c>
      <c r="AB119" s="1357"/>
      <c r="AC119" s="1357"/>
      <c r="AD119" s="1372">
        <f>'izvršenje PO IZVORIMA-detaljno'!H119+'izvršenje PO IZVORIMA-detaljno'!N119</f>
        <v>0</v>
      </c>
      <c r="AE119" s="1355">
        <f t="shared" si="357"/>
        <v>0</v>
      </c>
      <c r="AF119" s="1357"/>
      <c r="AG119" s="1357"/>
      <c r="AH119" s="1372">
        <f>'izvršenje PO IZVORIMA-detaljno'!K119+'izvršenje PO IZVORIMA-detaljno'!Q119</f>
        <v>0</v>
      </c>
      <c r="AI119" s="1355">
        <f t="shared" si="361"/>
        <v>0</v>
      </c>
      <c r="AJ119" s="1357"/>
      <c r="AK119" s="1357"/>
      <c r="AL119" s="1383">
        <f>'izvršenje PO IZVORIMA-detaljno'!T119+'izvršenje PO IZVORIMA-detaljno'!U119</f>
        <v>0</v>
      </c>
      <c r="AM119" s="1355">
        <f t="shared" si="358"/>
        <v>0</v>
      </c>
      <c r="AN119" s="1357"/>
      <c r="AO119" s="1357"/>
      <c r="AP119" s="1372">
        <f>'izvršenje PO IZVORIMA-detaljno'!AP119</f>
        <v>0</v>
      </c>
      <c r="AQ119" s="1355">
        <f t="shared" si="359"/>
        <v>0</v>
      </c>
      <c r="AR119" s="1357"/>
      <c r="AS119" s="1357"/>
      <c r="AT119" s="1370"/>
      <c r="AU119" s="1355">
        <f t="shared" si="360"/>
        <v>0</v>
      </c>
      <c r="AV119" s="1357"/>
      <c r="AW119" s="1358"/>
      <c r="AX119" s="1435"/>
      <c r="AY119" s="1401"/>
      <c r="AZ119" s="1444"/>
      <c r="BA119" s="180"/>
      <c r="BB119" s="178"/>
      <c r="BC119" s="57"/>
      <c r="BD119" s="126">
        <f>J119+M119+P119+T119+W119+Z119+AD119+AH119+AL119+AP119+AT119+AW119</f>
        <v>0</v>
      </c>
      <c r="BE119" s="47">
        <v>323821</v>
      </c>
      <c r="BG119" s="484"/>
      <c r="BH119" s="484"/>
      <c r="BI119" s="527"/>
    </row>
    <row r="120" spans="1:65" s="2" customFormat="1" ht="15.75" thickBot="1" x14ac:dyDescent="0.3">
      <c r="A120" s="47">
        <v>323891</v>
      </c>
      <c r="B120" s="500" t="s">
        <v>81</v>
      </c>
      <c r="C120" s="75">
        <f t="shared" si="325"/>
        <v>1283.4959187736413</v>
      </c>
      <c r="D120" s="4"/>
      <c r="E120" s="122">
        <f t="shared" si="326"/>
        <v>150.76</v>
      </c>
      <c r="F120" s="242">
        <f t="shared" si="275"/>
        <v>11.746044361718628</v>
      </c>
      <c r="G120" s="243">
        <f t="shared" si="276"/>
        <v>0</v>
      </c>
      <c r="H120" s="125"/>
      <c r="I120" s="125"/>
      <c r="J120" s="60"/>
      <c r="K120" s="1288">
        <f t="shared" si="327"/>
        <v>0</v>
      </c>
      <c r="L120" s="59"/>
      <c r="M120" s="60"/>
      <c r="N120" s="1419">
        <f>'izvršenje PO IZVORIMA-detaljno'!V120</f>
        <v>1051.2310040480456</v>
      </c>
      <c r="O120" s="1328"/>
      <c r="P120" s="1326">
        <f>'izvršenje PO IZVORIMA-detaljno'!X120</f>
        <v>150.76</v>
      </c>
      <c r="Q120" s="1316">
        <f t="shared" si="354"/>
        <v>0</v>
      </c>
      <c r="R120" s="1328"/>
      <c r="S120" s="1328"/>
      <c r="T120" s="1326">
        <f>'izvršenje PO IZVORIMA-detaljno'!AA120</f>
        <v>0</v>
      </c>
      <c r="U120" s="1316">
        <f t="shared" si="355"/>
        <v>0</v>
      </c>
      <c r="V120" s="1328"/>
      <c r="W120" s="1329"/>
      <c r="X120" s="1307">
        <f>'izvršenje PO IZVORIMA-detaljno'!AH120+'izvršenje PO IZVORIMA-detaljno'!AK120</f>
        <v>232.26491472559559</v>
      </c>
      <c r="Y120" s="1307"/>
      <c r="Z120" s="1326">
        <f>'izvršenje PO IZVORIMA-detaljno'!AM120+'izvršenje PO IZVORIMA-detaljno'!AJ120+'izvršenje PO IZVORIMA-detaljno'!AC120</f>
        <v>0</v>
      </c>
      <c r="AA120" s="1316">
        <f t="shared" si="356"/>
        <v>0</v>
      </c>
      <c r="AB120" s="1380"/>
      <c r="AC120" s="1380"/>
      <c r="AD120" s="1372">
        <f>'izvršenje PO IZVORIMA-detaljno'!H120+'izvršenje PO IZVORIMA-detaljno'!N120</f>
        <v>0</v>
      </c>
      <c r="AE120" s="1359">
        <f t="shared" si="357"/>
        <v>0</v>
      </c>
      <c r="AF120" s="1380"/>
      <c r="AG120" s="1380"/>
      <c r="AH120" s="1372">
        <f>'izvršenje PO IZVORIMA-detaljno'!K120+'izvršenje PO IZVORIMA-detaljno'!Q120</f>
        <v>0</v>
      </c>
      <c r="AI120" s="1359">
        <f t="shared" si="361"/>
        <v>0</v>
      </c>
      <c r="AJ120" s="1380"/>
      <c r="AK120" s="1380"/>
      <c r="AL120" s="1383">
        <f>'izvršenje PO IZVORIMA-detaljno'!T120+'izvršenje PO IZVORIMA-detaljno'!U120</f>
        <v>0</v>
      </c>
      <c r="AM120" s="1359">
        <f t="shared" si="358"/>
        <v>0</v>
      </c>
      <c r="AN120" s="1380"/>
      <c r="AO120" s="1380"/>
      <c r="AP120" s="1372">
        <f>'izvršenje PO IZVORIMA-detaljno'!AP120</f>
        <v>0</v>
      </c>
      <c r="AQ120" s="1359">
        <f t="shared" si="359"/>
        <v>0</v>
      </c>
      <c r="AR120" s="1380"/>
      <c r="AS120" s="1380"/>
      <c r="AT120" s="1381"/>
      <c r="AU120" s="1359">
        <f t="shared" si="360"/>
        <v>0</v>
      </c>
      <c r="AV120" s="1380"/>
      <c r="AW120" s="1382"/>
      <c r="AX120" s="1437"/>
      <c r="AY120" s="1403"/>
      <c r="AZ120" s="1450"/>
      <c r="BA120" s="208"/>
      <c r="BB120" s="210"/>
      <c r="BC120" s="61"/>
      <c r="BD120" s="126">
        <f>J120+M120+P120+T120+W120+Z120+AD120+AH120+AL120+AP120+AT120+AW120</f>
        <v>150.76</v>
      </c>
      <c r="BE120" s="47">
        <v>323891</v>
      </c>
      <c r="BF120" s="254"/>
      <c r="BG120" s="489"/>
      <c r="BH120" s="489"/>
      <c r="BI120" s="529"/>
      <c r="BJ120" s="486"/>
      <c r="BK120" s="486"/>
      <c r="BL120" s="486"/>
      <c r="BM120" s="486"/>
    </row>
    <row r="121" spans="1:65" s="22" customFormat="1" ht="15.75" thickBot="1" x14ac:dyDescent="0.3">
      <c r="A121" s="76">
        <v>3238</v>
      </c>
      <c r="B121" s="508" t="s">
        <v>82</v>
      </c>
      <c r="C121" s="88">
        <f>SUM(C118:C120)</f>
        <v>1333.2669719291262</v>
      </c>
      <c r="D121" s="88">
        <f t="shared" ref="D121" si="396">SUM(D118:D120)</f>
        <v>0</v>
      </c>
      <c r="E121" s="89">
        <f>SUM(E118:E120)</f>
        <v>200.54</v>
      </c>
      <c r="F121" s="253">
        <f t="shared" si="275"/>
        <v>15.041248618784527</v>
      </c>
      <c r="G121" s="252">
        <f t="shared" si="276"/>
        <v>0</v>
      </c>
      <c r="H121" s="1431">
        <f t="shared" ref="H121" si="397">SUM(H118:H120)</f>
        <v>0</v>
      </c>
      <c r="I121" s="116">
        <f t="shared" ref="I121:AP121" si="398">SUM(I118:I120)</f>
        <v>0</v>
      </c>
      <c r="J121" s="88">
        <f t="shared" si="398"/>
        <v>0</v>
      </c>
      <c r="K121" s="252">
        <f t="shared" ref="K121:K152" si="399">IF(I121&lt;&gt;0,J121/I121*100,0)</f>
        <v>0</v>
      </c>
      <c r="L121" s="88">
        <f t="shared" si="398"/>
        <v>0</v>
      </c>
      <c r="M121" s="113">
        <f t="shared" si="398"/>
        <v>0</v>
      </c>
      <c r="N121" s="1610">
        <f t="shared" ref="N121" si="400">SUM(N118:N120)</f>
        <v>1101.0020572035305</v>
      </c>
      <c r="O121" s="88">
        <f t="shared" si="398"/>
        <v>0</v>
      </c>
      <c r="P121" s="88">
        <f>SUM(P118:P120)</f>
        <v>200.54</v>
      </c>
      <c r="Q121" s="252">
        <f t="shared" si="354"/>
        <v>0</v>
      </c>
      <c r="R121" s="88">
        <f t="shared" ref="R121" si="401">SUM(R118:R120)</f>
        <v>0</v>
      </c>
      <c r="S121" s="88">
        <f t="shared" si="398"/>
        <v>0</v>
      </c>
      <c r="T121" s="88">
        <f t="shared" si="398"/>
        <v>0</v>
      </c>
      <c r="U121" s="252">
        <f t="shared" si="355"/>
        <v>0</v>
      </c>
      <c r="V121" s="88">
        <f t="shared" si="398"/>
        <v>0</v>
      </c>
      <c r="W121" s="88">
        <f t="shared" si="398"/>
        <v>0</v>
      </c>
      <c r="X121" s="82">
        <f>SUM(X120)</f>
        <v>232.26491472559559</v>
      </c>
      <c r="Y121" s="82">
        <f>'izvršenje PO IZVORIMA-detaljno'!AI121+'izvršenje PO IZVORIMA-detaljno'!AL121+'izvršenje PO IZVORIMA-detaljno'!AB121</f>
        <v>0</v>
      </c>
      <c r="Z121" s="113">
        <f t="shared" si="398"/>
        <v>0</v>
      </c>
      <c r="AA121" s="252">
        <f t="shared" si="356"/>
        <v>0</v>
      </c>
      <c r="AB121" s="417"/>
      <c r="AC121" s="417">
        <f>'izvršenje PO IZVORIMA-detaljno'!G121+'izvršenje PO IZVORIMA-detaljno'!M121</f>
        <v>0</v>
      </c>
      <c r="AD121" s="88">
        <f t="shared" si="398"/>
        <v>0</v>
      </c>
      <c r="AE121" s="252">
        <f t="shared" si="357"/>
        <v>0</v>
      </c>
      <c r="AF121" s="108"/>
      <c r="AG121" s="108">
        <f>'izvršenje PO IZVORIMA-detaljno'!J121+'izvršenje PO IZVORIMA-detaljno'!P121</f>
        <v>0</v>
      </c>
      <c r="AH121" s="88">
        <f t="shared" si="398"/>
        <v>0</v>
      </c>
      <c r="AI121" s="252">
        <f t="shared" si="361"/>
        <v>0</v>
      </c>
      <c r="AJ121" s="82"/>
      <c r="AK121" s="82">
        <f>'izvršenje PO IZVORIMA-detaljno'!S121</f>
        <v>0</v>
      </c>
      <c r="AL121" s="88">
        <f t="shared" si="398"/>
        <v>0</v>
      </c>
      <c r="AM121" s="252">
        <f t="shared" si="358"/>
        <v>0</v>
      </c>
      <c r="AN121" s="82"/>
      <c r="AO121" s="82">
        <f>'izvršenje PO IZVORIMA-detaljno'!AO121</f>
        <v>0</v>
      </c>
      <c r="AP121" s="88">
        <f t="shared" si="398"/>
        <v>0</v>
      </c>
      <c r="AQ121" s="252">
        <f t="shared" si="359"/>
        <v>0</v>
      </c>
      <c r="AR121" s="82">
        <f>'izvršenje PO IZVORIMA-detaljno'!AQ121</f>
        <v>0</v>
      </c>
      <c r="AS121" s="82">
        <f>'izvršenje PO IZVORIMA-detaljno'!AR121</f>
        <v>0</v>
      </c>
      <c r="AT121" s="88">
        <f t="shared" ref="AT121" si="402">SUM(AT118:AT120)</f>
        <v>0</v>
      </c>
      <c r="AU121" s="252">
        <f t="shared" si="360"/>
        <v>0</v>
      </c>
      <c r="AV121" s="88">
        <f t="shared" ref="AV121:AX121" si="403">SUM(AV118:AV120)</f>
        <v>0</v>
      </c>
      <c r="AW121" s="89">
        <f t="shared" si="403"/>
        <v>0</v>
      </c>
      <c r="AX121" s="1459">
        <f t="shared" si="403"/>
        <v>0</v>
      </c>
      <c r="AY121" s="89">
        <f t="shared" ref="AY121:AZ121" si="404">SUM(AY118:AY120)</f>
        <v>0</v>
      </c>
      <c r="AZ121" s="113">
        <f t="shared" si="404"/>
        <v>0</v>
      </c>
      <c r="BA121" s="1459">
        <f t="shared" ref="BA121:BB121" si="405">SUM(BA118:BA120)</f>
        <v>0</v>
      </c>
      <c r="BB121" s="89">
        <f t="shared" si="405"/>
        <v>0</v>
      </c>
      <c r="BC121" s="411">
        <f>AV121+AS121+AO121+AK121+AG121+AC121+Y121+V121+S121+O121+L121+I121+AY121</f>
        <v>0</v>
      </c>
      <c r="BD121" s="89">
        <f t="shared" ref="BD121" si="406">SUM(BD118:BD120)</f>
        <v>200.54</v>
      </c>
      <c r="BE121" s="76">
        <v>3238</v>
      </c>
      <c r="BF121" s="525"/>
      <c r="BG121" s="484"/>
      <c r="BH121" s="484"/>
      <c r="BI121" s="527"/>
      <c r="BJ121" s="484"/>
      <c r="BK121" s="484"/>
      <c r="BL121" s="484"/>
      <c r="BM121" s="484"/>
    </row>
    <row r="122" spans="1:65" x14ac:dyDescent="0.25">
      <c r="A122" s="74">
        <v>323911</v>
      </c>
      <c r="B122" s="506" t="s">
        <v>83</v>
      </c>
      <c r="C122" s="75">
        <f t="shared" si="325"/>
        <v>24710.332470635076</v>
      </c>
      <c r="D122" s="75"/>
      <c r="E122" s="122">
        <f t="shared" si="326"/>
        <v>63113.99</v>
      </c>
      <c r="F122" s="240">
        <f t="shared" si="275"/>
        <v>255.41538170319046</v>
      </c>
      <c r="G122" s="241">
        <f t="shared" si="276"/>
        <v>0</v>
      </c>
      <c r="H122" s="123">
        <f>'izvršenje PO IZVORIMA-detaljno'!C122</f>
        <v>0</v>
      </c>
      <c r="I122" s="124"/>
      <c r="J122" s="176">
        <f>'izvršenje PO IZVORIMA-detaljno'!E122</f>
        <v>490.07</v>
      </c>
      <c r="K122" s="1286">
        <f t="shared" si="399"/>
        <v>0</v>
      </c>
      <c r="L122" s="52"/>
      <c r="M122" s="51"/>
      <c r="N122" s="1419">
        <f>'izvršenje PO IZVORIMA-detaljno'!V122</f>
        <v>0</v>
      </c>
      <c r="O122" s="1314"/>
      <c r="P122" s="1326">
        <f>'izvršenje PO IZVORIMA-detaljno'!X122</f>
        <v>142.88</v>
      </c>
      <c r="Q122" s="1309">
        <f t="shared" si="354"/>
        <v>0</v>
      </c>
      <c r="R122" s="1314"/>
      <c r="S122" s="1314"/>
      <c r="T122" s="1326">
        <f>'izvršenje PO IZVORIMA-detaljno'!AA122</f>
        <v>51.66</v>
      </c>
      <c r="U122" s="1309">
        <f t="shared" si="355"/>
        <v>0</v>
      </c>
      <c r="V122" s="1314"/>
      <c r="W122" s="1315"/>
      <c r="X122" s="1307"/>
      <c r="Y122" s="1307"/>
      <c r="Z122" s="1326">
        <f>'izvršenje PO IZVORIMA-detaljno'!AM122+'izvršenje PO IZVORIMA-detaljno'!AJ122+'izvršenje PO IZVORIMA-detaljno'!AC122</f>
        <v>0</v>
      </c>
      <c r="AA122" s="1309">
        <f t="shared" si="356"/>
        <v>0</v>
      </c>
      <c r="AB122" s="1357"/>
      <c r="AC122" s="1357"/>
      <c r="AD122" s="1372">
        <f>'izvršenje PO IZVORIMA-detaljno'!H122+'izvršenje PO IZVORIMA-detaljno'!N122</f>
        <v>942.33999999999992</v>
      </c>
      <c r="AE122" s="1350">
        <f t="shared" si="357"/>
        <v>0</v>
      </c>
      <c r="AF122" s="1372">
        <f>'izvršenje PO IZVORIMA-detaljno'!I122+'izvršenje PO IZVORIMA-detaljno'!O122</f>
        <v>22894.684451522993</v>
      </c>
      <c r="AG122" s="1357"/>
      <c r="AH122" s="1372">
        <f>'izvršenje PO IZVORIMA-detaljno'!K122+'izvršenje PO IZVORIMA-detaljno'!Q122</f>
        <v>60720.69</v>
      </c>
      <c r="AI122" s="1350">
        <f t="shared" si="361"/>
        <v>0</v>
      </c>
      <c r="AJ122" s="1357"/>
      <c r="AK122" s="1357"/>
      <c r="AL122" s="1383">
        <f>'izvršenje PO IZVORIMA-detaljno'!T122+'izvršenje PO IZVORIMA-detaljno'!U122</f>
        <v>0</v>
      </c>
      <c r="AM122" s="1350">
        <f t="shared" si="358"/>
        <v>0</v>
      </c>
      <c r="AN122" s="1372">
        <f>'izvršenje PO IZVORIMA-detaljno'!AN122</f>
        <v>1815.6480191120843</v>
      </c>
      <c r="AO122" s="1357"/>
      <c r="AP122" s="1372">
        <f>'izvršenje PO IZVORIMA-detaljno'!AP122</f>
        <v>766.34999999999991</v>
      </c>
      <c r="AQ122" s="1350">
        <f t="shared" si="359"/>
        <v>0</v>
      </c>
      <c r="AR122" s="1357"/>
      <c r="AS122" s="1357"/>
      <c r="AT122" s="1370"/>
      <c r="AU122" s="1350">
        <f t="shared" si="360"/>
        <v>0</v>
      </c>
      <c r="AV122" s="1357"/>
      <c r="AW122" s="1358"/>
      <c r="AX122" s="1435"/>
      <c r="AY122" s="1401"/>
      <c r="AZ122" s="1444"/>
      <c r="BA122" s="180"/>
      <c r="BB122" s="178"/>
      <c r="BC122" s="57"/>
      <c r="BD122" s="126">
        <f t="shared" ref="BD122:BD128" si="407">J122+M122+P122+T122+W122+Z122+AD122+AH122+AL122+AP122+AT122+AW122</f>
        <v>63113.99</v>
      </c>
      <c r="BE122" s="74">
        <v>323911</v>
      </c>
      <c r="BG122" s="484"/>
      <c r="BH122" s="484"/>
      <c r="BI122" s="527"/>
    </row>
    <row r="123" spans="1:65" x14ac:dyDescent="0.25">
      <c r="A123" s="45">
        <v>323921</v>
      </c>
      <c r="B123" s="507" t="s">
        <v>84</v>
      </c>
      <c r="C123" s="75">
        <f t="shared" si="325"/>
        <v>0</v>
      </c>
      <c r="D123" s="13"/>
      <c r="E123" s="122">
        <f t="shared" si="326"/>
        <v>0</v>
      </c>
      <c r="F123" s="235">
        <f t="shared" si="275"/>
        <v>0</v>
      </c>
      <c r="G123" s="237">
        <f t="shared" si="276"/>
        <v>0</v>
      </c>
      <c r="H123" s="124"/>
      <c r="I123" s="124"/>
      <c r="J123" s="51"/>
      <c r="K123" s="1287">
        <f t="shared" si="399"/>
        <v>0</v>
      </c>
      <c r="L123" s="52"/>
      <c r="M123" s="51"/>
      <c r="N123" s="1419">
        <f>'izvršenje PO IZVORIMA-detaljno'!V123</f>
        <v>0</v>
      </c>
      <c r="O123" s="1314"/>
      <c r="P123" s="1326">
        <f>'izvršenje PO IZVORIMA-detaljno'!X123</f>
        <v>0</v>
      </c>
      <c r="Q123" s="1313">
        <f t="shared" si="354"/>
        <v>0</v>
      </c>
      <c r="R123" s="1314"/>
      <c r="S123" s="1314"/>
      <c r="T123" s="1326">
        <f>'izvršenje PO IZVORIMA-detaljno'!AA123</f>
        <v>0</v>
      </c>
      <c r="U123" s="1313">
        <f t="shared" si="355"/>
        <v>0</v>
      </c>
      <c r="V123" s="1314"/>
      <c r="W123" s="1315"/>
      <c r="X123" s="1307"/>
      <c r="Y123" s="1307"/>
      <c r="Z123" s="1326">
        <f>'izvršenje PO IZVORIMA-detaljno'!AM123+'izvršenje PO IZVORIMA-detaljno'!AJ123+'izvršenje PO IZVORIMA-detaljno'!AC123</f>
        <v>0</v>
      </c>
      <c r="AA123" s="1313">
        <f t="shared" si="356"/>
        <v>0</v>
      </c>
      <c r="AB123" s="1357"/>
      <c r="AC123" s="1357"/>
      <c r="AD123" s="1372">
        <f>'izvršenje PO IZVORIMA-detaljno'!H123+'izvršenje PO IZVORIMA-detaljno'!N123</f>
        <v>0</v>
      </c>
      <c r="AE123" s="1355">
        <f t="shared" si="357"/>
        <v>0</v>
      </c>
      <c r="AF123" s="1372">
        <f>'izvršenje PO IZVORIMA-detaljno'!I123+'izvršenje PO IZVORIMA-detaljno'!O123</f>
        <v>0</v>
      </c>
      <c r="AG123" s="1357"/>
      <c r="AH123" s="1372">
        <f>'izvršenje PO IZVORIMA-detaljno'!K123+'izvršenje PO IZVORIMA-detaljno'!Q123</f>
        <v>0</v>
      </c>
      <c r="AI123" s="1355">
        <f t="shared" si="361"/>
        <v>0</v>
      </c>
      <c r="AJ123" s="1357"/>
      <c r="AK123" s="1357"/>
      <c r="AL123" s="1383">
        <f>'izvršenje PO IZVORIMA-detaljno'!T123+'izvršenje PO IZVORIMA-detaljno'!U123</f>
        <v>0</v>
      </c>
      <c r="AM123" s="1355">
        <f t="shared" si="358"/>
        <v>0</v>
      </c>
      <c r="AN123" s="1372">
        <f>'izvršenje PO IZVORIMA-detaljno'!AN123</f>
        <v>0</v>
      </c>
      <c r="AO123" s="1357"/>
      <c r="AP123" s="1372">
        <f>'izvršenje PO IZVORIMA-detaljno'!AP123</f>
        <v>0</v>
      </c>
      <c r="AQ123" s="1355">
        <f t="shared" si="359"/>
        <v>0</v>
      </c>
      <c r="AR123" s="1357"/>
      <c r="AS123" s="1357"/>
      <c r="AT123" s="1370"/>
      <c r="AU123" s="1355">
        <f t="shared" si="360"/>
        <v>0</v>
      </c>
      <c r="AV123" s="1357"/>
      <c r="AW123" s="1358"/>
      <c r="AX123" s="1435"/>
      <c r="AY123" s="1401"/>
      <c r="AZ123" s="1444"/>
      <c r="BA123" s="180"/>
      <c r="BB123" s="178"/>
      <c r="BC123" s="57"/>
      <c r="BD123" s="126">
        <f t="shared" si="407"/>
        <v>0</v>
      </c>
      <c r="BE123" s="45">
        <v>323921</v>
      </c>
      <c r="BG123" s="484"/>
      <c r="BH123" s="484"/>
      <c r="BI123" s="527"/>
    </row>
    <row r="124" spans="1:65" s="6" customFormat="1" x14ac:dyDescent="0.25">
      <c r="A124" s="45">
        <v>323931</v>
      </c>
      <c r="B124" s="507" t="s">
        <v>85</v>
      </c>
      <c r="C124" s="75">
        <f t="shared" si="325"/>
        <v>0</v>
      </c>
      <c r="D124" s="13"/>
      <c r="E124" s="122">
        <f t="shared" si="326"/>
        <v>0</v>
      </c>
      <c r="F124" s="235">
        <f t="shared" si="275"/>
        <v>0</v>
      </c>
      <c r="G124" s="237">
        <f t="shared" si="276"/>
        <v>0</v>
      </c>
      <c r="H124" s="124"/>
      <c r="I124" s="124"/>
      <c r="J124" s="51"/>
      <c r="K124" s="1287">
        <f t="shared" si="399"/>
        <v>0</v>
      </c>
      <c r="L124" s="52"/>
      <c r="M124" s="51"/>
      <c r="N124" s="1419">
        <f>'izvršenje PO IZVORIMA-detaljno'!V124</f>
        <v>0</v>
      </c>
      <c r="O124" s="1314"/>
      <c r="P124" s="1326">
        <f>'izvršenje PO IZVORIMA-detaljno'!X124</f>
        <v>0</v>
      </c>
      <c r="Q124" s="1313">
        <f t="shared" si="354"/>
        <v>0</v>
      </c>
      <c r="R124" s="1314"/>
      <c r="S124" s="1314"/>
      <c r="T124" s="1326">
        <f>'izvršenje PO IZVORIMA-detaljno'!AA124</f>
        <v>0</v>
      </c>
      <c r="U124" s="1313">
        <f t="shared" si="355"/>
        <v>0</v>
      </c>
      <c r="V124" s="1314"/>
      <c r="W124" s="1315"/>
      <c r="X124" s="1307"/>
      <c r="Y124" s="1307"/>
      <c r="Z124" s="1326">
        <f>'izvršenje PO IZVORIMA-detaljno'!AM124+'izvršenje PO IZVORIMA-detaljno'!AJ124+'izvršenje PO IZVORIMA-detaljno'!AC124</f>
        <v>0</v>
      </c>
      <c r="AA124" s="1313">
        <f t="shared" si="356"/>
        <v>0</v>
      </c>
      <c r="AB124" s="1357"/>
      <c r="AC124" s="1357"/>
      <c r="AD124" s="1372">
        <f>'izvršenje PO IZVORIMA-detaljno'!H124+'izvršenje PO IZVORIMA-detaljno'!N124</f>
        <v>0</v>
      </c>
      <c r="AE124" s="1355">
        <f t="shared" si="357"/>
        <v>0</v>
      </c>
      <c r="AF124" s="1372">
        <f>'izvršenje PO IZVORIMA-detaljno'!I124+'izvršenje PO IZVORIMA-detaljno'!O124</f>
        <v>0</v>
      </c>
      <c r="AG124" s="1357"/>
      <c r="AH124" s="1372">
        <f>'izvršenje PO IZVORIMA-detaljno'!K124+'izvršenje PO IZVORIMA-detaljno'!Q124</f>
        <v>0</v>
      </c>
      <c r="AI124" s="1355">
        <f t="shared" si="361"/>
        <v>0</v>
      </c>
      <c r="AJ124" s="1357"/>
      <c r="AK124" s="1357"/>
      <c r="AL124" s="1383">
        <f>'izvršenje PO IZVORIMA-detaljno'!T124+'izvršenje PO IZVORIMA-detaljno'!U124</f>
        <v>0</v>
      </c>
      <c r="AM124" s="1355">
        <f t="shared" si="358"/>
        <v>0</v>
      </c>
      <c r="AN124" s="1372">
        <f>'izvršenje PO IZVORIMA-detaljno'!AN124</f>
        <v>0</v>
      </c>
      <c r="AO124" s="1357"/>
      <c r="AP124" s="1372">
        <f>'izvršenje PO IZVORIMA-detaljno'!AP124</f>
        <v>0</v>
      </c>
      <c r="AQ124" s="1355">
        <f t="shared" si="359"/>
        <v>0</v>
      </c>
      <c r="AR124" s="1357"/>
      <c r="AS124" s="1357"/>
      <c r="AT124" s="1370"/>
      <c r="AU124" s="1355">
        <f t="shared" si="360"/>
        <v>0</v>
      </c>
      <c r="AV124" s="1357"/>
      <c r="AW124" s="1358"/>
      <c r="AX124" s="1435"/>
      <c r="AY124" s="1401"/>
      <c r="AZ124" s="1444"/>
      <c r="BA124" s="180"/>
      <c r="BB124" s="178"/>
      <c r="BC124" s="57"/>
      <c r="BD124" s="126">
        <f t="shared" si="407"/>
        <v>0</v>
      </c>
      <c r="BE124" s="45">
        <v>323931</v>
      </c>
      <c r="BF124" s="518"/>
      <c r="BG124" s="493"/>
      <c r="BH124" s="493"/>
      <c r="BI124" s="530"/>
      <c r="BJ124" s="487"/>
      <c r="BK124" s="487"/>
      <c r="BL124" s="487"/>
      <c r="BM124" s="487"/>
    </row>
    <row r="125" spans="1:65" x14ac:dyDescent="0.25">
      <c r="A125" s="45">
        <v>323951</v>
      </c>
      <c r="B125" s="507" t="s">
        <v>86</v>
      </c>
      <c r="C125" s="75">
        <f t="shared" si="325"/>
        <v>57.999867277191584</v>
      </c>
      <c r="D125" s="13"/>
      <c r="E125" s="122">
        <f t="shared" si="326"/>
        <v>463.82</v>
      </c>
      <c r="F125" s="235">
        <f t="shared" si="275"/>
        <v>799.69148512585809</v>
      </c>
      <c r="G125" s="237">
        <f t="shared" si="276"/>
        <v>0</v>
      </c>
      <c r="H125" s="124"/>
      <c r="I125" s="124"/>
      <c r="J125" s="51"/>
      <c r="K125" s="1287">
        <f t="shared" si="399"/>
        <v>0</v>
      </c>
      <c r="L125" s="52"/>
      <c r="M125" s="51"/>
      <c r="N125" s="1419">
        <f>'izvršenje PO IZVORIMA-detaljno'!V125</f>
        <v>57.999867277191584</v>
      </c>
      <c r="O125" s="1314"/>
      <c r="P125" s="1326">
        <f>'izvršenje PO IZVORIMA-detaljno'!X125</f>
        <v>463.82</v>
      </c>
      <c r="Q125" s="1313">
        <f t="shared" si="354"/>
        <v>0</v>
      </c>
      <c r="R125" s="1314"/>
      <c r="S125" s="1314"/>
      <c r="T125" s="1326">
        <f>'izvršenje PO IZVORIMA-detaljno'!AA125</f>
        <v>0</v>
      </c>
      <c r="U125" s="1313">
        <f t="shared" si="355"/>
        <v>0</v>
      </c>
      <c r="V125" s="1314"/>
      <c r="W125" s="1315"/>
      <c r="X125" s="1307"/>
      <c r="Y125" s="1307"/>
      <c r="Z125" s="1326">
        <f>'izvršenje PO IZVORIMA-detaljno'!AM125+'izvršenje PO IZVORIMA-detaljno'!AJ125+'izvršenje PO IZVORIMA-detaljno'!AC125</f>
        <v>0</v>
      </c>
      <c r="AA125" s="1313">
        <f t="shared" si="356"/>
        <v>0</v>
      </c>
      <c r="AB125" s="1357"/>
      <c r="AC125" s="1357"/>
      <c r="AD125" s="1372">
        <f>'izvršenje PO IZVORIMA-detaljno'!H125+'izvršenje PO IZVORIMA-detaljno'!N125</f>
        <v>0</v>
      </c>
      <c r="AE125" s="1355">
        <f t="shared" si="357"/>
        <v>0</v>
      </c>
      <c r="AF125" s="1372">
        <f>'izvršenje PO IZVORIMA-detaljno'!I125+'izvršenje PO IZVORIMA-detaljno'!O125</f>
        <v>0</v>
      </c>
      <c r="AG125" s="1357"/>
      <c r="AH125" s="1372">
        <f>'izvršenje PO IZVORIMA-detaljno'!K125+'izvršenje PO IZVORIMA-detaljno'!Q125</f>
        <v>0</v>
      </c>
      <c r="AI125" s="1355">
        <f t="shared" si="361"/>
        <v>0</v>
      </c>
      <c r="AJ125" s="1357"/>
      <c r="AK125" s="1357"/>
      <c r="AL125" s="1383">
        <f>'izvršenje PO IZVORIMA-detaljno'!T125+'izvršenje PO IZVORIMA-detaljno'!U125</f>
        <v>0</v>
      </c>
      <c r="AM125" s="1355">
        <f t="shared" si="358"/>
        <v>0</v>
      </c>
      <c r="AN125" s="1372">
        <f>'izvršenje PO IZVORIMA-detaljno'!AN125</f>
        <v>0</v>
      </c>
      <c r="AO125" s="1357"/>
      <c r="AP125" s="1372">
        <f>'izvršenje PO IZVORIMA-detaljno'!AP125</f>
        <v>0</v>
      </c>
      <c r="AQ125" s="1355">
        <f t="shared" si="359"/>
        <v>0</v>
      </c>
      <c r="AR125" s="1357"/>
      <c r="AS125" s="1357"/>
      <c r="AT125" s="1370"/>
      <c r="AU125" s="1355">
        <f t="shared" si="360"/>
        <v>0</v>
      </c>
      <c r="AV125" s="1357"/>
      <c r="AW125" s="1358"/>
      <c r="AX125" s="1435"/>
      <c r="AY125" s="1401"/>
      <c r="AZ125" s="1444"/>
      <c r="BA125" s="180"/>
      <c r="BB125" s="178"/>
      <c r="BC125" s="57"/>
      <c r="BD125" s="126">
        <f t="shared" si="407"/>
        <v>463.82</v>
      </c>
      <c r="BE125" s="45">
        <v>323951</v>
      </c>
      <c r="BG125" s="484"/>
      <c r="BH125" s="484"/>
      <c r="BI125" s="527"/>
    </row>
    <row r="126" spans="1:65" x14ac:dyDescent="0.25">
      <c r="A126" s="45">
        <v>323961</v>
      </c>
      <c r="B126" s="507" t="s">
        <v>87</v>
      </c>
      <c r="C126" s="75">
        <f t="shared" si="325"/>
        <v>232.26491472559559</v>
      </c>
      <c r="D126" s="13"/>
      <c r="E126" s="122">
        <f t="shared" si="326"/>
        <v>199.08</v>
      </c>
      <c r="F126" s="235">
        <f t="shared" si="275"/>
        <v>85.712472000000005</v>
      </c>
      <c r="G126" s="237">
        <f t="shared" si="276"/>
        <v>0</v>
      </c>
      <c r="H126" s="124"/>
      <c r="I126" s="124"/>
      <c r="J126" s="51"/>
      <c r="K126" s="1287">
        <f t="shared" si="399"/>
        <v>0</v>
      </c>
      <c r="L126" s="52"/>
      <c r="M126" s="51"/>
      <c r="N126" s="1419">
        <f>'izvršenje PO IZVORIMA-detaljno'!V126</f>
        <v>232.26491472559559</v>
      </c>
      <c r="O126" s="1314"/>
      <c r="P126" s="1326">
        <f>'izvršenje PO IZVORIMA-detaljno'!X126</f>
        <v>199.08</v>
      </c>
      <c r="Q126" s="1313">
        <f t="shared" si="354"/>
        <v>0</v>
      </c>
      <c r="R126" s="1314"/>
      <c r="S126" s="1314"/>
      <c r="T126" s="1326">
        <f>'izvršenje PO IZVORIMA-detaljno'!AA126</f>
        <v>0</v>
      </c>
      <c r="U126" s="1313">
        <f t="shared" si="355"/>
        <v>0</v>
      </c>
      <c r="V126" s="1314"/>
      <c r="W126" s="1315"/>
      <c r="X126" s="1307"/>
      <c r="Y126" s="1307"/>
      <c r="Z126" s="1326">
        <f>'izvršenje PO IZVORIMA-detaljno'!AM126+'izvršenje PO IZVORIMA-detaljno'!AJ126+'izvršenje PO IZVORIMA-detaljno'!AC126</f>
        <v>0</v>
      </c>
      <c r="AA126" s="1313">
        <f t="shared" si="356"/>
        <v>0</v>
      </c>
      <c r="AB126" s="1357"/>
      <c r="AC126" s="1357"/>
      <c r="AD126" s="1372">
        <f>'izvršenje PO IZVORIMA-detaljno'!H126+'izvršenje PO IZVORIMA-detaljno'!N126</f>
        <v>0</v>
      </c>
      <c r="AE126" s="1355">
        <f t="shared" si="357"/>
        <v>0</v>
      </c>
      <c r="AF126" s="1372">
        <f>'izvršenje PO IZVORIMA-detaljno'!I126+'izvršenje PO IZVORIMA-detaljno'!O126</f>
        <v>0</v>
      </c>
      <c r="AG126" s="1357"/>
      <c r="AH126" s="1372">
        <f>'izvršenje PO IZVORIMA-detaljno'!K126+'izvršenje PO IZVORIMA-detaljno'!Q126</f>
        <v>0</v>
      </c>
      <c r="AI126" s="1355">
        <f t="shared" si="361"/>
        <v>0</v>
      </c>
      <c r="AJ126" s="1357"/>
      <c r="AK126" s="1357"/>
      <c r="AL126" s="1383">
        <f>'izvršenje PO IZVORIMA-detaljno'!T126+'izvršenje PO IZVORIMA-detaljno'!U126</f>
        <v>0</v>
      </c>
      <c r="AM126" s="1355">
        <f t="shared" si="358"/>
        <v>0</v>
      </c>
      <c r="AN126" s="1372">
        <f>'izvršenje PO IZVORIMA-detaljno'!AN126</f>
        <v>0</v>
      </c>
      <c r="AO126" s="1357"/>
      <c r="AP126" s="1372">
        <f>'izvršenje PO IZVORIMA-detaljno'!AP126</f>
        <v>0</v>
      </c>
      <c r="AQ126" s="1355">
        <f t="shared" si="359"/>
        <v>0</v>
      </c>
      <c r="AR126" s="1357"/>
      <c r="AS126" s="1357"/>
      <c r="AT126" s="1370"/>
      <c r="AU126" s="1355">
        <f t="shared" si="360"/>
        <v>0</v>
      </c>
      <c r="AV126" s="1357"/>
      <c r="AW126" s="1358"/>
      <c r="AX126" s="1435"/>
      <c r="AY126" s="1401"/>
      <c r="AZ126" s="1444"/>
      <c r="BA126" s="180"/>
      <c r="BB126" s="178"/>
      <c r="BC126" s="57"/>
      <c r="BD126" s="126">
        <f t="shared" si="407"/>
        <v>199.08</v>
      </c>
      <c r="BE126" s="45">
        <v>323961</v>
      </c>
      <c r="BG126" s="484"/>
      <c r="BH126" s="484"/>
      <c r="BI126" s="527"/>
    </row>
    <row r="127" spans="1:65" x14ac:dyDescent="0.25">
      <c r="A127" s="45">
        <v>323981</v>
      </c>
      <c r="B127" s="507" t="s">
        <v>243</v>
      </c>
      <c r="C127" s="75">
        <f t="shared" si="325"/>
        <v>668.56593005508</v>
      </c>
      <c r="D127" s="13"/>
      <c r="E127" s="122">
        <f t="shared" ref="E127" si="408">BD127</f>
        <v>0</v>
      </c>
      <c r="F127" s="235">
        <f t="shared" si="275"/>
        <v>0</v>
      </c>
      <c r="G127" s="237">
        <f t="shared" si="276"/>
        <v>0</v>
      </c>
      <c r="H127" s="124"/>
      <c r="I127" s="124"/>
      <c r="J127" s="51"/>
      <c r="K127" s="1287">
        <f t="shared" si="399"/>
        <v>0</v>
      </c>
      <c r="L127" s="52"/>
      <c r="M127" s="51"/>
      <c r="N127" s="1419">
        <f>'izvršenje PO IZVORIMA-detaljno'!V127</f>
        <v>668.56593005508</v>
      </c>
      <c r="O127" s="1314"/>
      <c r="P127" s="1326">
        <f>'izvršenje PO IZVORIMA-detaljno'!X127</f>
        <v>0</v>
      </c>
      <c r="Q127" s="1313">
        <f t="shared" si="354"/>
        <v>0</v>
      </c>
      <c r="R127" s="1314"/>
      <c r="S127" s="1314"/>
      <c r="T127" s="1326">
        <f>'izvršenje PO IZVORIMA-detaljno'!AA127</f>
        <v>0</v>
      </c>
      <c r="U127" s="1313">
        <f t="shared" si="355"/>
        <v>0</v>
      </c>
      <c r="V127" s="1314"/>
      <c r="W127" s="1315"/>
      <c r="X127" s="1307"/>
      <c r="Y127" s="1307"/>
      <c r="Z127" s="1326">
        <f>'izvršenje PO IZVORIMA-detaljno'!AM127+'izvršenje PO IZVORIMA-detaljno'!AJ127+'izvršenje PO IZVORIMA-detaljno'!AC127</f>
        <v>0</v>
      </c>
      <c r="AA127" s="1313">
        <f t="shared" si="356"/>
        <v>0</v>
      </c>
      <c r="AB127" s="1357"/>
      <c r="AC127" s="1357"/>
      <c r="AD127" s="1372">
        <f>'izvršenje PO IZVORIMA-detaljno'!H127+'izvršenje PO IZVORIMA-detaljno'!N127</f>
        <v>0</v>
      </c>
      <c r="AE127" s="1355">
        <f t="shared" si="357"/>
        <v>0</v>
      </c>
      <c r="AF127" s="1372">
        <f>'izvršenje PO IZVORIMA-detaljno'!I127+'izvršenje PO IZVORIMA-detaljno'!O127</f>
        <v>0</v>
      </c>
      <c r="AG127" s="1357"/>
      <c r="AH127" s="1372">
        <f>'izvršenje PO IZVORIMA-detaljno'!K127+'izvršenje PO IZVORIMA-detaljno'!Q127</f>
        <v>0</v>
      </c>
      <c r="AI127" s="1355">
        <f t="shared" si="361"/>
        <v>0</v>
      </c>
      <c r="AJ127" s="1357"/>
      <c r="AK127" s="1357"/>
      <c r="AL127" s="1383">
        <f>'izvršenje PO IZVORIMA-detaljno'!T127+'izvršenje PO IZVORIMA-detaljno'!U127</f>
        <v>0</v>
      </c>
      <c r="AM127" s="1355">
        <f t="shared" si="358"/>
        <v>0</v>
      </c>
      <c r="AN127" s="1372">
        <f>'izvršenje PO IZVORIMA-detaljno'!AN127</f>
        <v>0</v>
      </c>
      <c r="AO127" s="1357"/>
      <c r="AP127" s="1372">
        <f>'izvršenje PO IZVORIMA-detaljno'!AP127</f>
        <v>0</v>
      </c>
      <c r="AQ127" s="1355">
        <f t="shared" si="359"/>
        <v>0</v>
      </c>
      <c r="AR127" s="1357"/>
      <c r="AS127" s="1357"/>
      <c r="AT127" s="1370"/>
      <c r="AU127" s="1355">
        <f t="shared" si="360"/>
        <v>0</v>
      </c>
      <c r="AV127" s="1357"/>
      <c r="AW127" s="1358"/>
      <c r="AX127" s="1435"/>
      <c r="AY127" s="1401"/>
      <c r="AZ127" s="1444"/>
      <c r="BA127" s="180"/>
      <c r="BB127" s="178"/>
      <c r="BC127" s="57"/>
      <c r="BD127" s="126">
        <f t="shared" si="407"/>
        <v>0</v>
      </c>
      <c r="BE127" s="45">
        <v>323961</v>
      </c>
      <c r="BG127" s="484"/>
      <c r="BH127" s="484"/>
      <c r="BI127" s="527"/>
    </row>
    <row r="128" spans="1:65" ht="15.75" thickBot="1" x14ac:dyDescent="0.3">
      <c r="A128" s="46">
        <v>323991</v>
      </c>
      <c r="B128" s="504" t="s">
        <v>88</v>
      </c>
      <c r="C128" s="75">
        <f t="shared" si="325"/>
        <v>12316.626186210098</v>
      </c>
      <c r="D128" s="14"/>
      <c r="E128" s="122">
        <f t="shared" si="326"/>
        <v>17441.559999999998</v>
      </c>
      <c r="F128" s="242">
        <f t="shared" si="275"/>
        <v>141.60988355340248</v>
      </c>
      <c r="G128" s="243">
        <f t="shared" si="276"/>
        <v>0</v>
      </c>
      <c r="H128" s="124"/>
      <c r="I128" s="124"/>
      <c r="J128" s="51"/>
      <c r="K128" s="1288">
        <f t="shared" si="399"/>
        <v>0</v>
      </c>
      <c r="L128" s="52"/>
      <c r="M128" s="51"/>
      <c r="N128" s="1419">
        <f>'izvršenje PO IZVORIMA-detaljno'!V128</f>
        <v>1554.7972659101467</v>
      </c>
      <c r="O128" s="1314"/>
      <c r="P128" s="1326">
        <f>'izvršenje PO IZVORIMA-detaljno'!X128</f>
        <v>120.92999999999999</v>
      </c>
      <c r="Q128" s="1316">
        <f t="shared" si="354"/>
        <v>0</v>
      </c>
      <c r="R128" s="1326">
        <f>'izvršenje PO IZVORIMA-detaljno'!Y128</f>
        <v>559.27533346605605</v>
      </c>
      <c r="S128" s="1314"/>
      <c r="T128" s="1326">
        <f>'izvršenje PO IZVORIMA-detaljno'!AA128</f>
        <v>1433.4</v>
      </c>
      <c r="U128" s="1316">
        <f t="shared" si="355"/>
        <v>0</v>
      </c>
      <c r="V128" s="1314"/>
      <c r="W128" s="1315"/>
      <c r="X128" s="1307"/>
      <c r="Y128" s="1307"/>
      <c r="Z128" s="1326">
        <f>'izvršenje PO IZVORIMA-detaljno'!AM128+'izvršenje PO IZVORIMA-detaljno'!AJ128+'izvršenje PO IZVORIMA-detaljno'!AC128</f>
        <v>0</v>
      </c>
      <c r="AA128" s="1316">
        <f t="shared" si="356"/>
        <v>0</v>
      </c>
      <c r="AB128" s="1356">
        <f>'izvršenje PO IZVORIMA-detaljno'!F128+'izvršenje PO IZVORIMA-detaljno'!L128</f>
        <v>10202.553586833896</v>
      </c>
      <c r="AC128" s="1357"/>
      <c r="AD128" s="1372">
        <f>'izvršenje PO IZVORIMA-detaljno'!H128+'izvršenje PO IZVORIMA-detaljno'!N128</f>
        <v>15887.229999999998</v>
      </c>
      <c r="AE128" s="1359">
        <f t="shared" si="357"/>
        <v>0</v>
      </c>
      <c r="AF128" s="1372">
        <f>'izvršenje PO IZVORIMA-detaljno'!I128+'izvršenje PO IZVORIMA-detaljno'!O128</f>
        <v>0</v>
      </c>
      <c r="AG128" s="1357"/>
      <c r="AH128" s="1372">
        <f>'izvršenje PO IZVORIMA-detaljno'!K128+'izvršenje PO IZVORIMA-detaljno'!Q128</f>
        <v>0</v>
      </c>
      <c r="AI128" s="1359">
        <f t="shared" si="361"/>
        <v>0</v>
      </c>
      <c r="AJ128" s="1357"/>
      <c r="AK128" s="1357"/>
      <c r="AL128" s="1383">
        <f>'izvršenje PO IZVORIMA-detaljno'!T128+'izvršenje PO IZVORIMA-detaljno'!U128</f>
        <v>0</v>
      </c>
      <c r="AM128" s="1359">
        <f t="shared" si="358"/>
        <v>0</v>
      </c>
      <c r="AN128" s="1372">
        <f>'izvršenje PO IZVORIMA-detaljno'!AN128</f>
        <v>0</v>
      </c>
      <c r="AO128" s="1357"/>
      <c r="AP128" s="1372">
        <f>'izvršenje PO IZVORIMA-detaljno'!AP128</f>
        <v>0</v>
      </c>
      <c r="AQ128" s="1359">
        <f t="shared" si="359"/>
        <v>0</v>
      </c>
      <c r="AR128" s="1357"/>
      <c r="AS128" s="1357"/>
      <c r="AT128" s="1370"/>
      <c r="AU128" s="1359">
        <f t="shared" si="360"/>
        <v>0</v>
      </c>
      <c r="AV128" s="1357"/>
      <c r="AW128" s="1358"/>
      <c r="AX128" s="1435"/>
      <c r="AY128" s="1401"/>
      <c r="AZ128" s="1444"/>
      <c r="BA128" s="180"/>
      <c r="BB128" s="178"/>
      <c r="BC128" s="57"/>
      <c r="BD128" s="126">
        <f t="shared" si="407"/>
        <v>17441.559999999998</v>
      </c>
      <c r="BE128" s="46">
        <v>323991</v>
      </c>
      <c r="BG128" s="484"/>
      <c r="BH128" s="484"/>
      <c r="BI128" s="527"/>
    </row>
    <row r="129" spans="1:65" s="24" customFormat="1" ht="15.75" thickBot="1" x14ac:dyDescent="0.3">
      <c r="A129" s="76">
        <v>3239</v>
      </c>
      <c r="B129" s="505" t="s">
        <v>89</v>
      </c>
      <c r="C129" s="82">
        <f>SUM(C122:C128)</f>
        <v>37985.789368903039</v>
      </c>
      <c r="D129" s="82">
        <f t="shared" ref="D129:E129" si="409">SUM(D122:D128)</f>
        <v>0</v>
      </c>
      <c r="E129" s="83">
        <f t="shared" si="409"/>
        <v>81218.45</v>
      </c>
      <c r="F129" s="253">
        <f t="shared" si="275"/>
        <v>213.81272141336427</v>
      </c>
      <c r="G129" s="252">
        <f t="shared" si="276"/>
        <v>0</v>
      </c>
      <c r="H129" s="411">
        <f t="shared" ref="H129" si="410">SUM(H122:H128)</f>
        <v>0</v>
      </c>
      <c r="I129" s="115">
        <f t="shared" ref="I129:AL129" si="411">SUM(I122:I128)</f>
        <v>0</v>
      </c>
      <c r="J129" s="82">
        <f>SUM(J122:J128)</f>
        <v>490.07</v>
      </c>
      <c r="K129" s="252">
        <f t="shared" si="399"/>
        <v>0</v>
      </c>
      <c r="L129" s="82">
        <f t="shared" si="411"/>
        <v>0</v>
      </c>
      <c r="M129" s="112">
        <f t="shared" si="411"/>
        <v>0</v>
      </c>
      <c r="N129" s="417">
        <f>SUM(N122:N128)</f>
        <v>2513.627977968014</v>
      </c>
      <c r="O129" s="82">
        <f t="shared" si="411"/>
        <v>0</v>
      </c>
      <c r="P129" s="82">
        <f>SUM(P122:P128)</f>
        <v>926.71</v>
      </c>
      <c r="Q129" s="252">
        <f t="shared" si="354"/>
        <v>0</v>
      </c>
      <c r="R129" s="82">
        <f>SUM(R122:R128)</f>
        <v>559.27533346605605</v>
      </c>
      <c r="S129" s="82">
        <f t="shared" si="411"/>
        <v>0</v>
      </c>
      <c r="T129" s="82">
        <f>SUM(T122:T128)</f>
        <v>1485.0600000000002</v>
      </c>
      <c r="U129" s="252">
        <f t="shared" si="355"/>
        <v>0</v>
      </c>
      <c r="V129" s="82">
        <f t="shared" si="411"/>
        <v>0</v>
      </c>
      <c r="W129" s="82">
        <f t="shared" si="411"/>
        <v>0</v>
      </c>
      <c r="X129" s="82"/>
      <c r="Y129" s="82">
        <f>'izvršenje PO IZVORIMA-detaljno'!AI129+'izvršenje PO IZVORIMA-detaljno'!AL129+'izvršenje PO IZVORIMA-detaljno'!AB129</f>
        <v>0</v>
      </c>
      <c r="Z129" s="112">
        <f t="shared" si="411"/>
        <v>0</v>
      </c>
      <c r="AA129" s="252">
        <f t="shared" si="356"/>
        <v>0</v>
      </c>
      <c r="AB129" s="417">
        <f>SUM(AB122:AB128)</f>
        <v>10202.553586833896</v>
      </c>
      <c r="AC129" s="417">
        <f>'izvršenje PO IZVORIMA-detaljno'!G129+'izvršenje PO IZVORIMA-detaljno'!M129</f>
        <v>0</v>
      </c>
      <c r="AD129" s="82">
        <f>SUM(AD122:AD128)</f>
        <v>16829.569999999996</v>
      </c>
      <c r="AE129" s="252">
        <f t="shared" si="357"/>
        <v>0</v>
      </c>
      <c r="AF129" s="108">
        <f>SUM(AF122:AF128)</f>
        <v>22894.684451522993</v>
      </c>
      <c r="AG129" s="108">
        <f>'izvršenje PO IZVORIMA-detaljno'!J129+'izvršenje PO IZVORIMA-detaljno'!P129</f>
        <v>0</v>
      </c>
      <c r="AH129" s="82">
        <f t="shared" si="411"/>
        <v>60720.69</v>
      </c>
      <c r="AI129" s="252">
        <f t="shared" si="361"/>
        <v>0</v>
      </c>
      <c r="AJ129" s="82"/>
      <c r="AK129" s="82">
        <f>'izvršenje PO IZVORIMA-detaljno'!S129</f>
        <v>0</v>
      </c>
      <c r="AL129" s="82">
        <f t="shared" si="411"/>
        <v>0</v>
      </c>
      <c r="AM129" s="252">
        <f t="shared" si="358"/>
        <v>0</v>
      </c>
      <c r="AN129" s="82">
        <f>SUM(AN122:AN128)</f>
        <v>1815.6480191120843</v>
      </c>
      <c r="AO129" s="82">
        <f>'izvršenje PO IZVORIMA-detaljno'!AO129</f>
        <v>0</v>
      </c>
      <c r="AP129" s="82">
        <f>SUM(AP122:AP128)</f>
        <v>766.34999999999991</v>
      </c>
      <c r="AQ129" s="252">
        <f t="shared" si="359"/>
        <v>0</v>
      </c>
      <c r="AR129" s="82">
        <f>'izvršenje PO IZVORIMA-detaljno'!AQ129</f>
        <v>0</v>
      </c>
      <c r="AS129" s="82">
        <f>'izvršenje PO IZVORIMA-detaljno'!AR129</f>
        <v>0</v>
      </c>
      <c r="AT129" s="82">
        <f t="shared" ref="AT129" si="412">SUM(AT122:AT128)</f>
        <v>0</v>
      </c>
      <c r="AU129" s="252">
        <f t="shared" si="360"/>
        <v>0</v>
      </c>
      <c r="AV129" s="82">
        <f t="shared" ref="AV129:AX129" si="413">SUM(AV122:AV128)</f>
        <v>0</v>
      </c>
      <c r="AW129" s="83">
        <f t="shared" si="413"/>
        <v>0</v>
      </c>
      <c r="AX129" s="407">
        <f t="shared" si="413"/>
        <v>0</v>
      </c>
      <c r="AY129" s="83">
        <f t="shared" ref="AY129:AZ129" si="414">SUM(AY122:AY128)</f>
        <v>0</v>
      </c>
      <c r="AZ129" s="112">
        <f t="shared" si="414"/>
        <v>0</v>
      </c>
      <c r="BA129" s="407">
        <f t="shared" ref="BA129:BB129" si="415">SUM(BA122:BA128)</f>
        <v>0</v>
      </c>
      <c r="BB129" s="83">
        <f t="shared" si="415"/>
        <v>0</v>
      </c>
      <c r="BC129" s="411">
        <f>AV129+AS129+AO129+AK129+AG129+AC129+Y129+V129+S129+O129+L129+I129+AY129</f>
        <v>0</v>
      </c>
      <c r="BD129" s="83">
        <f t="shared" ref="BD129" si="416">SUM(BD122:BD128)</f>
        <v>81218.45</v>
      </c>
      <c r="BE129" s="76">
        <v>3239</v>
      </c>
      <c r="BF129" s="522"/>
      <c r="BG129" s="489"/>
      <c r="BH129" s="489"/>
      <c r="BI129" s="529"/>
      <c r="BJ129" s="489"/>
      <c r="BK129" s="489"/>
      <c r="BL129" s="489"/>
      <c r="BM129" s="489"/>
    </row>
    <row r="130" spans="1:65" s="22" customFormat="1" ht="15.75" thickBot="1" x14ac:dyDescent="0.3">
      <c r="A130" s="76">
        <v>323</v>
      </c>
      <c r="B130" s="505" t="s">
        <v>90</v>
      </c>
      <c r="C130" s="91">
        <f>C92+C96+C101+C106+C109+C112+C117+C121+C129</f>
        <v>251955.22861503746</v>
      </c>
      <c r="D130" s="82">
        <f>BC130</f>
        <v>281361</v>
      </c>
      <c r="E130" s="91">
        <f t="shared" ref="E130" si="417">E92+E96+E101+E106+E109+E112+E117+E121+E129</f>
        <v>271036.02</v>
      </c>
      <c r="F130" s="253">
        <f t="shared" si="275"/>
        <v>107.57308807991284</v>
      </c>
      <c r="G130" s="252">
        <f t="shared" si="276"/>
        <v>96.33034429078657</v>
      </c>
      <c r="H130" s="1430">
        <f>H92+H96+H101+H106+H109+H112+H117+H121+H129</f>
        <v>8153.5430353706288</v>
      </c>
      <c r="I130" s="117">
        <f>'izvršenje PO IZVORIMA-detaljno'!D130</f>
        <v>10000</v>
      </c>
      <c r="J130" s="90">
        <f>J92+J96+J101+J106+J109+J112+J117+J121+J129</f>
        <v>5771.19</v>
      </c>
      <c r="K130" s="252">
        <f t="shared" si="399"/>
        <v>57.711899999999993</v>
      </c>
      <c r="L130" s="90">
        <f t="shared" ref="L130:AL130" si="418">L92+L96+L101+L106+L109+L112+L117+L121+L129</f>
        <v>0</v>
      </c>
      <c r="M130" s="114">
        <f t="shared" si="418"/>
        <v>0</v>
      </c>
      <c r="N130" s="1593">
        <f>N92+N96+N101+N106+N109+N112+N117+N121+N129</f>
        <v>25259.1545557104</v>
      </c>
      <c r="O130" s="90">
        <f>'izvršenje PO IZVORIMA-detaljno'!W130</f>
        <v>31831</v>
      </c>
      <c r="P130" s="90">
        <f>P92+P96+P101+P106+P109+P112+P117+P121+P129</f>
        <v>32197.859999999997</v>
      </c>
      <c r="Q130" s="252">
        <f t="shared" si="354"/>
        <v>101.15252426879455</v>
      </c>
      <c r="R130" s="90">
        <f t="shared" si="418"/>
        <v>654.54641980224289</v>
      </c>
      <c r="S130" s="90">
        <f>'izvršenje PO IZVORIMA-detaljno'!Z130</f>
        <v>8390</v>
      </c>
      <c r="T130" s="90">
        <f t="shared" si="418"/>
        <v>8362.82</v>
      </c>
      <c r="U130" s="252">
        <f t="shared" si="355"/>
        <v>99.676042908224076</v>
      </c>
      <c r="V130" s="90">
        <f t="shared" si="418"/>
        <v>0</v>
      </c>
      <c r="W130" s="90">
        <f t="shared" si="418"/>
        <v>0</v>
      </c>
      <c r="X130" s="114">
        <f t="shared" si="418"/>
        <v>232.26491472559559</v>
      </c>
      <c r="Y130" s="82">
        <f>'izvršenje PO IZVORIMA-detaljno'!AI130+'izvršenje PO IZVORIMA-detaljno'!AL130+'izvršenje PO IZVORIMA-detaljno'!AB130</f>
        <v>500</v>
      </c>
      <c r="Z130" s="114">
        <f t="shared" si="418"/>
        <v>349.4</v>
      </c>
      <c r="AA130" s="252">
        <f t="shared" si="356"/>
        <v>69.88</v>
      </c>
      <c r="AB130" s="1593">
        <f t="shared" si="418"/>
        <v>11940.516291724731</v>
      </c>
      <c r="AC130" s="417">
        <f>'izvršenje PO IZVORIMA-detaljno'!G130+'izvršenje PO IZVORIMA-detaljno'!M130</f>
        <v>19410</v>
      </c>
      <c r="AD130" s="90">
        <f t="shared" si="418"/>
        <v>18945.739999999998</v>
      </c>
      <c r="AE130" s="252">
        <f t="shared" si="357"/>
        <v>97.608140133951565</v>
      </c>
      <c r="AF130" s="90">
        <f t="shared" si="418"/>
        <v>199404.12767934171</v>
      </c>
      <c r="AG130" s="108">
        <f>'izvršenje PO IZVORIMA-detaljno'!J130+'izvršenje PO IZVORIMA-detaljno'!P130</f>
        <v>170000</v>
      </c>
      <c r="AH130" s="90">
        <f t="shared" si="418"/>
        <v>184375.30000000002</v>
      </c>
      <c r="AI130" s="252">
        <f t="shared" si="361"/>
        <v>108.45605882352942</v>
      </c>
      <c r="AJ130" s="82"/>
      <c r="AK130" s="82">
        <f>'izvršenje PO IZVORIMA-detaljno'!S130</f>
        <v>34700</v>
      </c>
      <c r="AL130" s="90">
        <f t="shared" si="418"/>
        <v>17935.03</v>
      </c>
      <c r="AM130" s="252">
        <f t="shared" si="358"/>
        <v>51.685965417867429</v>
      </c>
      <c r="AN130" s="90">
        <f>AN92+AN96+AN101+AN106+AN109+AN112+AN117+AN121+AN129</f>
        <v>6311.0757183622009</v>
      </c>
      <c r="AO130" s="82">
        <f>'izvršenje PO IZVORIMA-detaljno'!AO130</f>
        <v>6530</v>
      </c>
      <c r="AP130" s="90">
        <f>AP92+AP96+AP101+AP106+AP109+AP112+AP117+AP121+AP129</f>
        <v>3098.68</v>
      </c>
      <c r="AQ130" s="252">
        <f t="shared" si="359"/>
        <v>47.452986217457884</v>
      </c>
      <c r="AR130" s="82">
        <f>'izvršenje PO IZVORIMA-detaljno'!AQ130</f>
        <v>0</v>
      </c>
      <c r="AS130" s="82">
        <f>'izvršenje PO IZVORIMA-detaljno'!AR130</f>
        <v>0</v>
      </c>
      <c r="AT130" s="90">
        <f t="shared" ref="AT130" si="419">AT92+AT96+AT101+AT106+AT109+AT112+AT117+AT121+AT129</f>
        <v>0</v>
      </c>
      <c r="AU130" s="252">
        <f t="shared" si="360"/>
        <v>0</v>
      </c>
      <c r="AV130" s="90">
        <f t="shared" ref="AV130:AX130" si="420">AV92+AV96+AV101+AV106+AV109+AV112+AV117+AV121+AV129</f>
        <v>0</v>
      </c>
      <c r="AW130" s="91">
        <f t="shared" si="420"/>
        <v>0</v>
      </c>
      <c r="AX130" s="1458">
        <f t="shared" si="420"/>
        <v>0</v>
      </c>
      <c r="AY130" s="91">
        <f t="shared" ref="AY130:AZ130" si="421">AY92+AY96+AY101+AY106+AY109+AY112+AY117+AY121+AY129</f>
        <v>0</v>
      </c>
      <c r="AZ130" s="114">
        <f t="shared" si="421"/>
        <v>0</v>
      </c>
      <c r="BA130" s="1458">
        <f t="shared" ref="BA130:BB130" si="422">BA92+BA96+BA101+BA106+BA109+BA112+BA117+BA121+BA129</f>
        <v>0</v>
      </c>
      <c r="BB130" s="91">
        <f t="shared" si="422"/>
        <v>0</v>
      </c>
      <c r="BC130" s="411">
        <f>AV130+AS130+AO130+AK130+AG130+AC130+Y130+V130+S130+O130+L130+I130+AY130</f>
        <v>281361</v>
      </c>
      <c r="BD130" s="91">
        <f t="shared" ref="BD130" si="423">BD92+BD96+BD101+BD106+BD109+BD112+BD117+BD121+BD129</f>
        <v>271036.02</v>
      </c>
      <c r="BE130" s="76">
        <v>323</v>
      </c>
      <c r="BF130" s="524"/>
      <c r="BG130" s="484"/>
      <c r="BH130" s="484"/>
      <c r="BI130" s="527"/>
      <c r="BJ130" s="484"/>
      <c r="BK130" s="484"/>
      <c r="BL130" s="484"/>
      <c r="BM130" s="484"/>
    </row>
    <row r="131" spans="1:65" x14ac:dyDescent="0.25">
      <c r="A131" s="62">
        <v>324111</v>
      </c>
      <c r="B131" s="498" t="s">
        <v>91</v>
      </c>
      <c r="C131" s="75">
        <f t="shared" ref="C131:C148" si="424">H131+N131+R131+X131+AB131+AF131+AJ131+AN131+AR131+AX131</f>
        <v>0</v>
      </c>
      <c r="D131" s="69"/>
      <c r="E131" s="122">
        <f t="shared" ref="E131:E148" si="425">BD131</f>
        <v>0</v>
      </c>
      <c r="F131" s="240">
        <f t="shared" si="275"/>
        <v>0</v>
      </c>
      <c r="G131" s="241">
        <f t="shared" si="276"/>
        <v>0</v>
      </c>
      <c r="H131" s="124"/>
      <c r="I131" s="124"/>
      <c r="J131" s="51"/>
      <c r="K131" s="1286">
        <f t="shared" si="399"/>
        <v>0</v>
      </c>
      <c r="L131" s="52"/>
      <c r="M131" s="51"/>
      <c r="N131" s="1419">
        <f>'izvršenje PO IZVORIMA-detaljno'!V131</f>
        <v>0</v>
      </c>
      <c r="O131" s="1314"/>
      <c r="P131" s="1326">
        <f>'izvršenje PO IZVORIMA-detaljno'!X131</f>
        <v>0</v>
      </c>
      <c r="Q131" s="1309">
        <f t="shared" si="354"/>
        <v>0</v>
      </c>
      <c r="R131" s="1314"/>
      <c r="S131" s="1314"/>
      <c r="T131" s="1326">
        <f>'izvršenje PO IZVORIMA-detaljno'!AA131</f>
        <v>0</v>
      </c>
      <c r="U131" s="1309">
        <f t="shared" si="355"/>
        <v>0</v>
      </c>
      <c r="V131" s="1314"/>
      <c r="W131" s="1315"/>
      <c r="X131" s="1307"/>
      <c r="Y131" s="1307"/>
      <c r="Z131" s="1326">
        <f>'izvršenje PO IZVORIMA-detaljno'!AM131+'izvršenje PO IZVORIMA-detaljno'!AJ131+'izvršenje PO IZVORIMA-detaljno'!AC131</f>
        <v>0</v>
      </c>
      <c r="AA131" s="1309">
        <f t="shared" si="356"/>
        <v>0</v>
      </c>
      <c r="AB131" s="1357"/>
      <c r="AC131" s="1357"/>
      <c r="AD131" s="1372">
        <f>'izvršenje PO IZVORIMA-detaljno'!H131+'izvršenje PO IZVORIMA-detaljno'!N131</f>
        <v>0</v>
      </c>
      <c r="AE131" s="1350">
        <f t="shared" si="357"/>
        <v>0</v>
      </c>
      <c r="AF131" s="1357"/>
      <c r="AG131" s="1357"/>
      <c r="AH131" s="1372">
        <f>'izvršenje PO IZVORIMA-detaljno'!K131+'izvršenje PO IZVORIMA-detaljno'!Q131</f>
        <v>0</v>
      </c>
      <c r="AI131" s="1350">
        <f t="shared" si="361"/>
        <v>0</v>
      </c>
      <c r="AJ131" s="1357"/>
      <c r="AK131" s="1357"/>
      <c r="AL131" s="1383">
        <f>'izvršenje PO IZVORIMA-detaljno'!T131+'izvršenje PO IZVORIMA-detaljno'!U131</f>
        <v>0</v>
      </c>
      <c r="AM131" s="1350">
        <f t="shared" si="358"/>
        <v>0</v>
      </c>
      <c r="AN131" s="1357"/>
      <c r="AO131" s="1357"/>
      <c r="AP131" s="1372">
        <f>'izvršenje PO IZVORIMA-detaljno'!AP131</f>
        <v>0</v>
      </c>
      <c r="AQ131" s="1350">
        <f t="shared" si="359"/>
        <v>0</v>
      </c>
      <c r="AR131" s="1357"/>
      <c r="AS131" s="1357"/>
      <c r="AT131" s="1370"/>
      <c r="AU131" s="1350">
        <f t="shared" si="360"/>
        <v>0</v>
      </c>
      <c r="AV131" s="1357"/>
      <c r="AW131" s="1358"/>
      <c r="AX131" s="1435"/>
      <c r="AY131" s="1401"/>
      <c r="AZ131" s="1444"/>
      <c r="BA131" s="180"/>
      <c r="BB131" s="178"/>
      <c r="BC131" s="57"/>
      <c r="BD131" s="126">
        <f>J131+M131+P131+T131+W131+Z131+AD131+AH131+AL131+AP131+AT131+AW131</f>
        <v>0</v>
      </c>
      <c r="BE131" s="62">
        <v>324111</v>
      </c>
      <c r="BG131" s="484"/>
      <c r="BH131" s="484"/>
      <c r="BI131" s="527"/>
    </row>
    <row r="132" spans="1:65" s="2" customFormat="1" ht="15.75" thickBot="1" x14ac:dyDescent="0.3">
      <c r="A132" s="47">
        <v>324121</v>
      </c>
      <c r="B132" s="500" t="s">
        <v>92</v>
      </c>
      <c r="C132" s="75">
        <f t="shared" si="424"/>
        <v>0</v>
      </c>
      <c r="D132" s="4"/>
      <c r="E132" s="122">
        <f t="shared" si="425"/>
        <v>0</v>
      </c>
      <c r="F132" s="242">
        <f t="shared" si="275"/>
        <v>0</v>
      </c>
      <c r="G132" s="243">
        <f t="shared" si="276"/>
        <v>0</v>
      </c>
      <c r="H132" s="125"/>
      <c r="I132" s="125"/>
      <c r="J132" s="60"/>
      <c r="K132" s="1288">
        <f t="shared" si="399"/>
        <v>0</v>
      </c>
      <c r="L132" s="59"/>
      <c r="M132" s="60"/>
      <c r="N132" s="1419">
        <f>'izvršenje PO IZVORIMA-detaljno'!V132</f>
        <v>0</v>
      </c>
      <c r="O132" s="1328"/>
      <c r="P132" s="1326">
        <f>'izvršenje PO IZVORIMA-detaljno'!X132</f>
        <v>0</v>
      </c>
      <c r="Q132" s="1316">
        <f t="shared" si="354"/>
        <v>0</v>
      </c>
      <c r="R132" s="1328"/>
      <c r="S132" s="1328"/>
      <c r="T132" s="1326">
        <f>'izvršenje PO IZVORIMA-detaljno'!AA132</f>
        <v>0</v>
      </c>
      <c r="U132" s="1316">
        <f t="shared" si="355"/>
        <v>0</v>
      </c>
      <c r="V132" s="1328"/>
      <c r="W132" s="1329"/>
      <c r="X132" s="1307"/>
      <c r="Y132" s="1307"/>
      <c r="Z132" s="1326">
        <f>'izvršenje PO IZVORIMA-detaljno'!AM132+'izvršenje PO IZVORIMA-detaljno'!AJ132+'izvršenje PO IZVORIMA-detaljno'!AC132</f>
        <v>0</v>
      </c>
      <c r="AA132" s="1316">
        <f t="shared" si="356"/>
        <v>0</v>
      </c>
      <c r="AB132" s="1380"/>
      <c r="AC132" s="1380"/>
      <c r="AD132" s="1372">
        <f>'izvršenje PO IZVORIMA-detaljno'!H132+'izvršenje PO IZVORIMA-detaljno'!N132</f>
        <v>0</v>
      </c>
      <c r="AE132" s="1359">
        <f t="shared" si="357"/>
        <v>0</v>
      </c>
      <c r="AF132" s="1380"/>
      <c r="AG132" s="1380"/>
      <c r="AH132" s="1372">
        <f>'izvršenje PO IZVORIMA-detaljno'!K132+'izvršenje PO IZVORIMA-detaljno'!Q132</f>
        <v>0</v>
      </c>
      <c r="AI132" s="1359">
        <f t="shared" si="361"/>
        <v>0</v>
      </c>
      <c r="AJ132" s="1380"/>
      <c r="AK132" s="1380"/>
      <c r="AL132" s="1383">
        <f>'izvršenje PO IZVORIMA-detaljno'!T132+'izvršenje PO IZVORIMA-detaljno'!U132</f>
        <v>0</v>
      </c>
      <c r="AM132" s="1359">
        <f t="shared" si="358"/>
        <v>0</v>
      </c>
      <c r="AN132" s="1380"/>
      <c r="AO132" s="1380"/>
      <c r="AP132" s="1372">
        <f>'izvršenje PO IZVORIMA-detaljno'!AP132</f>
        <v>0</v>
      </c>
      <c r="AQ132" s="1359">
        <f t="shared" si="359"/>
        <v>0</v>
      </c>
      <c r="AR132" s="1380"/>
      <c r="AS132" s="1380"/>
      <c r="AT132" s="1381"/>
      <c r="AU132" s="1359">
        <f t="shared" si="360"/>
        <v>0</v>
      </c>
      <c r="AV132" s="1380"/>
      <c r="AW132" s="1382"/>
      <c r="AX132" s="1437"/>
      <c r="AY132" s="1403"/>
      <c r="AZ132" s="1450"/>
      <c r="BA132" s="208"/>
      <c r="BB132" s="210"/>
      <c r="BC132" s="61"/>
      <c r="BD132" s="126">
        <f>J132+M132+P132+T132+W132+Z132+AD132+AH132+AL132+AP132+AT132+AW132</f>
        <v>0</v>
      </c>
      <c r="BE132" s="47">
        <v>324121</v>
      </c>
      <c r="BF132" s="254"/>
      <c r="BG132" s="489"/>
      <c r="BH132" s="489"/>
      <c r="BI132" s="529"/>
      <c r="BJ132" s="486"/>
      <c r="BK132" s="486"/>
      <c r="BL132" s="486"/>
      <c r="BM132" s="486"/>
    </row>
    <row r="133" spans="1:65" s="1539" customFormat="1" ht="15.75" thickBot="1" x14ac:dyDescent="0.3">
      <c r="A133" s="76">
        <v>324</v>
      </c>
      <c r="B133" s="505" t="s">
        <v>93</v>
      </c>
      <c r="C133" s="82">
        <v>0</v>
      </c>
      <c r="D133" s="82">
        <f>BC133</f>
        <v>0</v>
      </c>
      <c r="E133" s="83">
        <f t="shared" ref="E133" si="426">E131+E132</f>
        <v>0</v>
      </c>
      <c r="F133" s="253">
        <f t="shared" si="275"/>
        <v>0</v>
      </c>
      <c r="G133" s="252">
        <f t="shared" si="276"/>
        <v>0</v>
      </c>
      <c r="H133" s="411">
        <f t="shared" ref="H133" si="427">H131+H132</f>
        <v>0</v>
      </c>
      <c r="I133" s="115">
        <f>'izvršenje PO IZVORIMA-detaljno'!D133</f>
        <v>0</v>
      </c>
      <c r="J133" s="82">
        <f t="shared" ref="J133:AP133" si="428">J131+J132</f>
        <v>0</v>
      </c>
      <c r="K133" s="252">
        <f t="shared" si="399"/>
        <v>0</v>
      </c>
      <c r="L133" s="82">
        <f t="shared" si="428"/>
        <v>0</v>
      </c>
      <c r="M133" s="112">
        <f t="shared" si="428"/>
        <v>0</v>
      </c>
      <c r="N133" s="417">
        <f>'izvršenje PO IZVORIMA-detaljno'!V133</f>
        <v>0</v>
      </c>
      <c r="O133" s="82">
        <f>'izvršenje PO IZVORIMA-detaljno'!W133</f>
        <v>0</v>
      </c>
      <c r="P133" s="82">
        <f t="shared" si="428"/>
        <v>0</v>
      </c>
      <c r="Q133" s="252">
        <f t="shared" si="354"/>
        <v>0</v>
      </c>
      <c r="R133" s="82">
        <f t="shared" ref="R133" si="429">R131+R132</f>
        <v>0</v>
      </c>
      <c r="S133" s="82">
        <f t="shared" si="428"/>
        <v>0</v>
      </c>
      <c r="T133" s="82">
        <f t="shared" si="428"/>
        <v>0</v>
      </c>
      <c r="U133" s="252">
        <f t="shared" si="355"/>
        <v>0</v>
      </c>
      <c r="V133" s="82">
        <f t="shared" si="428"/>
        <v>0</v>
      </c>
      <c r="W133" s="82">
        <f t="shared" si="428"/>
        <v>0</v>
      </c>
      <c r="X133" s="82">
        <f>'izvršenje PO IZVORIMA-detaljno'!AH133+'izvršenje PO IZVORIMA-detaljno'!AK133+'izvršenje PO IZVORIMA-detaljno'!AA133</f>
        <v>0</v>
      </c>
      <c r="Y133" s="82">
        <f>'izvršenje PO IZVORIMA-detaljno'!AI133+'izvršenje PO IZVORIMA-detaljno'!AL133+'izvršenje PO IZVORIMA-detaljno'!AB133</f>
        <v>0</v>
      </c>
      <c r="Z133" s="112">
        <f t="shared" si="428"/>
        <v>0</v>
      </c>
      <c r="AA133" s="252">
        <f t="shared" si="356"/>
        <v>0</v>
      </c>
      <c r="AB133" s="417"/>
      <c r="AC133" s="417">
        <f>'izvršenje PO IZVORIMA-detaljno'!G133+'izvršenje PO IZVORIMA-detaljno'!M133</f>
        <v>0</v>
      </c>
      <c r="AD133" s="82">
        <f t="shared" si="428"/>
        <v>0</v>
      </c>
      <c r="AE133" s="252">
        <f t="shared" si="357"/>
        <v>0</v>
      </c>
      <c r="AF133" s="108"/>
      <c r="AG133" s="108">
        <f>'izvršenje PO IZVORIMA-detaljno'!J133+'izvršenje PO IZVORIMA-detaljno'!P133</f>
        <v>0</v>
      </c>
      <c r="AH133" s="82">
        <f t="shared" si="428"/>
        <v>0</v>
      </c>
      <c r="AI133" s="252">
        <f t="shared" si="361"/>
        <v>0</v>
      </c>
      <c r="AJ133" s="82"/>
      <c r="AK133" s="82">
        <f>'izvršenje PO IZVORIMA-detaljno'!S133</f>
        <v>0</v>
      </c>
      <c r="AL133" s="82">
        <f t="shared" si="428"/>
        <v>0</v>
      </c>
      <c r="AM133" s="252">
        <f t="shared" si="358"/>
        <v>0</v>
      </c>
      <c r="AN133" s="82"/>
      <c r="AO133" s="82">
        <f>'izvršenje PO IZVORIMA-detaljno'!AO133</f>
        <v>0</v>
      </c>
      <c r="AP133" s="82">
        <f t="shared" si="428"/>
        <v>0</v>
      </c>
      <c r="AQ133" s="252">
        <f t="shared" si="359"/>
        <v>0</v>
      </c>
      <c r="AR133" s="82">
        <f>'izvršenje PO IZVORIMA-detaljno'!AQ133</f>
        <v>0</v>
      </c>
      <c r="AS133" s="82">
        <f>'izvršenje PO IZVORIMA-detaljno'!AR133</f>
        <v>0</v>
      </c>
      <c r="AT133" s="82">
        <f t="shared" ref="AT133" si="430">AT131+AT132</f>
        <v>0</v>
      </c>
      <c r="AU133" s="252">
        <f t="shared" si="360"/>
        <v>0</v>
      </c>
      <c r="AV133" s="82">
        <f t="shared" ref="AV133:AX133" si="431">AV131+AV132</f>
        <v>0</v>
      </c>
      <c r="AW133" s="83">
        <f t="shared" si="431"/>
        <v>0</v>
      </c>
      <c r="AX133" s="407">
        <f t="shared" si="431"/>
        <v>0</v>
      </c>
      <c r="AY133" s="83">
        <f t="shared" ref="AY133:AZ133" si="432">AY131+AY132</f>
        <v>0</v>
      </c>
      <c r="AZ133" s="112">
        <f t="shared" si="432"/>
        <v>0</v>
      </c>
      <c r="BA133" s="407">
        <f t="shared" ref="BA133:BB133" si="433">BA131+BA132</f>
        <v>0</v>
      </c>
      <c r="BB133" s="83">
        <f t="shared" si="433"/>
        <v>0</v>
      </c>
      <c r="BC133" s="411">
        <f>AV133+AS133+AO133+AK133+AG133+AC133+Y133+V133+S133+O133+L133+I133+AY133</f>
        <v>0</v>
      </c>
      <c r="BD133" s="83">
        <f t="shared" ref="BD133" si="434">BD131+BD132</f>
        <v>0</v>
      </c>
      <c r="BE133" s="76">
        <v>324</v>
      </c>
      <c r="BF133" s="522"/>
      <c r="BG133" s="493"/>
      <c r="BH133" s="493"/>
      <c r="BI133" s="530"/>
      <c r="BJ133" s="493"/>
      <c r="BK133" s="493"/>
      <c r="BL133" s="493"/>
      <c r="BM133" s="493"/>
    </row>
    <row r="134" spans="1:65" s="2" customFormat="1" ht="15.75" thickBot="1" x14ac:dyDescent="0.3">
      <c r="A134" s="77">
        <v>329231</v>
      </c>
      <c r="B134" s="502" t="s">
        <v>95</v>
      </c>
      <c r="C134" s="75">
        <f>H134+N134+R134+X134+AB134+AF134+AJ134+AN134+AR134+AX134</f>
        <v>1000.7299754462804</v>
      </c>
      <c r="D134" s="71"/>
      <c r="E134" s="122">
        <f t="shared" si="425"/>
        <v>2646.13</v>
      </c>
      <c r="F134" s="246">
        <f t="shared" si="275"/>
        <v>264.4199799071618</v>
      </c>
      <c r="G134" s="247">
        <f t="shared" si="276"/>
        <v>0</v>
      </c>
      <c r="H134" s="125"/>
      <c r="I134" s="125"/>
      <c r="J134" s="60"/>
      <c r="K134" s="1292">
        <f t="shared" si="399"/>
        <v>0</v>
      </c>
      <c r="L134" s="59"/>
      <c r="M134" s="60"/>
      <c r="N134" s="1420">
        <f>'izvršenje PO IZVORIMA-detaljno'!V134</f>
        <v>0</v>
      </c>
      <c r="O134" s="1328"/>
      <c r="P134" s="1330">
        <f>'izvršenje PO IZVORIMA-detaljno'!X134</f>
        <v>0</v>
      </c>
      <c r="Q134" s="1325">
        <f t="shared" ref="Q134:Q165" si="435">IF(O134&lt;&gt;0,P134/O134*100,0)</f>
        <v>0</v>
      </c>
      <c r="R134" s="1328"/>
      <c r="S134" s="1328"/>
      <c r="T134" s="1326">
        <f>'izvršenje PO IZVORIMA-detaljno'!AA134</f>
        <v>0</v>
      </c>
      <c r="U134" s="1325">
        <f t="shared" ref="U134:U165" si="436">IF(S134&lt;&gt;0,T134/S134*100,0)</f>
        <v>0</v>
      </c>
      <c r="V134" s="1328"/>
      <c r="W134" s="1329"/>
      <c r="X134" s="1307"/>
      <c r="Y134" s="1307"/>
      <c r="Z134" s="1326">
        <f>'izvršenje PO IZVORIMA-detaljno'!AM134+'izvršenje PO IZVORIMA-detaljno'!AJ134+'izvršenje PO IZVORIMA-detaljno'!AC134</f>
        <v>1157.26</v>
      </c>
      <c r="AA134" s="1325">
        <f t="shared" ref="AA134:AA165" si="437">IF(Y134&lt;&gt;0,Z134/Y134*100,0)</f>
        <v>0</v>
      </c>
      <c r="AB134" s="1380"/>
      <c r="AC134" s="1380"/>
      <c r="AD134" s="1372">
        <f>'izvršenje PO IZVORIMA-detaljno'!H134+'izvršenje PO IZVORIMA-detaljno'!N134</f>
        <v>0</v>
      </c>
      <c r="AE134" s="1371">
        <f t="shared" ref="AE134:AE165" si="438">IF(AC134&lt;&gt;0,AD134/AC134*100,0)</f>
        <v>0</v>
      </c>
      <c r="AF134" s="1380"/>
      <c r="AG134" s="1380"/>
      <c r="AH134" s="1372">
        <f>'izvršenje PO IZVORIMA-detaljno'!K134+'izvršenje PO IZVORIMA-detaljno'!Q134</f>
        <v>0</v>
      </c>
      <c r="AI134" s="1371">
        <f t="shared" ref="AI134:AI165" si="439">IF(AG134&lt;&gt;0,AH134/AG134*100,0)</f>
        <v>0</v>
      </c>
      <c r="AJ134" s="1380"/>
      <c r="AK134" s="1380"/>
      <c r="AL134" s="1383">
        <f>'izvršenje PO IZVORIMA-detaljno'!T134+'izvršenje PO IZVORIMA-detaljno'!U134</f>
        <v>270.87</v>
      </c>
      <c r="AM134" s="1371">
        <f t="shared" ref="AM134:AM165" si="440">IF(AK134&lt;&gt;0,AL134/AK134*100,0)</f>
        <v>0</v>
      </c>
      <c r="AN134" s="1383">
        <f>'izvršenje PO IZVORIMA-detaljno'!AN134</f>
        <v>1000.7299754462804</v>
      </c>
      <c r="AO134" s="1380"/>
      <c r="AP134" s="1383">
        <f>'izvršenje PO IZVORIMA-detaljno'!AP134</f>
        <v>1218</v>
      </c>
      <c r="AQ134" s="1371">
        <f t="shared" ref="AQ134:AQ165" si="441">IF(AO134&lt;&gt;0,AP134/AO134*100,0)</f>
        <v>0</v>
      </c>
      <c r="AR134" s="1380"/>
      <c r="AS134" s="1380"/>
      <c r="AT134" s="1381"/>
      <c r="AU134" s="1371">
        <f t="shared" ref="AU134:AU165" si="442">IF(AS134&lt;&gt;0,AT134/AS134*100,0)</f>
        <v>0</v>
      </c>
      <c r="AV134" s="1380"/>
      <c r="AW134" s="1382"/>
      <c r="AX134" s="1437"/>
      <c r="AY134" s="1403"/>
      <c r="AZ134" s="1450"/>
      <c r="BA134" s="208"/>
      <c r="BB134" s="210"/>
      <c r="BC134" s="61"/>
      <c r="BD134" s="126">
        <f>J134+M134+P134+T134+W134+Z134+AD134+AH134+AL134+AP134+AT134+AW134</f>
        <v>2646.13</v>
      </c>
      <c r="BE134" s="77">
        <v>329231</v>
      </c>
      <c r="BF134" s="254"/>
      <c r="BG134" s="489"/>
      <c r="BH134" s="489"/>
      <c r="BI134" s="529"/>
      <c r="BJ134" s="486"/>
      <c r="BK134" s="486"/>
      <c r="BL134" s="486"/>
      <c r="BM134" s="486"/>
    </row>
    <row r="135" spans="1:65" s="22" customFormat="1" ht="15.75" thickBot="1" x14ac:dyDescent="0.3">
      <c r="A135" s="76">
        <v>3292</v>
      </c>
      <c r="B135" s="505" t="s">
        <v>96</v>
      </c>
      <c r="C135" s="82">
        <f>SUM(C134)</f>
        <v>1000.7299754462804</v>
      </c>
      <c r="D135" s="82">
        <f t="shared" ref="D135:E135" si="443">D134</f>
        <v>0</v>
      </c>
      <c r="E135" s="83">
        <f t="shared" si="443"/>
        <v>2646.13</v>
      </c>
      <c r="F135" s="253">
        <f t="shared" si="275"/>
        <v>264.4199799071618</v>
      </c>
      <c r="G135" s="252">
        <f t="shared" si="276"/>
        <v>0</v>
      </c>
      <c r="H135" s="411">
        <f t="shared" ref="H135" si="444">H134</f>
        <v>0</v>
      </c>
      <c r="I135" s="115">
        <f t="shared" ref="I135:AP135" si="445">I134</f>
        <v>0</v>
      </c>
      <c r="J135" s="82">
        <f t="shared" si="445"/>
        <v>0</v>
      </c>
      <c r="K135" s="252">
        <f t="shared" si="399"/>
        <v>0</v>
      </c>
      <c r="L135" s="82">
        <f t="shared" si="445"/>
        <v>0</v>
      </c>
      <c r="M135" s="112">
        <f t="shared" si="445"/>
        <v>0</v>
      </c>
      <c r="N135" s="417">
        <f t="shared" ref="N135" si="446">N134</f>
        <v>0</v>
      </c>
      <c r="O135" s="82">
        <f t="shared" si="445"/>
        <v>0</v>
      </c>
      <c r="P135" s="82">
        <f t="shared" si="445"/>
        <v>0</v>
      </c>
      <c r="Q135" s="252">
        <f t="shared" si="435"/>
        <v>0</v>
      </c>
      <c r="R135" s="82">
        <f t="shared" ref="R135" si="447">R134</f>
        <v>0</v>
      </c>
      <c r="S135" s="82">
        <f t="shared" si="445"/>
        <v>0</v>
      </c>
      <c r="T135" s="82">
        <f t="shared" si="445"/>
        <v>0</v>
      </c>
      <c r="U135" s="252">
        <f t="shared" si="436"/>
        <v>0</v>
      </c>
      <c r="V135" s="82">
        <f t="shared" si="445"/>
        <v>0</v>
      </c>
      <c r="W135" s="82">
        <f t="shared" si="445"/>
        <v>0</v>
      </c>
      <c r="X135" s="82">
        <f>'izvršenje PO IZVORIMA-detaljno'!AH135+'izvršenje PO IZVORIMA-detaljno'!AK135+'izvršenje PO IZVORIMA-detaljno'!AA135</f>
        <v>0</v>
      </c>
      <c r="Y135" s="82">
        <f>'izvršenje PO IZVORIMA-detaljno'!AI135+'izvršenje PO IZVORIMA-detaljno'!AL135+'izvršenje PO IZVORIMA-detaljno'!AB135</f>
        <v>0</v>
      </c>
      <c r="Z135" s="112">
        <f t="shared" si="445"/>
        <v>1157.26</v>
      </c>
      <c r="AA135" s="252">
        <f t="shared" si="437"/>
        <v>0</v>
      </c>
      <c r="AB135" s="417"/>
      <c r="AC135" s="417">
        <f>'izvršenje PO IZVORIMA-detaljno'!G135+'izvršenje PO IZVORIMA-detaljno'!M135</f>
        <v>0</v>
      </c>
      <c r="AD135" s="82">
        <f t="shared" si="445"/>
        <v>0</v>
      </c>
      <c r="AE135" s="252">
        <f t="shared" si="438"/>
        <v>0</v>
      </c>
      <c r="AF135" s="108"/>
      <c r="AG135" s="108">
        <f>'izvršenje PO IZVORIMA-detaljno'!J135+'izvršenje PO IZVORIMA-detaljno'!P135</f>
        <v>0</v>
      </c>
      <c r="AH135" s="82">
        <f t="shared" si="445"/>
        <v>0</v>
      </c>
      <c r="AI135" s="252">
        <f t="shared" si="439"/>
        <v>0</v>
      </c>
      <c r="AJ135" s="82"/>
      <c r="AK135" s="82">
        <f>'izvršenje PO IZVORIMA-detaljno'!S135</f>
        <v>0</v>
      </c>
      <c r="AL135" s="82">
        <f t="shared" si="445"/>
        <v>270.87</v>
      </c>
      <c r="AM135" s="252">
        <f t="shared" si="440"/>
        <v>0</v>
      </c>
      <c r="AN135" s="82">
        <f>SUM(AN134)</f>
        <v>1000.7299754462804</v>
      </c>
      <c r="AO135" s="82">
        <f>'izvršenje PO IZVORIMA-detaljno'!AO135</f>
        <v>0</v>
      </c>
      <c r="AP135" s="82">
        <f t="shared" si="445"/>
        <v>1218</v>
      </c>
      <c r="AQ135" s="252">
        <f t="shared" si="441"/>
        <v>0</v>
      </c>
      <c r="AR135" s="82">
        <f>'izvršenje PO IZVORIMA-detaljno'!AQ135</f>
        <v>0</v>
      </c>
      <c r="AS135" s="82">
        <f>'izvršenje PO IZVORIMA-detaljno'!AR135</f>
        <v>0</v>
      </c>
      <c r="AT135" s="82">
        <f t="shared" ref="AT135" si="448">AT134</f>
        <v>0</v>
      </c>
      <c r="AU135" s="252">
        <f t="shared" si="442"/>
        <v>0</v>
      </c>
      <c r="AV135" s="82">
        <f t="shared" ref="AV135:AX135" si="449">AV134</f>
        <v>0</v>
      </c>
      <c r="AW135" s="83">
        <f t="shared" si="449"/>
        <v>0</v>
      </c>
      <c r="AX135" s="407">
        <f t="shared" si="449"/>
        <v>0</v>
      </c>
      <c r="AY135" s="83">
        <f t="shared" ref="AY135:AZ135" si="450">AY134</f>
        <v>0</v>
      </c>
      <c r="AZ135" s="112">
        <f t="shared" si="450"/>
        <v>0</v>
      </c>
      <c r="BA135" s="407">
        <f t="shared" ref="BA135:BB135" si="451">BA134</f>
        <v>0</v>
      </c>
      <c r="BB135" s="83">
        <f t="shared" si="451"/>
        <v>0</v>
      </c>
      <c r="BC135" s="411">
        <f>AV135+AS135+AO135+AK135+AG135+AC135+Y135+V135+S135+O135+L135+I135+AY135</f>
        <v>0</v>
      </c>
      <c r="BD135" s="83">
        <f t="shared" ref="BD135" si="452">BD134</f>
        <v>2646.13</v>
      </c>
      <c r="BE135" s="76">
        <v>3292</v>
      </c>
      <c r="BF135" s="522"/>
      <c r="BG135" s="484"/>
      <c r="BH135" s="484"/>
      <c r="BI135" s="527"/>
      <c r="BJ135" s="484"/>
      <c r="BK135" s="484"/>
      <c r="BL135" s="484"/>
      <c r="BM135" s="484"/>
    </row>
    <row r="136" spans="1:65" ht="15.75" thickBot="1" x14ac:dyDescent="0.3">
      <c r="A136" s="77">
        <v>329311</v>
      </c>
      <c r="B136" s="502" t="s">
        <v>94</v>
      </c>
      <c r="C136" s="75">
        <f t="shared" si="424"/>
        <v>10833.111686243279</v>
      </c>
      <c r="D136" s="71"/>
      <c r="E136" s="122">
        <f t="shared" si="425"/>
        <v>87131.62000000001</v>
      </c>
      <c r="F136" s="246">
        <f t="shared" si="275"/>
        <v>804.3083328555216</v>
      </c>
      <c r="G136" s="247">
        <f t="shared" si="276"/>
        <v>0</v>
      </c>
      <c r="H136" s="124"/>
      <c r="I136" s="124"/>
      <c r="J136" s="51"/>
      <c r="K136" s="1292">
        <f t="shared" si="399"/>
        <v>0</v>
      </c>
      <c r="L136" s="52"/>
      <c r="M136" s="51"/>
      <c r="N136" s="1419">
        <f>'izvršenje PO IZVORIMA-detaljno'!V136</f>
        <v>363.10704094498635</v>
      </c>
      <c r="O136" s="1314"/>
      <c r="P136" s="1326">
        <f>'izvršenje PO IZVORIMA-detaljno'!X136</f>
        <v>39.699999999999989</v>
      </c>
      <c r="Q136" s="1325">
        <f t="shared" si="435"/>
        <v>0</v>
      </c>
      <c r="R136" s="1326">
        <f>'izvršenje PO IZVORIMA-detaljno'!Y136</f>
        <v>398.16842524387812</v>
      </c>
      <c r="S136" s="1314"/>
      <c r="T136" s="1326">
        <f>'izvršenje PO IZVORIMA-detaljno'!AA136</f>
        <v>945.06</v>
      </c>
      <c r="U136" s="1325">
        <f t="shared" si="436"/>
        <v>0</v>
      </c>
      <c r="V136" s="1314"/>
      <c r="W136" s="1315"/>
      <c r="X136" s="1307"/>
      <c r="Y136" s="1307"/>
      <c r="Z136" s="1326">
        <f>'izvršenje PO IZVORIMA-detaljno'!AM136+'izvršenje PO IZVORIMA-detaljno'!AJ136+'izvršenje PO IZVORIMA-detaljno'!AC136</f>
        <v>0</v>
      </c>
      <c r="AA136" s="1325">
        <f t="shared" si="437"/>
        <v>0</v>
      </c>
      <c r="AB136" s="1357"/>
      <c r="AC136" s="1357"/>
      <c r="AD136" s="1372">
        <f>'izvršenje PO IZVORIMA-detaljno'!H136+'izvršenje PO IZVORIMA-detaljno'!N136</f>
        <v>754.93999999999994</v>
      </c>
      <c r="AE136" s="1371">
        <f t="shared" si="438"/>
        <v>0</v>
      </c>
      <c r="AF136" s="1372">
        <f>'izvršenje PO IZVORIMA-detaljno'!I136+'izvršenje PO IZVORIMA-detaljno'!O136</f>
        <v>9893.6558497577789</v>
      </c>
      <c r="AG136" s="1357"/>
      <c r="AH136" s="1372">
        <f>'izvršenje PO IZVORIMA-detaljno'!K136+'izvršenje PO IZVORIMA-detaljno'!Q136</f>
        <v>85170.840000000011</v>
      </c>
      <c r="AI136" s="1371">
        <f t="shared" si="439"/>
        <v>0</v>
      </c>
      <c r="AJ136" s="1357"/>
      <c r="AK136" s="1357"/>
      <c r="AL136" s="1383">
        <f>'izvršenje PO IZVORIMA-detaljno'!T136+'izvršenje PO IZVORIMA-detaljno'!U136</f>
        <v>0</v>
      </c>
      <c r="AM136" s="1371">
        <f t="shared" si="440"/>
        <v>0</v>
      </c>
      <c r="AN136" s="1372">
        <f>'izvršenje PO IZVORIMA-detaljno'!AN136</f>
        <v>178.18037029663546</v>
      </c>
      <c r="AO136" s="1357"/>
      <c r="AP136" s="1372">
        <f>'izvršenje PO IZVORIMA-detaljno'!AP136</f>
        <v>221.08000000000004</v>
      </c>
      <c r="AQ136" s="1371">
        <f t="shared" si="441"/>
        <v>0</v>
      </c>
      <c r="AR136" s="1357"/>
      <c r="AS136" s="1357"/>
      <c r="AT136" s="1370"/>
      <c r="AU136" s="1371">
        <f t="shared" si="442"/>
        <v>0</v>
      </c>
      <c r="AV136" s="1357"/>
      <c r="AW136" s="1358"/>
      <c r="AX136" s="1435"/>
      <c r="AY136" s="1401"/>
      <c r="AZ136" s="1444"/>
      <c r="BA136" s="180"/>
      <c r="BB136" s="178"/>
      <c r="BC136" s="57"/>
      <c r="BD136" s="126">
        <f>J136+M136+P136+T136+W136+Z136+AD136+AH136+AL136+AP136+AT136+AW136</f>
        <v>87131.62000000001</v>
      </c>
      <c r="BE136" s="77">
        <v>329311</v>
      </c>
      <c r="BG136" s="484"/>
      <c r="BH136" s="484"/>
      <c r="BI136" s="527"/>
    </row>
    <row r="137" spans="1:65" s="22" customFormat="1" ht="15.75" thickBot="1" x14ac:dyDescent="0.3">
      <c r="A137" s="76">
        <v>3293</v>
      </c>
      <c r="B137" s="505" t="s">
        <v>94</v>
      </c>
      <c r="C137" s="82">
        <f>SUM(C136)</f>
        <v>10833.111686243279</v>
      </c>
      <c r="D137" s="82">
        <f t="shared" ref="D137:E137" si="453">D136</f>
        <v>0</v>
      </c>
      <c r="E137" s="83">
        <f t="shared" si="453"/>
        <v>87131.62000000001</v>
      </c>
      <c r="F137" s="253">
        <f t="shared" si="275"/>
        <v>804.3083328555216</v>
      </c>
      <c r="G137" s="252">
        <f t="shared" si="276"/>
        <v>0</v>
      </c>
      <c r="H137" s="411">
        <f t="shared" ref="H137" si="454">H136</f>
        <v>0</v>
      </c>
      <c r="I137" s="115">
        <f t="shared" ref="I137:AP137" si="455">I136</f>
        <v>0</v>
      </c>
      <c r="J137" s="82">
        <f t="shared" si="455"/>
        <v>0</v>
      </c>
      <c r="K137" s="252">
        <f t="shared" si="399"/>
        <v>0</v>
      </c>
      <c r="L137" s="82">
        <f t="shared" si="455"/>
        <v>0</v>
      </c>
      <c r="M137" s="112">
        <f t="shared" si="455"/>
        <v>0</v>
      </c>
      <c r="N137" s="417">
        <f>N136</f>
        <v>363.10704094498635</v>
      </c>
      <c r="O137" s="82">
        <f t="shared" si="455"/>
        <v>0</v>
      </c>
      <c r="P137" s="82">
        <f t="shared" si="455"/>
        <v>39.699999999999989</v>
      </c>
      <c r="Q137" s="252">
        <f t="shared" si="435"/>
        <v>0</v>
      </c>
      <c r="R137" s="82">
        <f>R136</f>
        <v>398.16842524387812</v>
      </c>
      <c r="S137" s="82">
        <f t="shared" si="455"/>
        <v>0</v>
      </c>
      <c r="T137" s="82">
        <f>T136</f>
        <v>945.06</v>
      </c>
      <c r="U137" s="252">
        <f t="shared" si="436"/>
        <v>0</v>
      </c>
      <c r="V137" s="82">
        <f t="shared" si="455"/>
        <v>0</v>
      </c>
      <c r="W137" s="82">
        <f t="shared" si="455"/>
        <v>0</v>
      </c>
      <c r="X137" s="82"/>
      <c r="Y137" s="82">
        <f>'izvršenje PO IZVORIMA-detaljno'!AI137+'izvršenje PO IZVORIMA-detaljno'!AL137+'izvršenje PO IZVORIMA-detaljno'!AB137</f>
        <v>0</v>
      </c>
      <c r="Z137" s="112">
        <f>Z136</f>
        <v>0</v>
      </c>
      <c r="AA137" s="252">
        <f t="shared" si="437"/>
        <v>0</v>
      </c>
      <c r="AB137" s="417"/>
      <c r="AC137" s="417">
        <f>'izvršenje PO IZVORIMA-detaljno'!G137+'izvršenje PO IZVORIMA-detaljno'!M137</f>
        <v>0</v>
      </c>
      <c r="AD137" s="82">
        <f t="shared" si="455"/>
        <v>754.93999999999994</v>
      </c>
      <c r="AE137" s="252">
        <f t="shared" si="438"/>
        <v>0</v>
      </c>
      <c r="AF137" s="108">
        <f>SUM(AF136)</f>
        <v>9893.6558497577789</v>
      </c>
      <c r="AG137" s="108">
        <f>'izvršenje PO IZVORIMA-detaljno'!J137+'izvršenje PO IZVORIMA-detaljno'!P137</f>
        <v>0</v>
      </c>
      <c r="AH137" s="82">
        <f t="shared" si="455"/>
        <v>85170.840000000011</v>
      </c>
      <c r="AI137" s="252">
        <f t="shared" si="439"/>
        <v>0</v>
      </c>
      <c r="AJ137" s="82"/>
      <c r="AK137" s="82">
        <f>'izvršenje PO IZVORIMA-detaljno'!S137</f>
        <v>0</v>
      </c>
      <c r="AL137" s="82">
        <f t="shared" si="455"/>
        <v>0</v>
      </c>
      <c r="AM137" s="252">
        <f t="shared" si="440"/>
        <v>0</v>
      </c>
      <c r="AN137" s="82">
        <f>SUM(AN136)</f>
        <v>178.18037029663546</v>
      </c>
      <c r="AO137" s="82">
        <f>'izvršenje PO IZVORIMA-detaljno'!AO137</f>
        <v>0</v>
      </c>
      <c r="AP137" s="82">
        <f t="shared" si="455"/>
        <v>221.08000000000004</v>
      </c>
      <c r="AQ137" s="252">
        <f t="shared" si="441"/>
        <v>0</v>
      </c>
      <c r="AR137" s="82">
        <f>'izvršenje PO IZVORIMA-detaljno'!AQ137</f>
        <v>0</v>
      </c>
      <c r="AS137" s="82">
        <f>'izvršenje PO IZVORIMA-detaljno'!AR137</f>
        <v>0</v>
      </c>
      <c r="AT137" s="82">
        <f t="shared" ref="AT137" si="456">AT136</f>
        <v>0</v>
      </c>
      <c r="AU137" s="252">
        <f t="shared" si="442"/>
        <v>0</v>
      </c>
      <c r="AV137" s="82">
        <f t="shared" ref="AV137:AX137" si="457">AV136</f>
        <v>0</v>
      </c>
      <c r="AW137" s="83">
        <f t="shared" si="457"/>
        <v>0</v>
      </c>
      <c r="AX137" s="407">
        <f t="shared" si="457"/>
        <v>0</v>
      </c>
      <c r="AY137" s="83">
        <f t="shared" ref="AY137:AZ137" si="458">AY136</f>
        <v>0</v>
      </c>
      <c r="AZ137" s="112">
        <f t="shared" si="458"/>
        <v>0</v>
      </c>
      <c r="BA137" s="407">
        <f t="shared" ref="BA137:BB137" si="459">BA136</f>
        <v>0</v>
      </c>
      <c r="BB137" s="83">
        <f t="shared" si="459"/>
        <v>0</v>
      </c>
      <c r="BC137" s="411">
        <f>AV137+AS137+AO137+AK137+AG137+AC137+Y137+V137+S137+O137+L137+I137+AY137</f>
        <v>0</v>
      </c>
      <c r="BD137" s="83">
        <f t="shared" ref="BD137" si="460">BD136</f>
        <v>87131.62000000001</v>
      </c>
      <c r="BE137" s="76">
        <v>3293</v>
      </c>
      <c r="BF137" s="522"/>
      <c r="BG137" s="484"/>
      <c r="BH137" s="484"/>
      <c r="BI137" s="527"/>
      <c r="BJ137" s="484"/>
      <c r="BK137" s="484"/>
      <c r="BL137" s="484"/>
      <c r="BM137" s="484"/>
    </row>
    <row r="138" spans="1:65" s="2" customFormat="1" ht="15.75" thickBot="1" x14ac:dyDescent="0.3">
      <c r="A138" s="77">
        <v>329411</v>
      </c>
      <c r="B138" s="502" t="s">
        <v>97</v>
      </c>
      <c r="C138" s="75">
        <f t="shared" si="424"/>
        <v>564.07193576216071</v>
      </c>
      <c r="D138" s="71"/>
      <c r="E138" s="122">
        <f t="shared" si="425"/>
        <v>565.89</v>
      </c>
      <c r="F138" s="246">
        <f t="shared" si="275"/>
        <v>100.32231070588236</v>
      </c>
      <c r="G138" s="247">
        <f t="shared" si="276"/>
        <v>0</v>
      </c>
      <c r="H138" s="125"/>
      <c r="I138" s="125"/>
      <c r="J138" s="60"/>
      <c r="K138" s="1292">
        <f t="shared" si="399"/>
        <v>0</v>
      </c>
      <c r="L138" s="59"/>
      <c r="M138" s="60"/>
      <c r="N138" s="1420">
        <f>'izvršenje PO IZVORIMA-detaljno'!V138</f>
        <v>33.180702103656515</v>
      </c>
      <c r="O138" s="1328"/>
      <c r="P138" s="1330">
        <f>'izvršenje PO IZVORIMA-detaljno'!X138</f>
        <v>35</v>
      </c>
      <c r="Q138" s="1325">
        <f t="shared" si="435"/>
        <v>0</v>
      </c>
      <c r="R138" s="1328"/>
      <c r="S138" s="1328"/>
      <c r="T138" s="1326">
        <f>'izvršenje PO IZVORIMA-detaljno'!AA138</f>
        <v>0</v>
      </c>
      <c r="U138" s="1325">
        <f t="shared" si="436"/>
        <v>0</v>
      </c>
      <c r="V138" s="1328"/>
      <c r="W138" s="1329"/>
      <c r="X138" s="1307"/>
      <c r="Y138" s="1307"/>
      <c r="Z138" s="1326">
        <f>'izvršenje PO IZVORIMA-detaljno'!AM138+'izvršenje PO IZVORIMA-detaljno'!AJ138+'izvršenje PO IZVORIMA-detaljno'!AC138</f>
        <v>0</v>
      </c>
      <c r="AA138" s="1325">
        <f t="shared" si="437"/>
        <v>0</v>
      </c>
      <c r="AB138" s="1380"/>
      <c r="AC138" s="1380"/>
      <c r="AD138" s="1372">
        <f>'izvršenje PO IZVORIMA-detaljno'!H138+'izvršenje PO IZVORIMA-detaljno'!N138</f>
        <v>0</v>
      </c>
      <c r="AE138" s="1371">
        <f t="shared" si="438"/>
        <v>0</v>
      </c>
      <c r="AF138" s="1380"/>
      <c r="AG138" s="1380"/>
      <c r="AH138" s="1372">
        <f>'izvršenje PO IZVORIMA-detaljno'!K138+'izvršenje PO IZVORIMA-detaljno'!Q138</f>
        <v>0</v>
      </c>
      <c r="AI138" s="1371">
        <f t="shared" si="439"/>
        <v>0</v>
      </c>
      <c r="AJ138" s="1380"/>
      <c r="AK138" s="1380"/>
      <c r="AL138" s="1381"/>
      <c r="AM138" s="1371">
        <f t="shared" si="440"/>
        <v>0</v>
      </c>
      <c r="AN138" s="1383">
        <f>'izvršenje PO IZVORIMA-detaljno'!AN138</f>
        <v>530.89123365850423</v>
      </c>
      <c r="AO138" s="1380"/>
      <c r="AP138" s="1383">
        <f>'izvršenje PO IZVORIMA-detaljno'!AP138</f>
        <v>530.89</v>
      </c>
      <c r="AQ138" s="1371">
        <f t="shared" si="441"/>
        <v>0</v>
      </c>
      <c r="AR138" s="1380"/>
      <c r="AS138" s="1380"/>
      <c r="AT138" s="1381"/>
      <c r="AU138" s="1371">
        <f t="shared" si="442"/>
        <v>0</v>
      </c>
      <c r="AV138" s="1380"/>
      <c r="AW138" s="1382"/>
      <c r="AX138" s="1437"/>
      <c r="AY138" s="1403"/>
      <c r="AZ138" s="1450"/>
      <c r="BA138" s="208"/>
      <c r="BB138" s="210"/>
      <c r="BC138" s="61"/>
      <c r="BD138" s="126">
        <f>J138+M138+P138+T138+W138+Z138+AD138+AH138+AL138+AP138+AT138+AW138</f>
        <v>565.89</v>
      </c>
      <c r="BE138" s="77">
        <v>329411</v>
      </c>
      <c r="BF138" s="254"/>
      <c r="BG138" s="489"/>
      <c r="BH138" s="489"/>
      <c r="BI138" s="529"/>
      <c r="BJ138" s="486"/>
      <c r="BK138" s="486"/>
      <c r="BL138" s="486"/>
      <c r="BM138" s="486"/>
    </row>
    <row r="139" spans="1:65" s="22" customFormat="1" ht="15.75" thickBot="1" x14ac:dyDescent="0.3">
      <c r="A139" s="76">
        <v>3294</v>
      </c>
      <c r="B139" s="505" t="s">
        <v>98</v>
      </c>
      <c r="C139" s="82">
        <f>SUM(C138)</f>
        <v>564.07193576216071</v>
      </c>
      <c r="D139" s="82">
        <f t="shared" ref="D139:E139" si="461">D138</f>
        <v>0</v>
      </c>
      <c r="E139" s="83">
        <f t="shared" si="461"/>
        <v>565.89</v>
      </c>
      <c r="F139" s="253">
        <f t="shared" si="275"/>
        <v>100.32231070588236</v>
      </c>
      <c r="G139" s="252">
        <f t="shared" si="276"/>
        <v>0</v>
      </c>
      <c r="H139" s="411">
        <f t="shared" ref="H139" si="462">H138</f>
        <v>0</v>
      </c>
      <c r="I139" s="115">
        <f t="shared" ref="I139:AL139" si="463">I138</f>
        <v>0</v>
      </c>
      <c r="J139" s="82">
        <f t="shared" si="463"/>
        <v>0</v>
      </c>
      <c r="K139" s="252">
        <f t="shared" si="399"/>
        <v>0</v>
      </c>
      <c r="L139" s="82">
        <f t="shared" si="463"/>
        <v>0</v>
      </c>
      <c r="M139" s="112">
        <f t="shared" si="463"/>
        <v>0</v>
      </c>
      <c r="N139" s="417">
        <f>N138</f>
        <v>33.180702103656515</v>
      </c>
      <c r="O139" s="82">
        <f t="shared" si="463"/>
        <v>0</v>
      </c>
      <c r="P139" s="82">
        <f t="shared" si="463"/>
        <v>35</v>
      </c>
      <c r="Q139" s="252">
        <f t="shared" si="435"/>
        <v>0</v>
      </c>
      <c r="R139" s="82">
        <f t="shared" ref="R139" si="464">R138</f>
        <v>0</v>
      </c>
      <c r="S139" s="82">
        <f t="shared" si="463"/>
        <v>0</v>
      </c>
      <c r="T139" s="82">
        <f t="shared" si="463"/>
        <v>0</v>
      </c>
      <c r="U139" s="252">
        <f t="shared" si="436"/>
        <v>0</v>
      </c>
      <c r="V139" s="82">
        <f t="shared" si="463"/>
        <v>0</v>
      </c>
      <c r="W139" s="82">
        <f t="shared" si="463"/>
        <v>0</v>
      </c>
      <c r="X139" s="82">
        <f>'izvršenje PO IZVORIMA-detaljno'!AH139+'izvršenje PO IZVORIMA-detaljno'!AK139+'izvršenje PO IZVORIMA-detaljno'!AA139</f>
        <v>0</v>
      </c>
      <c r="Y139" s="82">
        <f>'izvršenje PO IZVORIMA-detaljno'!AI139+'izvršenje PO IZVORIMA-detaljno'!AL139+'izvršenje PO IZVORIMA-detaljno'!AB139</f>
        <v>0</v>
      </c>
      <c r="Z139" s="112">
        <f t="shared" si="463"/>
        <v>0</v>
      </c>
      <c r="AA139" s="252">
        <f t="shared" si="437"/>
        <v>0</v>
      </c>
      <c r="AB139" s="417"/>
      <c r="AC139" s="417">
        <f>'izvršenje PO IZVORIMA-detaljno'!G139+'izvršenje PO IZVORIMA-detaljno'!M139</f>
        <v>0</v>
      </c>
      <c r="AD139" s="82">
        <f t="shared" si="463"/>
        <v>0</v>
      </c>
      <c r="AE139" s="252">
        <f t="shared" si="438"/>
        <v>0</v>
      </c>
      <c r="AF139" s="108"/>
      <c r="AG139" s="108">
        <f>'izvršenje PO IZVORIMA-detaljno'!J139+'izvršenje PO IZVORIMA-detaljno'!P139</f>
        <v>0</v>
      </c>
      <c r="AH139" s="82">
        <f t="shared" si="463"/>
        <v>0</v>
      </c>
      <c r="AI139" s="252">
        <f t="shared" si="439"/>
        <v>0</v>
      </c>
      <c r="AJ139" s="82"/>
      <c r="AK139" s="82">
        <f>'izvršenje PO IZVORIMA-detaljno'!S139</f>
        <v>0</v>
      </c>
      <c r="AL139" s="82">
        <f t="shared" si="463"/>
        <v>0</v>
      </c>
      <c r="AM139" s="252">
        <f t="shared" si="440"/>
        <v>0</v>
      </c>
      <c r="AN139" s="82">
        <f>SUM(AN138)</f>
        <v>530.89123365850423</v>
      </c>
      <c r="AO139" s="82">
        <f>'izvršenje PO IZVORIMA-detaljno'!AO139</f>
        <v>0</v>
      </c>
      <c r="AP139" s="82">
        <f>AP138</f>
        <v>530.89</v>
      </c>
      <c r="AQ139" s="252">
        <f t="shared" si="441"/>
        <v>0</v>
      </c>
      <c r="AR139" s="82">
        <f>'izvršenje PO IZVORIMA-detaljno'!AQ139</f>
        <v>0</v>
      </c>
      <c r="AS139" s="82">
        <f>'izvršenje PO IZVORIMA-detaljno'!AR139</f>
        <v>0</v>
      </c>
      <c r="AT139" s="82">
        <f t="shared" ref="AT139" si="465">AT138</f>
        <v>0</v>
      </c>
      <c r="AU139" s="252">
        <f t="shared" si="442"/>
        <v>0</v>
      </c>
      <c r="AV139" s="82">
        <f t="shared" ref="AV139:AX139" si="466">AV138</f>
        <v>0</v>
      </c>
      <c r="AW139" s="83">
        <f t="shared" si="466"/>
        <v>0</v>
      </c>
      <c r="AX139" s="407">
        <f t="shared" si="466"/>
        <v>0</v>
      </c>
      <c r="AY139" s="83">
        <f t="shared" ref="AY139:AZ139" si="467">AY138</f>
        <v>0</v>
      </c>
      <c r="AZ139" s="112">
        <f t="shared" si="467"/>
        <v>0</v>
      </c>
      <c r="BA139" s="407">
        <f t="shared" ref="BA139:BB139" si="468">BA138</f>
        <v>0</v>
      </c>
      <c r="BB139" s="83">
        <f t="shared" si="468"/>
        <v>0</v>
      </c>
      <c r="BC139" s="411">
        <f>AV139+AS139+AO139+AK139+AG139+AC139+Y139+V139+S139+O139+L139+I139+AY139</f>
        <v>0</v>
      </c>
      <c r="BD139" s="83">
        <f t="shared" ref="BD139" si="469">BD138</f>
        <v>565.89</v>
      </c>
      <c r="BE139" s="76">
        <v>3294</v>
      </c>
      <c r="BF139" s="522"/>
      <c r="BG139" s="484"/>
      <c r="BH139" s="484"/>
      <c r="BI139" s="527"/>
      <c r="BJ139" s="484"/>
      <c r="BK139" s="484"/>
      <c r="BL139" s="484"/>
      <c r="BM139" s="484"/>
    </row>
    <row r="140" spans="1:65" x14ac:dyDescent="0.25">
      <c r="A140" s="62">
        <v>329521</v>
      </c>
      <c r="B140" s="498" t="s">
        <v>99</v>
      </c>
      <c r="C140" s="75">
        <f t="shared" si="424"/>
        <v>149.31315946645429</v>
      </c>
      <c r="D140" s="69"/>
      <c r="E140" s="122">
        <f t="shared" si="425"/>
        <v>0</v>
      </c>
      <c r="F140" s="240">
        <f t="shared" si="275"/>
        <v>0</v>
      </c>
      <c r="G140" s="241">
        <f t="shared" si="276"/>
        <v>0</v>
      </c>
      <c r="H140" s="123">
        <f>'izvršenje PO IZVORIMA-detaljno'!C140</f>
        <v>82.951755259141279</v>
      </c>
      <c r="I140" s="124"/>
      <c r="J140" s="176">
        <f>'izvršenje PO IZVORIMA-detaljno'!E140</f>
        <v>0</v>
      </c>
      <c r="K140" s="1286">
        <f t="shared" si="399"/>
        <v>0</v>
      </c>
      <c r="L140" s="52"/>
      <c r="M140" s="51"/>
      <c r="N140" s="1419">
        <f>'izvršenje PO IZVORIMA-detaljno'!V140</f>
        <v>33.180702103656515</v>
      </c>
      <c r="O140" s="1314"/>
      <c r="P140" s="1326">
        <f>'izvršenje PO IZVORIMA-detaljno'!X140</f>
        <v>0</v>
      </c>
      <c r="Q140" s="1309">
        <f t="shared" si="435"/>
        <v>0</v>
      </c>
      <c r="R140" s="1314"/>
      <c r="S140" s="1314"/>
      <c r="T140" s="1326">
        <f>'izvršenje PO IZVORIMA-detaljno'!AA140</f>
        <v>0</v>
      </c>
      <c r="U140" s="1309">
        <f t="shared" si="436"/>
        <v>0</v>
      </c>
      <c r="V140" s="1314"/>
      <c r="W140" s="1315"/>
      <c r="X140" s="1307"/>
      <c r="Y140" s="1307"/>
      <c r="Z140" s="1326">
        <f>'izvršenje PO IZVORIMA-detaljno'!AM140+'izvršenje PO IZVORIMA-detaljno'!AJ140+'izvršenje PO IZVORIMA-detaljno'!AC140</f>
        <v>0</v>
      </c>
      <c r="AA140" s="1309">
        <f t="shared" si="437"/>
        <v>0</v>
      </c>
      <c r="AB140" s="1357"/>
      <c r="AC140" s="1357"/>
      <c r="AD140" s="1372">
        <f>'izvršenje PO IZVORIMA-detaljno'!H140+'izvršenje PO IZVORIMA-detaljno'!N140</f>
        <v>0</v>
      </c>
      <c r="AE140" s="1350">
        <f t="shared" si="438"/>
        <v>0</v>
      </c>
      <c r="AF140" s="1357"/>
      <c r="AG140" s="1357"/>
      <c r="AH140" s="1372">
        <f>'izvršenje PO IZVORIMA-detaljno'!K140+'izvršenje PO IZVORIMA-detaljno'!Q140</f>
        <v>0</v>
      </c>
      <c r="AI140" s="1350">
        <f t="shared" si="439"/>
        <v>0</v>
      </c>
      <c r="AJ140" s="1357"/>
      <c r="AK140" s="1357"/>
      <c r="AL140" s="1383">
        <f>'izvršenje PO IZVORIMA-detaljno'!T140+'izvršenje PO IZVORIMA-detaljno'!U140</f>
        <v>0</v>
      </c>
      <c r="AM140" s="1350">
        <f t="shared" si="440"/>
        <v>0</v>
      </c>
      <c r="AN140" s="1372">
        <f>'izvršenje PO IZVORIMA-detaljno'!AN140</f>
        <v>33.180702103656515</v>
      </c>
      <c r="AO140" s="1357"/>
      <c r="AP140" s="1372">
        <f>'izvršenje PO IZVORIMA-detaljno'!AP140</f>
        <v>0</v>
      </c>
      <c r="AQ140" s="1350">
        <f t="shared" si="441"/>
        <v>0</v>
      </c>
      <c r="AR140" s="1357"/>
      <c r="AS140" s="1357"/>
      <c r="AT140" s="1383">
        <f>'izvršenje PO IZVORIMA-detaljno'!AS140</f>
        <v>0</v>
      </c>
      <c r="AU140" s="1350">
        <f t="shared" si="442"/>
        <v>0</v>
      </c>
      <c r="AV140" s="1357"/>
      <c r="AW140" s="1358"/>
      <c r="AX140" s="1435"/>
      <c r="AY140" s="1401"/>
      <c r="AZ140" s="1444"/>
      <c r="BA140" s="180"/>
      <c r="BB140" s="178"/>
      <c r="BC140" s="57"/>
      <c r="BD140" s="126">
        <f>J140+M140+P140+T140+W140+Z140+AD140+AH140+AL140+AP140+AT140+AW140</f>
        <v>0</v>
      </c>
      <c r="BE140" s="62">
        <v>329521</v>
      </c>
      <c r="BG140" s="484"/>
      <c r="BH140" s="484"/>
      <c r="BI140" s="527"/>
    </row>
    <row r="141" spans="1:65" s="6" customFormat="1" x14ac:dyDescent="0.25">
      <c r="A141" s="44">
        <v>329531</v>
      </c>
      <c r="B141" s="499" t="s">
        <v>100</v>
      </c>
      <c r="C141" s="75">
        <f t="shared" si="424"/>
        <v>262.12754661888641</v>
      </c>
      <c r="D141" s="5"/>
      <c r="E141" s="122">
        <f t="shared" si="425"/>
        <v>359.22</v>
      </c>
      <c r="F141" s="235">
        <f t="shared" ref="F141:F205" si="470">IF(C141&lt;&gt;0,E141/C141*100,0)</f>
        <v>137.04015645569623</v>
      </c>
      <c r="G141" s="237">
        <f t="shared" ref="G141:G205" si="471">IF(D141&lt;&gt;0,E141/D141*100,0)</f>
        <v>0</v>
      </c>
      <c r="H141" s="123">
        <f>'izvršenje PO IZVORIMA-detaljno'!C141</f>
        <v>0</v>
      </c>
      <c r="I141" s="124"/>
      <c r="J141" s="176">
        <f>'izvršenje PO IZVORIMA-detaljno'!E141</f>
        <v>0</v>
      </c>
      <c r="K141" s="1287">
        <f t="shared" si="399"/>
        <v>0</v>
      </c>
      <c r="L141" s="52"/>
      <c r="M141" s="51"/>
      <c r="N141" s="1419">
        <f>'izvršenje PO IZVORIMA-detaljno'!V141</f>
        <v>262.12754661888641</v>
      </c>
      <c r="O141" s="1314"/>
      <c r="P141" s="1326">
        <f>'izvršenje PO IZVORIMA-detaljno'!X141</f>
        <v>0</v>
      </c>
      <c r="Q141" s="1313">
        <f t="shared" si="435"/>
        <v>0</v>
      </c>
      <c r="R141" s="1314"/>
      <c r="S141" s="1314"/>
      <c r="T141" s="1326">
        <f>'izvršenje PO IZVORIMA-detaljno'!AA141</f>
        <v>173.98000000000002</v>
      </c>
      <c r="U141" s="1313">
        <f t="shared" si="436"/>
        <v>0</v>
      </c>
      <c r="V141" s="1314"/>
      <c r="W141" s="1315"/>
      <c r="X141" s="1307"/>
      <c r="Y141" s="1307"/>
      <c r="Z141" s="1326">
        <f>'izvršenje PO IZVORIMA-detaljno'!AM141+'izvršenje PO IZVORIMA-detaljno'!AJ141+'izvršenje PO IZVORIMA-detaljno'!AC141</f>
        <v>0</v>
      </c>
      <c r="AA141" s="1313">
        <f t="shared" si="437"/>
        <v>0</v>
      </c>
      <c r="AB141" s="1357"/>
      <c r="AC141" s="1357"/>
      <c r="AD141" s="1372">
        <f>'izvršenje PO IZVORIMA-detaljno'!H141+'izvršenje PO IZVORIMA-detaljno'!N141</f>
        <v>0</v>
      </c>
      <c r="AE141" s="1355">
        <f t="shared" si="438"/>
        <v>0</v>
      </c>
      <c r="AF141" s="1357"/>
      <c r="AG141" s="1357"/>
      <c r="AH141" s="1372">
        <f>'izvršenje PO IZVORIMA-detaljno'!K141+'izvršenje PO IZVORIMA-detaljno'!Q141</f>
        <v>185.23999999999998</v>
      </c>
      <c r="AI141" s="1355">
        <f t="shared" si="439"/>
        <v>0</v>
      </c>
      <c r="AJ141" s="1357"/>
      <c r="AK141" s="1357"/>
      <c r="AL141" s="1383">
        <f>'izvršenje PO IZVORIMA-detaljno'!T141+'izvršenje PO IZVORIMA-detaljno'!U141</f>
        <v>0</v>
      </c>
      <c r="AM141" s="1355">
        <f t="shared" si="440"/>
        <v>0</v>
      </c>
      <c r="AN141" s="1372">
        <f>'izvršenje PO IZVORIMA-detaljno'!AN141</f>
        <v>0</v>
      </c>
      <c r="AO141" s="1357"/>
      <c r="AP141" s="1372">
        <f>'izvršenje PO IZVORIMA-detaljno'!AP141</f>
        <v>0</v>
      </c>
      <c r="AQ141" s="1355">
        <f t="shared" si="441"/>
        <v>0</v>
      </c>
      <c r="AR141" s="1357"/>
      <c r="AS141" s="1357"/>
      <c r="AT141" s="1383">
        <f>'izvršenje PO IZVORIMA-detaljno'!AS141</f>
        <v>0</v>
      </c>
      <c r="AU141" s="1355">
        <f t="shared" si="442"/>
        <v>0</v>
      </c>
      <c r="AV141" s="1357"/>
      <c r="AW141" s="1358"/>
      <c r="AX141" s="1435"/>
      <c r="AY141" s="1401"/>
      <c r="AZ141" s="1444"/>
      <c r="BA141" s="180"/>
      <c r="BB141" s="178"/>
      <c r="BC141" s="57"/>
      <c r="BD141" s="126">
        <f>J141+M141+P141+T141+W141+Z141+AD141+AH141+AL141+AP141+AT141+AW141</f>
        <v>359.22</v>
      </c>
      <c r="BE141" s="44">
        <v>329531</v>
      </c>
      <c r="BF141" s="518"/>
      <c r="BG141" s="493"/>
      <c r="BH141" s="493"/>
      <c r="BI141" s="530"/>
      <c r="BJ141" s="487"/>
      <c r="BK141" s="487"/>
      <c r="BL141" s="487"/>
      <c r="BM141" s="487"/>
    </row>
    <row r="142" spans="1:65" x14ac:dyDescent="0.25">
      <c r="A142" s="45">
        <v>329551</v>
      </c>
      <c r="B142" s="507" t="s">
        <v>101</v>
      </c>
      <c r="C142" s="75">
        <f t="shared" si="424"/>
        <v>2963.0366978565266</v>
      </c>
      <c r="D142" s="5"/>
      <c r="E142" s="122">
        <f t="shared" si="425"/>
        <v>3328.86</v>
      </c>
      <c r="F142" s="235">
        <f t="shared" si="470"/>
        <v>112.34622920492721</v>
      </c>
      <c r="G142" s="237">
        <f t="shared" si="471"/>
        <v>0</v>
      </c>
      <c r="H142" s="123">
        <f>'izvršenje PO IZVORIMA-detaljno'!C142</f>
        <v>2963.0366978565266</v>
      </c>
      <c r="I142" s="124"/>
      <c r="J142" s="176">
        <f>'izvršenje PO IZVORIMA-detaljno'!E142</f>
        <v>3328.86</v>
      </c>
      <c r="K142" s="1287">
        <f t="shared" si="399"/>
        <v>0</v>
      </c>
      <c r="L142" s="52"/>
      <c r="M142" s="51"/>
      <c r="N142" s="1419">
        <f>'izvršenje PO IZVORIMA-detaljno'!V142</f>
        <v>0</v>
      </c>
      <c r="O142" s="1314"/>
      <c r="P142" s="1326">
        <f>'izvršenje PO IZVORIMA-detaljno'!X142</f>
        <v>0</v>
      </c>
      <c r="Q142" s="1313">
        <f t="shared" si="435"/>
        <v>0</v>
      </c>
      <c r="R142" s="1314"/>
      <c r="S142" s="1314"/>
      <c r="T142" s="1326">
        <f>'izvršenje PO IZVORIMA-detaljno'!AA142</f>
        <v>0</v>
      </c>
      <c r="U142" s="1313">
        <f t="shared" si="436"/>
        <v>0</v>
      </c>
      <c r="V142" s="1314"/>
      <c r="W142" s="1315"/>
      <c r="X142" s="1307"/>
      <c r="Y142" s="1307"/>
      <c r="Z142" s="1326">
        <f>'izvršenje PO IZVORIMA-detaljno'!AM142+'izvršenje PO IZVORIMA-detaljno'!AJ142+'izvršenje PO IZVORIMA-detaljno'!AC142</f>
        <v>0</v>
      </c>
      <c r="AA142" s="1313">
        <f t="shared" si="437"/>
        <v>0</v>
      </c>
      <c r="AB142" s="1357"/>
      <c r="AC142" s="1357"/>
      <c r="AD142" s="1372">
        <f>'izvršenje PO IZVORIMA-detaljno'!H142+'izvršenje PO IZVORIMA-detaljno'!N142</f>
        <v>0</v>
      </c>
      <c r="AE142" s="1355">
        <f t="shared" si="438"/>
        <v>0</v>
      </c>
      <c r="AF142" s="1357"/>
      <c r="AG142" s="1357"/>
      <c r="AH142" s="1372">
        <f>'izvršenje PO IZVORIMA-detaljno'!K142+'izvršenje PO IZVORIMA-detaljno'!Q142</f>
        <v>0</v>
      </c>
      <c r="AI142" s="1355">
        <f t="shared" si="439"/>
        <v>0</v>
      </c>
      <c r="AJ142" s="1357"/>
      <c r="AK142" s="1357"/>
      <c r="AL142" s="1383">
        <f>'izvršenje PO IZVORIMA-detaljno'!T142+'izvršenje PO IZVORIMA-detaljno'!U142</f>
        <v>0</v>
      </c>
      <c r="AM142" s="1355">
        <f t="shared" si="440"/>
        <v>0</v>
      </c>
      <c r="AN142" s="1372">
        <f>'izvršenje PO IZVORIMA-detaljno'!AN142</f>
        <v>0</v>
      </c>
      <c r="AO142" s="1357"/>
      <c r="AP142" s="1372">
        <f>'izvršenje PO IZVORIMA-detaljno'!AP142</f>
        <v>0</v>
      </c>
      <c r="AQ142" s="1355">
        <f t="shared" si="441"/>
        <v>0</v>
      </c>
      <c r="AR142" s="1357"/>
      <c r="AS142" s="1357"/>
      <c r="AT142" s="1383">
        <f>'izvršenje PO IZVORIMA-detaljno'!AS142</f>
        <v>0</v>
      </c>
      <c r="AU142" s="1355">
        <f t="shared" si="442"/>
        <v>0</v>
      </c>
      <c r="AV142" s="1357"/>
      <c r="AW142" s="1358"/>
      <c r="AX142" s="1435"/>
      <c r="AY142" s="1401"/>
      <c r="AZ142" s="1444"/>
      <c r="BA142" s="180"/>
      <c r="BB142" s="178"/>
      <c r="BC142" s="57"/>
      <c r="BD142" s="126">
        <f>J142+M142+P142+T142+W142+Z142+AD142+AH142+AL142+AP142+AT142+AW142</f>
        <v>3328.86</v>
      </c>
      <c r="BE142" s="45">
        <v>329551</v>
      </c>
      <c r="BG142" s="484"/>
      <c r="BH142" s="484"/>
      <c r="BI142" s="527"/>
    </row>
    <row r="143" spans="1:65" s="2" customFormat="1" ht="15.75" thickBot="1" x14ac:dyDescent="0.3">
      <c r="A143" s="46">
        <v>329591</v>
      </c>
      <c r="B143" s="504" t="s">
        <v>102</v>
      </c>
      <c r="C143" s="75">
        <f t="shared" si="424"/>
        <v>0</v>
      </c>
      <c r="D143" s="4"/>
      <c r="E143" s="122">
        <f t="shared" si="425"/>
        <v>0</v>
      </c>
      <c r="F143" s="242">
        <f t="shared" si="470"/>
        <v>0</v>
      </c>
      <c r="G143" s="243">
        <f t="shared" si="471"/>
        <v>0</v>
      </c>
      <c r="H143" s="123">
        <f>'izvršenje PO IZVORIMA-detaljno'!C143</f>
        <v>0</v>
      </c>
      <c r="I143" s="125"/>
      <c r="J143" s="176">
        <f>'izvršenje PO IZVORIMA-detaljno'!E143</f>
        <v>0</v>
      </c>
      <c r="K143" s="1288">
        <f t="shared" si="399"/>
        <v>0</v>
      </c>
      <c r="L143" s="59"/>
      <c r="M143" s="60"/>
      <c r="N143" s="1419">
        <f>'izvršenje PO IZVORIMA-detaljno'!V143</f>
        <v>0</v>
      </c>
      <c r="O143" s="1328"/>
      <c r="P143" s="1326">
        <f>'izvršenje PO IZVORIMA-detaljno'!X143</f>
        <v>0</v>
      </c>
      <c r="Q143" s="1316">
        <f t="shared" si="435"/>
        <v>0</v>
      </c>
      <c r="R143" s="1328"/>
      <c r="S143" s="1328"/>
      <c r="T143" s="1326">
        <f>'izvršenje PO IZVORIMA-detaljno'!AA143</f>
        <v>0</v>
      </c>
      <c r="U143" s="1316">
        <f t="shared" si="436"/>
        <v>0</v>
      </c>
      <c r="V143" s="1328"/>
      <c r="W143" s="1329"/>
      <c r="X143" s="1307"/>
      <c r="Y143" s="1307"/>
      <c r="Z143" s="1326">
        <f>'izvršenje PO IZVORIMA-detaljno'!AM143+'izvršenje PO IZVORIMA-detaljno'!AJ143+'izvršenje PO IZVORIMA-detaljno'!AC143</f>
        <v>0</v>
      </c>
      <c r="AA143" s="1316">
        <f t="shared" si="437"/>
        <v>0</v>
      </c>
      <c r="AB143" s="1380"/>
      <c r="AC143" s="1380"/>
      <c r="AD143" s="1372">
        <f>'izvršenje PO IZVORIMA-detaljno'!H143+'izvršenje PO IZVORIMA-detaljno'!N143</f>
        <v>0</v>
      </c>
      <c r="AE143" s="1359">
        <f t="shared" si="438"/>
        <v>0</v>
      </c>
      <c r="AF143" s="1380"/>
      <c r="AG143" s="1380"/>
      <c r="AH143" s="1372">
        <f>'izvršenje PO IZVORIMA-detaljno'!K143+'izvršenje PO IZVORIMA-detaljno'!Q143</f>
        <v>0</v>
      </c>
      <c r="AI143" s="1359">
        <f t="shared" si="439"/>
        <v>0</v>
      </c>
      <c r="AJ143" s="1380"/>
      <c r="AK143" s="1380"/>
      <c r="AL143" s="1383">
        <f>'izvršenje PO IZVORIMA-detaljno'!T143+'izvršenje PO IZVORIMA-detaljno'!U143</f>
        <v>0</v>
      </c>
      <c r="AM143" s="1359">
        <f t="shared" si="440"/>
        <v>0</v>
      </c>
      <c r="AN143" s="1372">
        <f>'izvršenje PO IZVORIMA-detaljno'!AN143</f>
        <v>0</v>
      </c>
      <c r="AO143" s="1380"/>
      <c r="AP143" s="1372">
        <f>'izvršenje PO IZVORIMA-detaljno'!AP143</f>
        <v>0</v>
      </c>
      <c r="AQ143" s="1359">
        <f t="shared" si="441"/>
        <v>0</v>
      </c>
      <c r="AR143" s="1380"/>
      <c r="AS143" s="1380"/>
      <c r="AT143" s="1383">
        <f>'izvršenje PO IZVORIMA-detaljno'!AS143</f>
        <v>0</v>
      </c>
      <c r="AU143" s="1359">
        <f t="shared" si="442"/>
        <v>0</v>
      </c>
      <c r="AV143" s="1380"/>
      <c r="AW143" s="1382"/>
      <c r="AX143" s="1437"/>
      <c r="AY143" s="1403"/>
      <c r="AZ143" s="1450"/>
      <c r="BA143" s="208"/>
      <c r="BB143" s="210"/>
      <c r="BC143" s="61"/>
      <c r="BD143" s="126">
        <f>J143+M143+P143+T143+W143+Z143+AD143+AH143+AL143+AP143+AT143+AW143</f>
        <v>0</v>
      </c>
      <c r="BE143" s="46">
        <v>329591</v>
      </c>
      <c r="BF143" s="254"/>
      <c r="BG143" s="489"/>
      <c r="BH143" s="489"/>
      <c r="BI143" s="529"/>
      <c r="BJ143" s="486"/>
      <c r="BK143" s="486"/>
      <c r="BL143" s="486"/>
      <c r="BM143" s="486"/>
    </row>
    <row r="144" spans="1:65" s="1539" customFormat="1" ht="15.75" thickBot="1" x14ac:dyDescent="0.3">
      <c r="A144" s="76">
        <v>3295</v>
      </c>
      <c r="B144" s="505" t="s">
        <v>103</v>
      </c>
      <c r="C144" s="82">
        <f>SUM(C140:C143)</f>
        <v>3374.4774039418671</v>
      </c>
      <c r="D144" s="82">
        <f t="shared" ref="D144:E144" si="472">SUM(D140:D143)</f>
        <v>0</v>
      </c>
      <c r="E144" s="83">
        <f t="shared" si="472"/>
        <v>3688.08</v>
      </c>
      <c r="F144" s="253">
        <f t="shared" si="470"/>
        <v>109.29336778761063</v>
      </c>
      <c r="G144" s="252">
        <f t="shared" si="471"/>
        <v>0</v>
      </c>
      <c r="H144" s="411">
        <f>SUM(H140:H143)</f>
        <v>3045.9884531156681</v>
      </c>
      <c r="I144" s="115">
        <f t="shared" ref="I144:AP144" si="473">SUM(I140:I143)</f>
        <v>0</v>
      </c>
      <c r="J144" s="82">
        <f>SUM(J140:J143)</f>
        <v>3328.86</v>
      </c>
      <c r="K144" s="252">
        <f t="shared" si="399"/>
        <v>0</v>
      </c>
      <c r="L144" s="82">
        <f t="shared" si="473"/>
        <v>0</v>
      </c>
      <c r="M144" s="112">
        <f t="shared" si="473"/>
        <v>0</v>
      </c>
      <c r="N144" s="417">
        <f>SUM(N140:N143)</f>
        <v>295.30824872254294</v>
      </c>
      <c r="O144" s="82">
        <f t="shared" si="473"/>
        <v>0</v>
      </c>
      <c r="P144" s="82">
        <f t="shared" si="473"/>
        <v>0</v>
      </c>
      <c r="Q144" s="252">
        <f t="shared" si="435"/>
        <v>0</v>
      </c>
      <c r="R144" s="82">
        <f t="shared" ref="R144" si="474">SUM(R140:R143)</f>
        <v>0</v>
      </c>
      <c r="S144" s="82">
        <f t="shared" si="473"/>
        <v>0</v>
      </c>
      <c r="T144" s="82">
        <f>SUM(T140:T143)</f>
        <v>173.98000000000002</v>
      </c>
      <c r="U144" s="252">
        <f t="shared" si="436"/>
        <v>0</v>
      </c>
      <c r="V144" s="82">
        <f t="shared" si="473"/>
        <v>0</v>
      </c>
      <c r="W144" s="82">
        <f t="shared" si="473"/>
        <v>0</v>
      </c>
      <c r="X144" s="82"/>
      <c r="Y144" s="82">
        <f>'izvršenje PO IZVORIMA-detaljno'!AI144+'izvršenje PO IZVORIMA-detaljno'!AL144+'izvršenje PO IZVORIMA-detaljno'!AB144</f>
        <v>0</v>
      </c>
      <c r="Z144" s="112">
        <f t="shared" si="473"/>
        <v>0</v>
      </c>
      <c r="AA144" s="252">
        <f t="shared" si="437"/>
        <v>0</v>
      </c>
      <c r="AB144" s="417"/>
      <c r="AC144" s="417">
        <f>'izvršenje PO IZVORIMA-detaljno'!G144+'izvršenje PO IZVORIMA-detaljno'!M144</f>
        <v>0</v>
      </c>
      <c r="AD144" s="82">
        <f t="shared" si="473"/>
        <v>0</v>
      </c>
      <c r="AE144" s="252">
        <f t="shared" si="438"/>
        <v>0</v>
      </c>
      <c r="AF144" s="108"/>
      <c r="AG144" s="108">
        <f>'izvršenje PO IZVORIMA-detaljno'!J144+'izvršenje PO IZVORIMA-detaljno'!P144</f>
        <v>0</v>
      </c>
      <c r="AH144" s="82">
        <f t="shared" si="473"/>
        <v>185.23999999999998</v>
      </c>
      <c r="AI144" s="252">
        <f t="shared" si="439"/>
        <v>0</v>
      </c>
      <c r="AJ144" s="82"/>
      <c r="AK144" s="82">
        <f>'izvršenje PO IZVORIMA-detaljno'!S144</f>
        <v>0</v>
      </c>
      <c r="AL144" s="82">
        <f t="shared" si="473"/>
        <v>0</v>
      </c>
      <c r="AM144" s="252">
        <f t="shared" si="440"/>
        <v>0</v>
      </c>
      <c r="AN144" s="82">
        <f>SUM(AN140:AN143)</f>
        <v>33.180702103656515</v>
      </c>
      <c r="AO144" s="82">
        <f>'izvršenje PO IZVORIMA-detaljno'!AO144</f>
        <v>0</v>
      </c>
      <c r="AP144" s="82">
        <f t="shared" si="473"/>
        <v>0</v>
      </c>
      <c r="AQ144" s="252">
        <f t="shared" si="441"/>
        <v>0</v>
      </c>
      <c r="AR144" s="82">
        <f>'izvršenje PO IZVORIMA-detaljno'!AQ144</f>
        <v>0</v>
      </c>
      <c r="AS144" s="82">
        <f>'izvršenje PO IZVORIMA-detaljno'!AR144</f>
        <v>0</v>
      </c>
      <c r="AT144" s="82">
        <f t="shared" ref="AT144" si="475">SUM(AT140:AT143)</f>
        <v>0</v>
      </c>
      <c r="AU144" s="252">
        <f t="shared" si="442"/>
        <v>0</v>
      </c>
      <c r="AV144" s="82">
        <f t="shared" ref="AV144:AX144" si="476">SUM(AV140:AV143)</f>
        <v>0</v>
      </c>
      <c r="AW144" s="83">
        <f t="shared" si="476"/>
        <v>0</v>
      </c>
      <c r="AX144" s="407">
        <f t="shared" si="476"/>
        <v>0</v>
      </c>
      <c r="AY144" s="83">
        <f t="shared" ref="AY144:AZ144" si="477">SUM(AY140:AY143)</f>
        <v>0</v>
      </c>
      <c r="AZ144" s="112">
        <f t="shared" si="477"/>
        <v>0</v>
      </c>
      <c r="BA144" s="407">
        <f t="shared" ref="BA144:BB144" si="478">SUM(BA140:BA143)</f>
        <v>0</v>
      </c>
      <c r="BB144" s="83">
        <f t="shared" si="478"/>
        <v>0</v>
      </c>
      <c r="BC144" s="411">
        <f>AV144+AS144+AO144+AK144+AG144+AC144+Y144+V144+S144+O144+L144+I144+AY144</f>
        <v>0</v>
      </c>
      <c r="BD144" s="83">
        <f t="shared" ref="BD144" si="479">SUM(BD140:BD143)</f>
        <v>3688.08</v>
      </c>
      <c r="BE144" s="76">
        <v>3295</v>
      </c>
      <c r="BF144" s="522"/>
      <c r="BG144" s="493"/>
      <c r="BH144" s="493"/>
      <c r="BI144" s="530"/>
      <c r="BJ144" s="493"/>
      <c r="BK144" s="493"/>
      <c r="BL144" s="493"/>
      <c r="BM144" s="493"/>
    </row>
    <row r="145" spans="1:65" s="2" customFormat="1" ht="15.75" thickBot="1" x14ac:dyDescent="0.3">
      <c r="A145" s="77">
        <v>329611</v>
      </c>
      <c r="B145" s="502" t="s">
        <v>164</v>
      </c>
      <c r="C145" s="75">
        <f t="shared" si="424"/>
        <v>6293.9637666733024</v>
      </c>
      <c r="D145" s="72"/>
      <c r="E145" s="122">
        <f t="shared" si="425"/>
        <v>0</v>
      </c>
      <c r="F145" s="246">
        <f t="shared" si="470"/>
        <v>0</v>
      </c>
      <c r="G145" s="247">
        <f t="shared" si="471"/>
        <v>0</v>
      </c>
      <c r="H145" s="1296">
        <f>'izvršenje PO IZVORIMA-detaljno'!C145</f>
        <v>6293.9637666733024</v>
      </c>
      <c r="I145" s="125"/>
      <c r="J145" s="192">
        <f>'izvršenje PO IZVORIMA-detaljno'!E145</f>
        <v>0</v>
      </c>
      <c r="K145" s="1292">
        <f t="shared" si="399"/>
        <v>0</v>
      </c>
      <c r="L145" s="59"/>
      <c r="M145" s="60"/>
      <c r="N145" s="1420">
        <f>'izvršenje PO IZVORIMA-detaljno'!V145</f>
        <v>0</v>
      </c>
      <c r="O145" s="1328"/>
      <c r="P145" s="1330">
        <f>'izvršenje PO IZVORIMA-detaljno'!X145</f>
        <v>0</v>
      </c>
      <c r="Q145" s="1325">
        <f t="shared" si="435"/>
        <v>0</v>
      </c>
      <c r="R145" s="1328"/>
      <c r="S145" s="1328"/>
      <c r="T145" s="1326">
        <f>'izvršenje PO IZVORIMA-detaljno'!AA145</f>
        <v>0</v>
      </c>
      <c r="U145" s="1325">
        <f t="shared" si="436"/>
        <v>0</v>
      </c>
      <c r="V145" s="1328"/>
      <c r="W145" s="1329"/>
      <c r="X145" s="1307"/>
      <c r="Y145" s="1307"/>
      <c r="Z145" s="1326">
        <f>'izvršenje PO IZVORIMA-detaljno'!AM145+'izvršenje PO IZVORIMA-detaljno'!AJ145+'izvršenje PO IZVORIMA-detaljno'!AC145</f>
        <v>0</v>
      </c>
      <c r="AA145" s="1325">
        <f t="shared" si="437"/>
        <v>0</v>
      </c>
      <c r="AB145" s="1380"/>
      <c r="AC145" s="1380"/>
      <c r="AD145" s="1372">
        <f>'izvršenje PO IZVORIMA-detaljno'!H145+'izvršenje PO IZVORIMA-detaljno'!N145</f>
        <v>0</v>
      </c>
      <c r="AE145" s="1371">
        <f t="shared" si="438"/>
        <v>0</v>
      </c>
      <c r="AF145" s="1380"/>
      <c r="AG145" s="1380"/>
      <c r="AH145" s="1372">
        <f>'izvršenje PO IZVORIMA-detaljno'!K145+'izvršenje PO IZVORIMA-detaljno'!Q145</f>
        <v>0</v>
      </c>
      <c r="AI145" s="1371">
        <f t="shared" si="439"/>
        <v>0</v>
      </c>
      <c r="AJ145" s="1380"/>
      <c r="AK145" s="1380"/>
      <c r="AL145" s="1383">
        <f>'izvršenje PO IZVORIMA-detaljno'!T145+'izvršenje PO IZVORIMA-detaljno'!U145</f>
        <v>0</v>
      </c>
      <c r="AM145" s="1371">
        <f t="shared" si="440"/>
        <v>0</v>
      </c>
      <c r="AN145" s="1380"/>
      <c r="AO145" s="1380"/>
      <c r="AP145" s="1372">
        <f>'izvršenje PO IZVORIMA-detaljno'!AP145</f>
        <v>0</v>
      </c>
      <c r="AQ145" s="1371">
        <f t="shared" si="441"/>
        <v>0</v>
      </c>
      <c r="AR145" s="1380"/>
      <c r="AS145" s="1380"/>
      <c r="AT145" s="1381"/>
      <c r="AU145" s="1371">
        <f t="shared" si="442"/>
        <v>0</v>
      </c>
      <c r="AV145" s="1380"/>
      <c r="AW145" s="1382"/>
      <c r="AX145" s="1437"/>
      <c r="AY145" s="1403"/>
      <c r="AZ145" s="1450"/>
      <c r="BA145" s="208"/>
      <c r="BB145" s="210"/>
      <c r="BC145" s="61"/>
      <c r="BD145" s="126">
        <f>J145+M145+P145+T145+W145+Z145+AD145+AH145+AL145+AP145+AT145+AW145</f>
        <v>0</v>
      </c>
      <c r="BE145" s="77">
        <v>329611</v>
      </c>
      <c r="BF145" s="254"/>
      <c r="BG145" s="489"/>
      <c r="BH145" s="489"/>
      <c r="BI145" s="529"/>
      <c r="BJ145" s="486"/>
      <c r="BK145" s="486"/>
      <c r="BL145" s="486"/>
      <c r="BM145" s="486"/>
    </row>
    <row r="146" spans="1:65" s="22" customFormat="1" ht="15.75" thickBot="1" x14ac:dyDescent="0.3">
      <c r="A146" s="76">
        <v>3296</v>
      </c>
      <c r="B146" s="505" t="s">
        <v>164</v>
      </c>
      <c r="C146" s="82">
        <f>SUM(C145)</f>
        <v>6293.9637666733024</v>
      </c>
      <c r="D146" s="82">
        <f t="shared" ref="D146:E146" si="480">D145</f>
        <v>0</v>
      </c>
      <c r="E146" s="83">
        <f t="shared" si="480"/>
        <v>0</v>
      </c>
      <c r="F146" s="253">
        <f t="shared" si="470"/>
        <v>0</v>
      </c>
      <c r="G146" s="252">
        <f t="shared" si="471"/>
        <v>0</v>
      </c>
      <c r="H146" s="411">
        <f>H145</f>
        <v>6293.9637666733024</v>
      </c>
      <c r="I146" s="115">
        <f t="shared" ref="I146:AP146" si="481">I145</f>
        <v>0</v>
      </c>
      <c r="J146" s="82">
        <f t="shared" si="481"/>
        <v>0</v>
      </c>
      <c r="K146" s="252">
        <f t="shared" si="399"/>
        <v>0</v>
      </c>
      <c r="L146" s="82">
        <f t="shared" si="481"/>
        <v>0</v>
      </c>
      <c r="M146" s="112">
        <f t="shared" si="481"/>
        <v>0</v>
      </c>
      <c r="N146" s="417">
        <f t="shared" ref="N146" si="482">N145</f>
        <v>0</v>
      </c>
      <c r="O146" s="82">
        <f t="shared" si="481"/>
        <v>0</v>
      </c>
      <c r="P146" s="82">
        <f t="shared" si="481"/>
        <v>0</v>
      </c>
      <c r="Q146" s="252">
        <f t="shared" si="435"/>
        <v>0</v>
      </c>
      <c r="R146" s="82">
        <f t="shared" ref="R146" si="483">R145</f>
        <v>0</v>
      </c>
      <c r="S146" s="82">
        <f t="shared" si="481"/>
        <v>0</v>
      </c>
      <c r="T146" s="82">
        <f t="shared" si="481"/>
        <v>0</v>
      </c>
      <c r="U146" s="252">
        <f t="shared" si="436"/>
        <v>0</v>
      </c>
      <c r="V146" s="82">
        <f t="shared" si="481"/>
        <v>0</v>
      </c>
      <c r="W146" s="82">
        <f t="shared" si="481"/>
        <v>0</v>
      </c>
      <c r="X146" s="82">
        <f>'izvršenje PO IZVORIMA-detaljno'!AH146+'izvršenje PO IZVORIMA-detaljno'!AK146+'izvršenje PO IZVORIMA-detaljno'!AA146</f>
        <v>0</v>
      </c>
      <c r="Y146" s="82">
        <f>'izvršenje PO IZVORIMA-detaljno'!AI146+'izvršenje PO IZVORIMA-detaljno'!AL146+'izvršenje PO IZVORIMA-detaljno'!AB146</f>
        <v>0</v>
      </c>
      <c r="Z146" s="112">
        <f t="shared" si="481"/>
        <v>0</v>
      </c>
      <c r="AA146" s="252">
        <f t="shared" si="437"/>
        <v>0</v>
      </c>
      <c r="AB146" s="417"/>
      <c r="AC146" s="417">
        <f>'izvršenje PO IZVORIMA-detaljno'!G146+'izvršenje PO IZVORIMA-detaljno'!M146</f>
        <v>0</v>
      </c>
      <c r="AD146" s="82">
        <f t="shared" si="481"/>
        <v>0</v>
      </c>
      <c r="AE146" s="252">
        <f t="shared" si="438"/>
        <v>0</v>
      </c>
      <c r="AF146" s="108"/>
      <c r="AG146" s="108">
        <f>'izvršenje PO IZVORIMA-detaljno'!J146+'izvršenje PO IZVORIMA-detaljno'!P146</f>
        <v>0</v>
      </c>
      <c r="AH146" s="82">
        <f t="shared" si="481"/>
        <v>0</v>
      </c>
      <c r="AI146" s="252">
        <f t="shared" si="439"/>
        <v>0</v>
      </c>
      <c r="AJ146" s="82"/>
      <c r="AK146" s="82">
        <f>'izvršenje PO IZVORIMA-detaljno'!S146</f>
        <v>0</v>
      </c>
      <c r="AL146" s="82">
        <f t="shared" si="481"/>
        <v>0</v>
      </c>
      <c r="AM146" s="252">
        <f t="shared" si="440"/>
        <v>0</v>
      </c>
      <c r="AN146" s="82"/>
      <c r="AO146" s="82">
        <f>'izvršenje PO IZVORIMA-detaljno'!AO146</f>
        <v>0</v>
      </c>
      <c r="AP146" s="82">
        <f t="shared" si="481"/>
        <v>0</v>
      </c>
      <c r="AQ146" s="252">
        <f t="shared" si="441"/>
        <v>0</v>
      </c>
      <c r="AR146" s="82">
        <f>'izvršenje PO IZVORIMA-detaljno'!AQ146</f>
        <v>0</v>
      </c>
      <c r="AS146" s="82">
        <f>'izvršenje PO IZVORIMA-detaljno'!AR146</f>
        <v>0</v>
      </c>
      <c r="AT146" s="82">
        <f t="shared" ref="AT146" si="484">AT145</f>
        <v>0</v>
      </c>
      <c r="AU146" s="252">
        <f t="shared" si="442"/>
        <v>0</v>
      </c>
      <c r="AV146" s="82">
        <f t="shared" ref="AV146:AX146" si="485">AV145</f>
        <v>0</v>
      </c>
      <c r="AW146" s="83">
        <f t="shared" si="485"/>
        <v>0</v>
      </c>
      <c r="AX146" s="407">
        <f t="shared" si="485"/>
        <v>0</v>
      </c>
      <c r="AY146" s="83">
        <f t="shared" ref="AY146:AZ146" si="486">AY145</f>
        <v>0</v>
      </c>
      <c r="AZ146" s="112">
        <f t="shared" si="486"/>
        <v>0</v>
      </c>
      <c r="BA146" s="407">
        <f t="shared" ref="BA146:BB146" si="487">BA145</f>
        <v>0</v>
      </c>
      <c r="BB146" s="83">
        <f t="shared" si="487"/>
        <v>0</v>
      </c>
      <c r="BC146" s="411">
        <f>AV146+AS146+AO146+AK146+AG146+AC146+Y146+V146+S146+O146+L146+I146+AY146</f>
        <v>0</v>
      </c>
      <c r="BD146" s="83">
        <f t="shared" ref="BD146" si="488">BD145</f>
        <v>0</v>
      </c>
      <c r="BE146" s="76">
        <v>3296</v>
      </c>
      <c r="BF146" s="522"/>
      <c r="BG146" s="484"/>
      <c r="BH146" s="484"/>
      <c r="BI146" s="527"/>
      <c r="BJ146" s="484"/>
      <c r="BK146" s="484"/>
      <c r="BL146" s="484"/>
      <c r="BM146" s="484"/>
    </row>
    <row r="147" spans="1:65" x14ac:dyDescent="0.25">
      <c r="A147" s="74">
        <v>329911</v>
      </c>
      <c r="B147" s="506" t="s">
        <v>104</v>
      </c>
      <c r="C147" s="75">
        <f t="shared" si="424"/>
        <v>66.361404207313029</v>
      </c>
      <c r="D147" s="75"/>
      <c r="E147" s="122">
        <f t="shared" si="425"/>
        <v>0</v>
      </c>
      <c r="F147" s="240">
        <f t="shared" si="470"/>
        <v>0</v>
      </c>
      <c r="G147" s="241">
        <f t="shared" si="471"/>
        <v>0</v>
      </c>
      <c r="H147" s="124"/>
      <c r="I147" s="124"/>
      <c r="J147" s="51"/>
      <c r="K147" s="1286">
        <f t="shared" si="399"/>
        <v>0</v>
      </c>
      <c r="L147" s="52"/>
      <c r="M147" s="51"/>
      <c r="N147" s="1419">
        <f>'izvršenje PO IZVORIMA-detaljno'!V147</f>
        <v>66.361404207313029</v>
      </c>
      <c r="O147" s="1314"/>
      <c r="P147" s="1326">
        <f>'izvršenje PO IZVORIMA-detaljno'!X147</f>
        <v>0</v>
      </c>
      <c r="Q147" s="1309">
        <f t="shared" si="435"/>
        <v>0</v>
      </c>
      <c r="R147" s="1314"/>
      <c r="S147" s="1314"/>
      <c r="T147" s="1326">
        <f>'izvršenje PO IZVORIMA-detaljno'!AA147</f>
        <v>0</v>
      </c>
      <c r="U147" s="1309">
        <f t="shared" si="436"/>
        <v>0</v>
      </c>
      <c r="V147" s="1314"/>
      <c r="W147" s="1315"/>
      <c r="X147" s="1307"/>
      <c r="Y147" s="1307"/>
      <c r="Z147" s="1326">
        <f>'izvršenje PO IZVORIMA-detaljno'!AM147+'izvršenje PO IZVORIMA-detaljno'!AJ147+'izvršenje PO IZVORIMA-detaljno'!AC147</f>
        <v>0</v>
      </c>
      <c r="AA147" s="1309">
        <f t="shared" si="437"/>
        <v>0</v>
      </c>
      <c r="AB147" s="1357"/>
      <c r="AC147" s="1357"/>
      <c r="AD147" s="1372">
        <f>'izvršenje PO IZVORIMA-detaljno'!H147+'izvršenje PO IZVORIMA-detaljno'!N147</f>
        <v>0</v>
      </c>
      <c r="AE147" s="1350">
        <f t="shared" si="438"/>
        <v>0</v>
      </c>
      <c r="AF147" s="1357"/>
      <c r="AG147" s="1357"/>
      <c r="AH147" s="1372">
        <f>'izvršenje PO IZVORIMA-detaljno'!K147+'izvršenje PO IZVORIMA-detaljno'!Q147</f>
        <v>0</v>
      </c>
      <c r="AI147" s="1350">
        <f t="shared" si="439"/>
        <v>0</v>
      </c>
      <c r="AJ147" s="1357"/>
      <c r="AK147" s="1357"/>
      <c r="AL147" s="1383">
        <f>'izvršenje PO IZVORIMA-detaljno'!T147+'izvršenje PO IZVORIMA-detaljno'!U147</f>
        <v>0</v>
      </c>
      <c r="AM147" s="1350">
        <f t="shared" si="440"/>
        <v>0</v>
      </c>
      <c r="AN147" s="1370"/>
      <c r="AO147" s="1357"/>
      <c r="AP147" s="1383">
        <f>'izvršenje PO IZVORIMA-detaljno'!AP147</f>
        <v>0</v>
      </c>
      <c r="AQ147" s="1350">
        <f t="shared" si="441"/>
        <v>0</v>
      </c>
      <c r="AR147" s="1357"/>
      <c r="AS147" s="1357"/>
      <c r="AT147" s="1370"/>
      <c r="AU147" s="1350">
        <f t="shared" si="442"/>
        <v>0</v>
      </c>
      <c r="AV147" s="1357"/>
      <c r="AW147" s="1358"/>
      <c r="AX147" s="1435"/>
      <c r="AY147" s="1401"/>
      <c r="AZ147" s="1444"/>
      <c r="BA147" s="180"/>
      <c r="BB147" s="178"/>
      <c r="BC147" s="57"/>
      <c r="BD147" s="126">
        <f>J147+M147+P147+T147+W147+Z147+AD147+AH147+AL147+AP147+AT147+AW147</f>
        <v>0</v>
      </c>
      <c r="BE147" s="74">
        <v>329911</v>
      </c>
      <c r="BG147" s="484"/>
      <c r="BH147" s="484"/>
      <c r="BI147" s="527"/>
    </row>
    <row r="148" spans="1:65" s="2" customFormat="1" ht="15.75" thickBot="1" x14ac:dyDescent="0.3">
      <c r="A148" s="46">
        <v>329991</v>
      </c>
      <c r="B148" s="504" t="s">
        <v>105</v>
      </c>
      <c r="C148" s="75">
        <f t="shared" si="424"/>
        <v>5202.2031986196826</v>
      </c>
      <c r="D148" s="14"/>
      <c r="E148" s="122">
        <f t="shared" si="425"/>
        <v>13043.050000000001</v>
      </c>
      <c r="F148" s="242">
        <f t="shared" si="470"/>
        <v>250.72165584498421</v>
      </c>
      <c r="G148" s="243">
        <f t="shared" si="471"/>
        <v>0</v>
      </c>
      <c r="H148" s="125"/>
      <c r="I148" s="125"/>
      <c r="J148" s="60"/>
      <c r="K148" s="1288">
        <f t="shared" si="399"/>
        <v>0</v>
      </c>
      <c r="L148" s="59"/>
      <c r="M148" s="60"/>
      <c r="N148" s="1419">
        <f>'izvršenje PO IZVORIMA-detaljno'!V148</f>
        <v>416.36206782135508</v>
      </c>
      <c r="O148" s="1328"/>
      <c r="P148" s="1326">
        <f>'izvršenje PO IZVORIMA-detaljno'!X148</f>
        <v>1142.4100000000001</v>
      </c>
      <c r="Q148" s="1316">
        <f t="shared" si="435"/>
        <v>0</v>
      </c>
      <c r="R148" s="1333">
        <f>'izvršenje PO IZVORIMA-detaljno'!Y148</f>
        <v>51.593337315017585</v>
      </c>
      <c r="S148" s="1328"/>
      <c r="T148" s="1326">
        <f>'izvršenje PO IZVORIMA-detaljno'!AA148</f>
        <v>3.28</v>
      </c>
      <c r="U148" s="1316">
        <f t="shared" si="436"/>
        <v>0</v>
      </c>
      <c r="V148" s="1328"/>
      <c r="W148" s="1329"/>
      <c r="X148" s="1330">
        <f>'izvršenje PO IZVORIMA-detaljno'!AK148</f>
        <v>357.02435463534408</v>
      </c>
      <c r="Y148" s="1307"/>
      <c r="Z148" s="1326">
        <f>'izvršenje PO IZVORIMA-detaljno'!AM148+'izvršenje PO IZVORIMA-detaljno'!AJ148+'izvršenje PO IZVORIMA-detaljno'!AC148</f>
        <v>1051.8799999999999</v>
      </c>
      <c r="AA148" s="1316">
        <f t="shared" si="437"/>
        <v>0</v>
      </c>
      <c r="AB148" s="1384">
        <f>'izvršenje PO IZVORIMA-detaljno'!F148+'izvršenje PO IZVORIMA-detaljno'!L148</f>
        <v>941.17326962638526</v>
      </c>
      <c r="AC148" s="1380"/>
      <c r="AD148" s="1372">
        <f>'izvršenje PO IZVORIMA-detaljno'!H148+'izvršenje PO IZVORIMA-detaljno'!N148</f>
        <v>652.54000000000008</v>
      </c>
      <c r="AE148" s="1359">
        <f t="shared" si="438"/>
        <v>0</v>
      </c>
      <c r="AF148" s="1380"/>
      <c r="AG148" s="1380"/>
      <c r="AH148" s="1372">
        <f>'izvršenje PO IZVORIMA-detaljno'!K148+'izvršenje PO IZVORIMA-detaljno'!Q148</f>
        <v>48.82</v>
      </c>
      <c r="AI148" s="1359">
        <f t="shared" si="439"/>
        <v>0</v>
      </c>
      <c r="AJ148" s="1383">
        <f>'izvršenje PO IZVORIMA-detaljno'!R148</f>
        <v>3034.0434003583514</v>
      </c>
      <c r="AK148" s="1380"/>
      <c r="AL148" s="1383">
        <f>'izvršenje PO IZVORIMA-detaljno'!T148+'izvršenje PO IZVORIMA-detaljno'!U148</f>
        <v>7490.83</v>
      </c>
      <c r="AM148" s="1359">
        <f t="shared" si="440"/>
        <v>0</v>
      </c>
      <c r="AN148" s="1383">
        <f>'izvršenje PO IZVORIMA-detaljno'!AN148</f>
        <v>402.00676886322913</v>
      </c>
      <c r="AO148" s="1380"/>
      <c r="AP148" s="1383">
        <f>'izvršenje PO IZVORIMA-detaljno'!AP148</f>
        <v>2425.59</v>
      </c>
      <c r="AQ148" s="1359">
        <f t="shared" si="441"/>
        <v>0</v>
      </c>
      <c r="AR148" s="1380"/>
      <c r="AS148" s="1380"/>
      <c r="AT148" s="1383">
        <f>'izvršenje PO IZVORIMA-detaljno'!AS148</f>
        <v>227.7</v>
      </c>
      <c r="AU148" s="1359">
        <f t="shared" si="442"/>
        <v>0</v>
      </c>
      <c r="AV148" s="1380"/>
      <c r="AW148" s="1382"/>
      <c r="AX148" s="1437"/>
      <c r="AY148" s="1403"/>
      <c r="AZ148" s="1450"/>
      <c r="BA148" s="208"/>
      <c r="BB148" s="210"/>
      <c r="BC148" s="61"/>
      <c r="BD148" s="126">
        <f>J148+M148+P148+T148+W148+Z148+AD148+AH148+AL148+AP148+AT148+AW148</f>
        <v>13043.050000000001</v>
      </c>
      <c r="BE148" s="46">
        <v>329991</v>
      </c>
      <c r="BF148" s="254"/>
      <c r="BG148" s="489"/>
      <c r="BH148" s="489"/>
      <c r="BI148" s="529"/>
      <c r="BJ148" s="486"/>
      <c r="BK148" s="486"/>
      <c r="BL148" s="486"/>
      <c r="BM148" s="486"/>
    </row>
    <row r="149" spans="1:65" s="24" customFormat="1" ht="15.75" thickBot="1" x14ac:dyDescent="0.3">
      <c r="A149" s="76">
        <v>3299</v>
      </c>
      <c r="B149" s="505" t="s">
        <v>105</v>
      </c>
      <c r="C149" s="82">
        <f>SUM(C147:C148)</f>
        <v>5268.5646028269957</v>
      </c>
      <c r="D149" s="82">
        <f t="shared" ref="D149:E149" si="489">D147+D148</f>
        <v>0</v>
      </c>
      <c r="E149" s="83">
        <f t="shared" si="489"/>
        <v>13043.050000000001</v>
      </c>
      <c r="F149" s="253">
        <f t="shared" si="470"/>
        <v>247.56363418228537</v>
      </c>
      <c r="G149" s="252">
        <f t="shared" si="471"/>
        <v>0</v>
      </c>
      <c r="H149" s="411">
        <f t="shared" ref="H149" si="490">H147+H148</f>
        <v>0</v>
      </c>
      <c r="I149" s="115">
        <f t="shared" ref="I149:AL149" si="491">I147+I148</f>
        <v>0</v>
      </c>
      <c r="J149" s="82">
        <f t="shared" si="491"/>
        <v>0</v>
      </c>
      <c r="K149" s="252">
        <f t="shared" si="399"/>
        <v>0</v>
      </c>
      <c r="L149" s="82">
        <f t="shared" si="491"/>
        <v>0</v>
      </c>
      <c r="M149" s="112">
        <f t="shared" si="491"/>
        <v>0</v>
      </c>
      <c r="N149" s="417">
        <f>N147+N148</f>
        <v>482.72347202866808</v>
      </c>
      <c r="O149" s="82">
        <f t="shared" si="491"/>
        <v>0</v>
      </c>
      <c r="P149" s="82">
        <f>P147+P148</f>
        <v>1142.4100000000001</v>
      </c>
      <c r="Q149" s="252">
        <f t="shared" si="435"/>
        <v>0</v>
      </c>
      <c r="R149" s="82">
        <f t="shared" ref="R149" si="492">R147+R148</f>
        <v>51.593337315017585</v>
      </c>
      <c r="S149" s="82">
        <f t="shared" si="491"/>
        <v>0</v>
      </c>
      <c r="T149" s="82">
        <f t="shared" si="491"/>
        <v>3.28</v>
      </c>
      <c r="U149" s="252">
        <f t="shared" si="436"/>
        <v>0</v>
      </c>
      <c r="V149" s="82">
        <f t="shared" si="491"/>
        <v>0</v>
      </c>
      <c r="W149" s="82">
        <f t="shared" si="491"/>
        <v>0</v>
      </c>
      <c r="X149" s="82">
        <f>SUM(X148)</f>
        <v>357.02435463534408</v>
      </c>
      <c r="Y149" s="82">
        <f>'izvršenje PO IZVORIMA-detaljno'!AI149+'izvršenje PO IZVORIMA-detaljno'!AL149+'izvršenje PO IZVORIMA-detaljno'!AB149</f>
        <v>0</v>
      </c>
      <c r="Z149" s="112">
        <f t="shared" si="491"/>
        <v>1051.8799999999999</v>
      </c>
      <c r="AA149" s="252">
        <f t="shared" si="437"/>
        <v>0</v>
      </c>
      <c r="AB149" s="417">
        <f>SUM(AB147:AB148)</f>
        <v>941.17326962638526</v>
      </c>
      <c r="AC149" s="417">
        <f>'izvršenje PO IZVORIMA-detaljno'!G149+'izvršenje PO IZVORIMA-detaljno'!M149</f>
        <v>0</v>
      </c>
      <c r="AD149" s="82">
        <f t="shared" si="491"/>
        <v>652.54000000000008</v>
      </c>
      <c r="AE149" s="252">
        <f t="shared" si="438"/>
        <v>0</v>
      </c>
      <c r="AF149" s="108"/>
      <c r="AG149" s="108">
        <f>'izvršenje PO IZVORIMA-detaljno'!J149+'izvršenje PO IZVORIMA-detaljno'!P149</f>
        <v>0</v>
      </c>
      <c r="AH149" s="82">
        <f t="shared" si="491"/>
        <v>48.82</v>
      </c>
      <c r="AI149" s="252">
        <f t="shared" si="439"/>
        <v>0</v>
      </c>
      <c r="AJ149" s="82">
        <f>SUM(AJ148)</f>
        <v>3034.0434003583514</v>
      </c>
      <c r="AK149" s="82">
        <f>'izvršenje PO IZVORIMA-detaljno'!S149</f>
        <v>0</v>
      </c>
      <c r="AL149" s="82">
        <f t="shared" si="491"/>
        <v>7490.83</v>
      </c>
      <c r="AM149" s="252">
        <f t="shared" si="440"/>
        <v>0</v>
      </c>
      <c r="AN149" s="82">
        <f>SUM(AN147:AN148)</f>
        <v>402.00676886322913</v>
      </c>
      <c r="AO149" s="82">
        <f>'izvršenje PO IZVORIMA-detaljno'!AO149</f>
        <v>0</v>
      </c>
      <c r="AP149" s="82">
        <f>AP147+AP148</f>
        <v>2425.59</v>
      </c>
      <c r="AQ149" s="252">
        <f t="shared" si="441"/>
        <v>0</v>
      </c>
      <c r="AR149" s="82">
        <f>'izvršenje PO IZVORIMA-detaljno'!AQ149</f>
        <v>0</v>
      </c>
      <c r="AS149" s="82">
        <f>'izvršenje PO IZVORIMA-detaljno'!AR149</f>
        <v>0</v>
      </c>
      <c r="AT149" s="82">
        <f t="shared" ref="AT149" si="493">AT147+AT148</f>
        <v>227.7</v>
      </c>
      <c r="AU149" s="252">
        <f t="shared" si="442"/>
        <v>0</v>
      </c>
      <c r="AV149" s="82">
        <f t="shared" ref="AV149:AX149" si="494">AV147+AV148</f>
        <v>0</v>
      </c>
      <c r="AW149" s="83">
        <f t="shared" si="494"/>
        <v>0</v>
      </c>
      <c r="AX149" s="407">
        <f t="shared" si="494"/>
        <v>0</v>
      </c>
      <c r="AY149" s="83">
        <f t="shared" ref="AY149:AZ149" si="495">AY147+AY148</f>
        <v>0</v>
      </c>
      <c r="AZ149" s="112">
        <f t="shared" si="495"/>
        <v>0</v>
      </c>
      <c r="BA149" s="407">
        <f t="shared" ref="BA149:BB149" si="496">BA147+BA148</f>
        <v>0</v>
      </c>
      <c r="BB149" s="83">
        <f t="shared" si="496"/>
        <v>0</v>
      </c>
      <c r="BC149" s="411">
        <f>AV149+AS149+AO149+AK149+AG149+AC149+Y149+V149+S149+O149+L149+I149+AY149</f>
        <v>0</v>
      </c>
      <c r="BD149" s="83">
        <f>BD147+BD148</f>
        <v>13043.050000000001</v>
      </c>
      <c r="BE149" s="76">
        <v>3299</v>
      </c>
      <c r="BF149" s="522"/>
      <c r="BG149" s="489"/>
      <c r="BH149" s="489"/>
      <c r="BI149" s="529"/>
      <c r="BJ149" s="489"/>
      <c r="BK149" s="489"/>
      <c r="BL149" s="489"/>
      <c r="BM149" s="489"/>
    </row>
    <row r="150" spans="1:65" s="1539" customFormat="1" ht="15.75" thickBot="1" x14ac:dyDescent="0.3">
      <c r="A150" s="76">
        <v>329</v>
      </c>
      <c r="B150" s="505" t="s">
        <v>105</v>
      </c>
      <c r="C150" s="91">
        <f>C135+C137+C139+C144+C149+C146</f>
        <v>27334.919370893884</v>
      </c>
      <c r="D150" s="82">
        <f>BC150</f>
        <v>138116</v>
      </c>
      <c r="E150" s="91">
        <f t="shared" ref="E150" si="497">E135+E137+E139+E144+E149+E146</f>
        <v>107074.77000000002</v>
      </c>
      <c r="F150" s="253">
        <f t="shared" si="470"/>
        <v>391.71423389678193</v>
      </c>
      <c r="G150" s="252">
        <f t="shared" si="471"/>
        <v>77.525246893915281</v>
      </c>
      <c r="H150" s="1430">
        <f>H135+H137+H139+H144+H149+H146</f>
        <v>9339.952219788971</v>
      </c>
      <c r="I150" s="117">
        <f>'izvršenje PO IZVORIMA-detaljno'!D150</f>
        <v>5973</v>
      </c>
      <c r="J150" s="90">
        <f>J135+J137+J139+J144+J149+J146</f>
        <v>3328.86</v>
      </c>
      <c r="K150" s="252">
        <f t="shared" si="399"/>
        <v>55.731793068809644</v>
      </c>
      <c r="L150" s="90">
        <f t="shared" ref="L150:AP150" si="498">L135+L137+L139+L144+L149+L146</f>
        <v>0</v>
      </c>
      <c r="M150" s="114">
        <f t="shared" si="498"/>
        <v>0</v>
      </c>
      <c r="N150" s="1593">
        <f>N135+N137+N139+N144+N149+N146</f>
        <v>1174.319463799854</v>
      </c>
      <c r="O150" s="90">
        <f>'izvršenje PO IZVORIMA-detaljno'!W150</f>
        <v>1900</v>
      </c>
      <c r="P150" s="90">
        <f>P135+P137+P139+P144+P149+P146</f>
        <v>1217.1100000000001</v>
      </c>
      <c r="Q150" s="252">
        <f t="shared" si="435"/>
        <v>64.058421052631587</v>
      </c>
      <c r="R150" s="90">
        <f t="shared" si="498"/>
        <v>449.76176255889573</v>
      </c>
      <c r="S150" s="90">
        <f>'izvršenje PO IZVORIMA-detaljno'!Z150</f>
        <v>265</v>
      </c>
      <c r="T150" s="90">
        <f t="shared" si="498"/>
        <v>1122.32</v>
      </c>
      <c r="U150" s="252">
        <f t="shared" si="436"/>
        <v>423.51698113207544</v>
      </c>
      <c r="V150" s="90">
        <f t="shared" si="498"/>
        <v>0</v>
      </c>
      <c r="W150" s="90">
        <f t="shared" si="498"/>
        <v>0</v>
      </c>
      <c r="X150" s="114">
        <f t="shared" si="498"/>
        <v>357.02435463534408</v>
      </c>
      <c r="Y150" s="82">
        <f>'izvršenje PO IZVORIMA-detaljno'!AI150+'izvršenje PO IZVORIMA-detaljno'!AL150+'izvršenje PO IZVORIMA-detaljno'!AB150</f>
        <v>4260</v>
      </c>
      <c r="Z150" s="114">
        <f t="shared" si="498"/>
        <v>2209.14</v>
      </c>
      <c r="AA150" s="252">
        <f t="shared" si="437"/>
        <v>51.857746478873231</v>
      </c>
      <c r="AB150" s="1593">
        <f t="shared" si="498"/>
        <v>941.17326962638526</v>
      </c>
      <c r="AC150" s="417">
        <f>'izvršenje PO IZVORIMA-detaljno'!G150+'izvršenje PO IZVORIMA-detaljno'!M150</f>
        <v>1635</v>
      </c>
      <c r="AD150" s="90">
        <f t="shared" si="498"/>
        <v>1407.48</v>
      </c>
      <c r="AE150" s="252">
        <f t="shared" si="438"/>
        <v>86.084403669724779</v>
      </c>
      <c r="AF150" s="90">
        <f t="shared" si="498"/>
        <v>9893.6558497577789</v>
      </c>
      <c r="AG150" s="108">
        <f>'izvršenje PO IZVORIMA-detaljno'!J150+'izvršenje PO IZVORIMA-detaljno'!P150</f>
        <v>85000</v>
      </c>
      <c r="AH150" s="90">
        <f t="shared" si="498"/>
        <v>85404.900000000023</v>
      </c>
      <c r="AI150" s="252">
        <f t="shared" si="439"/>
        <v>100.4763529411765</v>
      </c>
      <c r="AJ150" s="90">
        <f t="shared" si="498"/>
        <v>3034.0434003583514</v>
      </c>
      <c r="AK150" s="82">
        <f>'izvršenje PO IZVORIMA-detaljno'!S150</f>
        <v>35552</v>
      </c>
      <c r="AL150" s="90">
        <f t="shared" si="498"/>
        <v>7761.7</v>
      </c>
      <c r="AM150" s="252">
        <f t="shared" si="440"/>
        <v>21.831964446444644</v>
      </c>
      <c r="AN150" s="90">
        <f t="shared" si="498"/>
        <v>2144.9890503683055</v>
      </c>
      <c r="AO150" s="82">
        <f>'izvršenje PO IZVORIMA-detaljno'!AO150</f>
        <v>3000</v>
      </c>
      <c r="AP150" s="90">
        <f t="shared" si="498"/>
        <v>4395.5599999999995</v>
      </c>
      <c r="AQ150" s="252">
        <f t="shared" si="441"/>
        <v>146.51866666666663</v>
      </c>
      <c r="AR150" s="82">
        <f>'izvršenje PO IZVORIMA-detaljno'!AQ150</f>
        <v>0</v>
      </c>
      <c r="AS150" s="82">
        <f>'izvršenje PO IZVORIMA-detaljno'!AR150</f>
        <v>531</v>
      </c>
      <c r="AT150" s="90">
        <f t="shared" ref="AT150" si="499">AT135+AT137+AT139+AT144+AT149+AT146</f>
        <v>227.7</v>
      </c>
      <c r="AU150" s="252">
        <f t="shared" si="442"/>
        <v>42.881355932203384</v>
      </c>
      <c r="AV150" s="90">
        <f t="shared" ref="AV150:AX150" si="500">AV135+AV137+AV139+AV144+AV149+AV146</f>
        <v>0</v>
      </c>
      <c r="AW150" s="91">
        <f t="shared" si="500"/>
        <v>0</v>
      </c>
      <c r="AX150" s="1458">
        <f t="shared" si="500"/>
        <v>0</v>
      </c>
      <c r="AY150" s="91">
        <f t="shared" ref="AY150:AZ150" si="501">AY135+AY137+AY139+AY144+AY149+AY146</f>
        <v>0</v>
      </c>
      <c r="AZ150" s="114">
        <f t="shared" si="501"/>
        <v>0</v>
      </c>
      <c r="BA150" s="1458">
        <f t="shared" ref="BA150:BB150" si="502">BA135+BA137+BA139+BA144+BA149+BA146</f>
        <v>0</v>
      </c>
      <c r="BB150" s="91">
        <f t="shared" si="502"/>
        <v>0</v>
      </c>
      <c r="BC150" s="411">
        <f>AV150+AS150+AO150+AK150+AG150+AC150+Y150+V150+S150+O150+L150+I150+AY150</f>
        <v>138116</v>
      </c>
      <c r="BD150" s="91">
        <f>BD135+BD137+BD139+BD144+BD149+BD146</f>
        <v>107074.77000000002</v>
      </c>
      <c r="BE150" s="76">
        <v>329</v>
      </c>
      <c r="BF150" s="524"/>
      <c r="BG150" s="493"/>
      <c r="BH150" s="493"/>
      <c r="BI150" s="530"/>
      <c r="BJ150" s="493"/>
      <c r="BK150" s="493"/>
      <c r="BL150" s="493"/>
      <c r="BM150" s="493"/>
    </row>
    <row r="151" spans="1:65" ht="15.75" thickBot="1" x14ac:dyDescent="0.3">
      <c r="A151" s="224">
        <v>342221</v>
      </c>
      <c r="B151" s="510" t="s">
        <v>244</v>
      </c>
      <c r="C151" s="75">
        <f t="shared" ref="C151:C161" si="503">H151+N151+R151+X151+AB151+AF151+AJ151+AN151+AR151+AX151</f>
        <v>3749.9435928064236</v>
      </c>
      <c r="D151" s="218"/>
      <c r="E151" s="118">
        <f t="shared" ref="E151" si="504">BD151</f>
        <v>6596.21</v>
      </c>
      <c r="F151" s="246">
        <f t="shared" si="470"/>
        <v>175.90157923051467</v>
      </c>
      <c r="G151" s="247">
        <f t="shared" si="471"/>
        <v>0</v>
      </c>
      <c r="H151" s="1299">
        <f>'izvršenje PO IZVORIMA-detaljno'!C151</f>
        <v>0</v>
      </c>
      <c r="I151" s="225"/>
      <c r="J151" s="226">
        <f>'izvršenje PO IZVORIMA-detaljno'!E151</f>
        <v>0</v>
      </c>
      <c r="K151" s="1292">
        <f t="shared" si="399"/>
        <v>0</v>
      </c>
      <c r="L151" s="227"/>
      <c r="M151" s="228"/>
      <c r="N151" s="1421">
        <f>'izvršenje PO IZVORIMA-detaljno'!V151</f>
        <v>0</v>
      </c>
      <c r="O151" s="1335"/>
      <c r="P151" s="1334">
        <f>'izvršenje PO IZVORIMA-detaljno'!X151</f>
        <v>0</v>
      </c>
      <c r="Q151" s="1325">
        <f t="shared" si="435"/>
        <v>0</v>
      </c>
      <c r="R151" s="1334">
        <f>'izvršenje PO IZVORIMA-detaljno'!Y151</f>
        <v>3749.9435928064236</v>
      </c>
      <c r="S151" s="1335"/>
      <c r="T151" s="1334">
        <f>'izvršenje PO IZVORIMA-detaljno'!AA151</f>
        <v>6596.21</v>
      </c>
      <c r="U151" s="1325">
        <f t="shared" si="436"/>
        <v>0</v>
      </c>
      <c r="V151" s="1335"/>
      <c r="W151" s="1336"/>
      <c r="X151" s="1337"/>
      <c r="Y151" s="1337"/>
      <c r="Z151" s="1326">
        <f>'izvršenje PO IZVORIMA-detaljno'!AM151+'izvršenje PO IZVORIMA-detaljno'!AJ151+'izvršenje PO IZVORIMA-detaljno'!AC151</f>
        <v>0</v>
      </c>
      <c r="AA151" s="1325">
        <f t="shared" si="437"/>
        <v>0</v>
      </c>
      <c r="AB151" s="1387"/>
      <c r="AC151" s="1387"/>
      <c r="AD151" s="1372">
        <f>'izvršenje PO IZVORIMA-detaljno'!H151+'izvršenje PO IZVORIMA-detaljno'!N151</f>
        <v>0</v>
      </c>
      <c r="AE151" s="1371">
        <f t="shared" si="438"/>
        <v>0</v>
      </c>
      <c r="AF151" s="1387"/>
      <c r="AG151" s="1387"/>
      <c r="AH151" s="1372">
        <f>'izvršenje PO IZVORIMA-detaljno'!K151+'izvršenje PO IZVORIMA-detaljno'!Q151</f>
        <v>0</v>
      </c>
      <c r="AI151" s="1371">
        <f t="shared" si="439"/>
        <v>0</v>
      </c>
      <c r="AJ151" s="1387"/>
      <c r="AK151" s="1387"/>
      <c r="AL151" s="1383">
        <f>'izvršenje PO IZVORIMA-detaljno'!T151+'izvršenje PO IZVORIMA-detaljno'!U151</f>
        <v>0</v>
      </c>
      <c r="AM151" s="1371">
        <f t="shared" si="440"/>
        <v>0</v>
      </c>
      <c r="AN151" s="1387"/>
      <c r="AO151" s="1387"/>
      <c r="AP151" s="1388">
        <f>'izvršenje PO IZVORIMA-detaljno'!AP151</f>
        <v>0</v>
      </c>
      <c r="AQ151" s="1371">
        <f t="shared" si="441"/>
        <v>0</v>
      </c>
      <c r="AR151" s="1387"/>
      <c r="AS151" s="1387"/>
      <c r="AT151" s="1383">
        <f>'izvršenje PO IZVORIMA-detaljno'!AS151</f>
        <v>0</v>
      </c>
      <c r="AU151" s="1371">
        <f t="shared" si="442"/>
        <v>0</v>
      </c>
      <c r="AV151" s="1387"/>
      <c r="AW151" s="1389"/>
      <c r="AX151" s="1439"/>
      <c r="AY151" s="1404"/>
      <c r="AZ151" s="1452"/>
      <c r="BA151" s="418"/>
      <c r="BB151" s="420"/>
      <c r="BC151" s="229"/>
      <c r="BD151" s="1300">
        <f>J151+M151+P151+T151+W151+Z151+AD151+AH151+AL151+AP151+AT151+AW151</f>
        <v>6596.21</v>
      </c>
      <c r="BE151" s="224">
        <v>342221</v>
      </c>
      <c r="BG151" s="484"/>
      <c r="BH151" s="484"/>
      <c r="BI151" s="527"/>
    </row>
    <row r="152" spans="1:65" s="22" customFormat="1" ht="15.75" thickBot="1" x14ac:dyDescent="0.3">
      <c r="A152" s="198">
        <v>342</v>
      </c>
      <c r="B152" s="511" t="s">
        <v>257</v>
      </c>
      <c r="C152" s="286">
        <f>SUM(C151)</f>
        <v>3749.9435928064236</v>
      </c>
      <c r="D152" s="218">
        <f>BC152</f>
        <v>7385</v>
      </c>
      <c r="E152" s="219">
        <f>SUM(E151)</f>
        <v>6596.21</v>
      </c>
      <c r="F152" s="253">
        <f t="shared" si="470"/>
        <v>175.90157923051467</v>
      </c>
      <c r="G152" s="252">
        <f t="shared" si="471"/>
        <v>89.319025050778606</v>
      </c>
      <c r="H152" s="334"/>
      <c r="I152" s="220"/>
      <c r="J152" s="221"/>
      <c r="K152" s="252">
        <f t="shared" si="399"/>
        <v>0</v>
      </c>
      <c r="L152" s="222"/>
      <c r="M152" s="223"/>
      <c r="N152" s="222"/>
      <c r="O152" s="222"/>
      <c r="P152" s="221">
        <f>SUM(P151)</f>
        <v>0</v>
      </c>
      <c r="Q152" s="252">
        <f t="shared" si="435"/>
        <v>0</v>
      </c>
      <c r="R152" s="217">
        <f>'izvršenje PO IZVORIMA-detaljno'!Y152</f>
        <v>3749.9435928064236</v>
      </c>
      <c r="S152" s="217">
        <f>'izvršenje PO IZVORIMA-detaljno'!Z152</f>
        <v>7385</v>
      </c>
      <c r="T152" s="221">
        <f>SUM(T151)</f>
        <v>6596.21</v>
      </c>
      <c r="U152" s="252">
        <f t="shared" si="436"/>
        <v>89.319025050778606</v>
      </c>
      <c r="V152" s="222"/>
      <c r="W152" s="223"/>
      <c r="X152" s="217"/>
      <c r="Y152" s="217"/>
      <c r="Z152" s="223"/>
      <c r="AA152" s="252">
        <f t="shared" si="437"/>
        <v>0</v>
      </c>
      <c r="AB152" s="222"/>
      <c r="AC152" s="222"/>
      <c r="AD152" s="223"/>
      <c r="AE152" s="252">
        <f t="shared" si="438"/>
        <v>0</v>
      </c>
      <c r="AF152" s="222"/>
      <c r="AG152" s="222"/>
      <c r="AH152" s="223"/>
      <c r="AI152" s="252">
        <f t="shared" si="439"/>
        <v>0</v>
      </c>
      <c r="AJ152" s="222"/>
      <c r="AK152" s="222"/>
      <c r="AL152" s="223"/>
      <c r="AM152" s="252">
        <f t="shared" si="440"/>
        <v>0</v>
      </c>
      <c r="AN152" s="222"/>
      <c r="AO152" s="222"/>
      <c r="AP152" s="223"/>
      <c r="AQ152" s="252">
        <f t="shared" si="441"/>
        <v>0</v>
      </c>
      <c r="AR152" s="222"/>
      <c r="AS152" s="222"/>
      <c r="AT152" s="223"/>
      <c r="AU152" s="252">
        <f t="shared" si="442"/>
        <v>0</v>
      </c>
      <c r="AV152" s="222"/>
      <c r="AW152" s="220"/>
      <c r="AX152" s="222"/>
      <c r="AY152" s="220"/>
      <c r="AZ152" s="223"/>
      <c r="BA152" s="222"/>
      <c r="BB152" s="220"/>
      <c r="BC152" s="1611">
        <f>AV152+AS152+AO152+AK152+AG152+AC152+Y152+V152+S152+O152+L152+I152+AY152</f>
        <v>7385</v>
      </c>
      <c r="BD152" s="230">
        <f>SUM(BD151)</f>
        <v>6596.21</v>
      </c>
      <c r="BE152" s="198">
        <v>342</v>
      </c>
      <c r="BF152" s="518"/>
      <c r="BG152" s="484"/>
      <c r="BH152" s="484"/>
      <c r="BI152" s="527"/>
      <c r="BJ152" s="484"/>
      <c r="BK152" s="484"/>
      <c r="BL152" s="484"/>
      <c r="BM152" s="484"/>
    </row>
    <row r="153" spans="1:65" s="6" customFormat="1" x14ac:dyDescent="0.25">
      <c r="A153" s="74">
        <v>343111</v>
      </c>
      <c r="B153" s="506" t="s">
        <v>106</v>
      </c>
      <c r="C153" s="75">
        <f t="shared" si="503"/>
        <v>1.1945052757316343</v>
      </c>
      <c r="D153" s="75"/>
      <c r="E153" s="212">
        <f t="shared" ref="E153:E161" si="505">BD153</f>
        <v>0</v>
      </c>
      <c r="F153" s="240">
        <f t="shared" si="470"/>
        <v>0</v>
      </c>
      <c r="G153" s="241">
        <f t="shared" si="471"/>
        <v>0</v>
      </c>
      <c r="H153" s="216"/>
      <c r="I153" s="216"/>
      <c r="J153" s="105"/>
      <c r="K153" s="1286">
        <f t="shared" ref="K153:K184" si="506">IF(I153&lt;&gt;0,J153/I153*100,0)</f>
        <v>0</v>
      </c>
      <c r="L153" s="104"/>
      <c r="M153" s="105"/>
      <c r="N153" s="1422">
        <f>'izvršenje PO IZVORIMA-detaljno'!V153</f>
        <v>0</v>
      </c>
      <c r="O153" s="1310"/>
      <c r="P153" s="1308">
        <f>'izvršenje PO IZVORIMA-detaljno'!X153</f>
        <v>0</v>
      </c>
      <c r="Q153" s="1309">
        <f t="shared" si="435"/>
        <v>0</v>
      </c>
      <c r="R153" s="1310"/>
      <c r="S153" s="1310"/>
      <c r="T153" s="1326">
        <f>'izvršenje PO IZVORIMA-detaljno'!AA153</f>
        <v>0</v>
      </c>
      <c r="U153" s="1309">
        <f t="shared" si="436"/>
        <v>0</v>
      </c>
      <c r="V153" s="1310"/>
      <c r="W153" s="1311"/>
      <c r="X153" s="1307"/>
      <c r="Y153" s="1307"/>
      <c r="Z153" s="1326">
        <f>'izvršenje PO IZVORIMA-detaljno'!AM153+'izvršenje PO IZVORIMA-detaljno'!AJ153+'izvršenje PO IZVORIMA-detaljno'!AC153</f>
        <v>0</v>
      </c>
      <c r="AA153" s="1309">
        <f t="shared" si="437"/>
        <v>0</v>
      </c>
      <c r="AB153" s="1352"/>
      <c r="AC153" s="1352"/>
      <c r="AD153" s="1372">
        <f>'izvršenje PO IZVORIMA-detaljno'!H153+'izvršenje PO IZVORIMA-detaljno'!N153</f>
        <v>0</v>
      </c>
      <c r="AE153" s="1350">
        <f t="shared" si="438"/>
        <v>0</v>
      </c>
      <c r="AF153" s="1352"/>
      <c r="AG153" s="1352"/>
      <c r="AH153" s="1372">
        <f>'izvršenje PO IZVORIMA-detaljno'!K153+'izvršenje PO IZVORIMA-detaljno'!Q153</f>
        <v>0</v>
      </c>
      <c r="AI153" s="1350">
        <f t="shared" si="439"/>
        <v>0</v>
      </c>
      <c r="AJ153" s="1352"/>
      <c r="AK153" s="1352"/>
      <c r="AL153" s="1383">
        <f>'izvršenje PO IZVORIMA-detaljno'!T153+'izvršenje PO IZVORIMA-detaljno'!U153</f>
        <v>0</v>
      </c>
      <c r="AM153" s="1350">
        <f t="shared" si="440"/>
        <v>0</v>
      </c>
      <c r="AN153" s="1348">
        <f>'izvršenje PO IZVORIMA-detaljno'!AN153</f>
        <v>1.1945052757316343</v>
      </c>
      <c r="AO153" s="1352"/>
      <c r="AP153" s="1348">
        <f>'izvršenje PO IZVORIMA-detaljno'!AP153</f>
        <v>0</v>
      </c>
      <c r="AQ153" s="1350">
        <f t="shared" si="441"/>
        <v>0</v>
      </c>
      <c r="AR153" s="1352"/>
      <c r="AS153" s="1352"/>
      <c r="AT153" s="1383">
        <f>'izvršenje PO IZVORIMA-detaljno'!AS153</f>
        <v>0</v>
      </c>
      <c r="AU153" s="1350">
        <f t="shared" si="442"/>
        <v>0</v>
      </c>
      <c r="AV153" s="1352"/>
      <c r="AW153" s="1353"/>
      <c r="AX153" s="1440"/>
      <c r="AY153" s="1400"/>
      <c r="AZ153" s="1443"/>
      <c r="BA153" s="414"/>
      <c r="BB153" s="409"/>
      <c r="BC153" s="106"/>
      <c r="BD153" s="126">
        <f>J153+M153+P153+T153+W153+Z153+AD153+AH153+AL153+AP153+AT153+AW153</f>
        <v>0</v>
      </c>
      <c r="BE153" s="74">
        <v>343111</v>
      </c>
      <c r="BF153" s="518"/>
      <c r="BG153" s="493"/>
      <c r="BH153" s="493"/>
      <c r="BI153" s="530"/>
      <c r="BJ153" s="487"/>
      <c r="BK153" s="487"/>
      <c r="BL153" s="487"/>
      <c r="BM153" s="487"/>
    </row>
    <row r="154" spans="1:65" s="2" customFormat="1" ht="15.75" thickBot="1" x14ac:dyDescent="0.3">
      <c r="A154" s="46">
        <v>343121</v>
      </c>
      <c r="B154" s="504" t="s">
        <v>107</v>
      </c>
      <c r="C154" s="75">
        <f t="shared" si="503"/>
        <v>1478.5095228615037</v>
      </c>
      <c r="D154" s="14"/>
      <c r="E154" s="122">
        <f t="shared" si="505"/>
        <v>1385.51</v>
      </c>
      <c r="F154" s="242">
        <f t="shared" si="470"/>
        <v>93.709913840695961</v>
      </c>
      <c r="G154" s="243">
        <f t="shared" si="471"/>
        <v>0</v>
      </c>
      <c r="H154" s="125"/>
      <c r="I154" s="125"/>
      <c r="J154" s="60"/>
      <c r="K154" s="1288">
        <f t="shared" si="506"/>
        <v>0</v>
      </c>
      <c r="L154" s="59"/>
      <c r="M154" s="60"/>
      <c r="N154" s="1419">
        <f>'izvršenje PO IZVORIMA-detaljno'!V154</f>
        <v>1478.5095228615037</v>
      </c>
      <c r="O154" s="1328"/>
      <c r="P154" s="1326">
        <f>'izvršenje PO IZVORIMA-detaljno'!X154</f>
        <v>1385.51</v>
      </c>
      <c r="Q154" s="1316">
        <f t="shared" si="435"/>
        <v>0</v>
      </c>
      <c r="R154" s="1328"/>
      <c r="S154" s="1328"/>
      <c r="T154" s="1326">
        <f>'izvršenje PO IZVORIMA-detaljno'!AA154</f>
        <v>0</v>
      </c>
      <c r="U154" s="1316">
        <f t="shared" si="436"/>
        <v>0</v>
      </c>
      <c r="V154" s="1328"/>
      <c r="W154" s="1329"/>
      <c r="X154" s="1307"/>
      <c r="Y154" s="1307"/>
      <c r="Z154" s="1326">
        <f>'izvršenje PO IZVORIMA-detaljno'!AM154+'izvršenje PO IZVORIMA-detaljno'!AJ154+'izvršenje PO IZVORIMA-detaljno'!AC154</f>
        <v>0</v>
      </c>
      <c r="AA154" s="1316">
        <f t="shared" si="437"/>
        <v>0</v>
      </c>
      <c r="AB154" s="1380"/>
      <c r="AC154" s="1380"/>
      <c r="AD154" s="1372">
        <f>'izvršenje PO IZVORIMA-detaljno'!H154+'izvršenje PO IZVORIMA-detaljno'!N154</f>
        <v>0</v>
      </c>
      <c r="AE154" s="1359">
        <f t="shared" si="438"/>
        <v>0</v>
      </c>
      <c r="AF154" s="1380"/>
      <c r="AG154" s="1380"/>
      <c r="AH154" s="1372">
        <f>'izvršenje PO IZVORIMA-detaljno'!K154+'izvršenje PO IZVORIMA-detaljno'!Q154</f>
        <v>0</v>
      </c>
      <c r="AI154" s="1359">
        <f t="shared" si="439"/>
        <v>0</v>
      </c>
      <c r="AJ154" s="1380"/>
      <c r="AK154" s="1380"/>
      <c r="AL154" s="1383">
        <f>'izvršenje PO IZVORIMA-detaljno'!T154+'izvršenje PO IZVORIMA-detaljno'!U154</f>
        <v>0</v>
      </c>
      <c r="AM154" s="1359">
        <f t="shared" si="440"/>
        <v>0</v>
      </c>
      <c r="AN154" s="1381"/>
      <c r="AO154" s="1380"/>
      <c r="AP154" s="1348">
        <f>'izvršenje PO IZVORIMA-detaljno'!AP154</f>
        <v>0</v>
      </c>
      <c r="AQ154" s="1359">
        <f t="shared" si="441"/>
        <v>0</v>
      </c>
      <c r="AR154" s="1380"/>
      <c r="AS154" s="1380"/>
      <c r="AT154" s="1383">
        <f>'izvršenje PO IZVORIMA-detaljno'!AS154</f>
        <v>0</v>
      </c>
      <c r="AU154" s="1359">
        <f t="shared" si="442"/>
        <v>0</v>
      </c>
      <c r="AV154" s="1380"/>
      <c r="AW154" s="1382"/>
      <c r="AX154" s="1437"/>
      <c r="AY154" s="1403"/>
      <c r="AZ154" s="1450"/>
      <c r="BA154" s="208"/>
      <c r="BB154" s="210"/>
      <c r="BC154" s="61"/>
      <c r="BD154" s="126">
        <f>J154+M154+P154+T154+W154+Z154+AD154+AH154+AL154+AP154+AT154+AW154</f>
        <v>1385.51</v>
      </c>
      <c r="BE154" s="46">
        <v>343121</v>
      </c>
      <c r="BF154" s="254"/>
      <c r="BG154" s="489"/>
      <c r="BH154" s="489"/>
      <c r="BI154" s="529"/>
      <c r="BJ154" s="486"/>
      <c r="BK154" s="486"/>
      <c r="BL154" s="486"/>
      <c r="BM154" s="486"/>
    </row>
    <row r="155" spans="1:65" s="22" customFormat="1" ht="15.75" thickBot="1" x14ac:dyDescent="0.3">
      <c r="A155" s="76">
        <v>3431</v>
      </c>
      <c r="B155" s="505" t="s">
        <v>108</v>
      </c>
      <c r="C155" s="82">
        <f>SUM(C153:C154)</f>
        <v>1479.7040281372354</v>
      </c>
      <c r="D155" s="82">
        <f t="shared" ref="D155" si="507">D153+D154</f>
        <v>0</v>
      </c>
      <c r="E155" s="83">
        <f>E153+E154</f>
        <v>1385.51</v>
      </c>
      <c r="F155" s="253">
        <f t="shared" si="470"/>
        <v>93.634265613521777</v>
      </c>
      <c r="G155" s="252">
        <f t="shared" si="471"/>
        <v>0</v>
      </c>
      <c r="H155" s="411">
        <f t="shared" ref="H155" si="508">H153+H154</f>
        <v>0</v>
      </c>
      <c r="I155" s="115">
        <f t="shared" ref="I155:AP155" si="509">I153+I154</f>
        <v>0</v>
      </c>
      <c r="J155" s="82">
        <f t="shared" si="509"/>
        <v>0</v>
      </c>
      <c r="K155" s="252">
        <f t="shared" si="506"/>
        <v>0</v>
      </c>
      <c r="L155" s="82">
        <f t="shared" si="509"/>
        <v>0</v>
      </c>
      <c r="M155" s="112">
        <f t="shared" si="509"/>
        <v>0</v>
      </c>
      <c r="N155" s="417">
        <f t="shared" ref="N155" si="510">N153+N154</f>
        <v>1478.5095228615037</v>
      </c>
      <c r="O155" s="82">
        <f t="shared" si="509"/>
        <v>0</v>
      </c>
      <c r="P155" s="82">
        <f>P153+P154</f>
        <v>1385.51</v>
      </c>
      <c r="Q155" s="252">
        <f t="shared" si="435"/>
        <v>0</v>
      </c>
      <c r="R155" s="82">
        <f t="shared" ref="R155" si="511">R153+R154</f>
        <v>0</v>
      </c>
      <c r="S155" s="82">
        <f t="shared" si="509"/>
        <v>0</v>
      </c>
      <c r="T155" s="82">
        <f t="shared" si="509"/>
        <v>0</v>
      </c>
      <c r="U155" s="252">
        <f t="shared" si="436"/>
        <v>0</v>
      </c>
      <c r="V155" s="82">
        <f t="shared" si="509"/>
        <v>0</v>
      </c>
      <c r="W155" s="82">
        <f t="shared" si="509"/>
        <v>0</v>
      </c>
      <c r="X155" s="82"/>
      <c r="Y155" s="82">
        <f>'izvršenje PO IZVORIMA-detaljno'!AI155+'izvršenje PO IZVORIMA-detaljno'!AL155+'izvršenje PO IZVORIMA-detaljno'!AB155</f>
        <v>0</v>
      </c>
      <c r="Z155" s="112">
        <f t="shared" si="509"/>
        <v>0</v>
      </c>
      <c r="AA155" s="252">
        <f t="shared" si="437"/>
        <v>0</v>
      </c>
      <c r="AB155" s="417"/>
      <c r="AC155" s="417">
        <f>'izvršenje PO IZVORIMA-detaljno'!G155+'izvršenje PO IZVORIMA-detaljno'!M155</f>
        <v>0</v>
      </c>
      <c r="AD155" s="82">
        <f t="shared" si="509"/>
        <v>0</v>
      </c>
      <c r="AE155" s="252">
        <f t="shared" si="438"/>
        <v>0</v>
      </c>
      <c r="AF155" s="108"/>
      <c r="AG155" s="108">
        <f>'izvršenje PO IZVORIMA-detaljno'!J155+'izvršenje PO IZVORIMA-detaljno'!P155</f>
        <v>0</v>
      </c>
      <c r="AH155" s="82">
        <f t="shared" si="509"/>
        <v>0</v>
      </c>
      <c r="AI155" s="252">
        <f t="shared" si="439"/>
        <v>0</v>
      </c>
      <c r="AJ155" s="82">
        <f>'izvršenje PO IZVORIMA-detaljno'!R155</f>
        <v>0</v>
      </c>
      <c r="AK155" s="82">
        <f>'izvršenje PO IZVORIMA-detaljno'!S155</f>
        <v>0</v>
      </c>
      <c r="AL155" s="82">
        <f t="shared" si="509"/>
        <v>0</v>
      </c>
      <c r="AM155" s="252">
        <f t="shared" si="440"/>
        <v>0</v>
      </c>
      <c r="AN155" s="82">
        <f>SUM(AN153:AN154)</f>
        <v>1.1945052757316343</v>
      </c>
      <c r="AO155" s="82">
        <f>'izvršenje PO IZVORIMA-detaljno'!AO155</f>
        <v>0</v>
      </c>
      <c r="AP155" s="82">
        <f t="shared" si="509"/>
        <v>0</v>
      </c>
      <c r="AQ155" s="252">
        <f t="shared" si="441"/>
        <v>0</v>
      </c>
      <c r="AR155" s="82">
        <f>'izvršenje PO IZVORIMA-detaljno'!AQ155</f>
        <v>0</v>
      </c>
      <c r="AS155" s="82">
        <f>'izvršenje PO IZVORIMA-detaljno'!AR155</f>
        <v>0</v>
      </c>
      <c r="AT155" s="82">
        <f t="shared" ref="AT155" si="512">AT153+AT154</f>
        <v>0</v>
      </c>
      <c r="AU155" s="252">
        <f t="shared" si="442"/>
        <v>0</v>
      </c>
      <c r="AV155" s="82">
        <f t="shared" ref="AV155:AX155" si="513">AV153+AV154</f>
        <v>0</v>
      </c>
      <c r="AW155" s="83">
        <f t="shared" si="513"/>
        <v>0</v>
      </c>
      <c r="AX155" s="407">
        <f t="shared" si="513"/>
        <v>0</v>
      </c>
      <c r="AY155" s="83">
        <f t="shared" ref="AY155:AZ155" si="514">AY153+AY154</f>
        <v>0</v>
      </c>
      <c r="AZ155" s="112">
        <f t="shared" si="514"/>
        <v>0</v>
      </c>
      <c r="BA155" s="407">
        <f t="shared" ref="BA155:BB155" si="515">BA153+BA154</f>
        <v>0</v>
      </c>
      <c r="BB155" s="83">
        <f t="shared" si="515"/>
        <v>0</v>
      </c>
      <c r="BC155" s="411">
        <f>AV155+AS155+AO155+AK155+AG155+AC155+Y155+V155+S155+O155+L155+I155+AY155</f>
        <v>0</v>
      </c>
      <c r="BD155" s="83">
        <f t="shared" ref="BD155" si="516">BD153+BD154</f>
        <v>1385.51</v>
      </c>
      <c r="BE155" s="76">
        <v>3431</v>
      </c>
      <c r="BF155" s="522"/>
      <c r="BG155" s="484"/>
      <c r="BH155" s="484"/>
      <c r="BI155" s="527"/>
      <c r="BJ155" s="484"/>
      <c r="BK155" s="484"/>
      <c r="BL155" s="484"/>
      <c r="BM155" s="484"/>
    </row>
    <row r="156" spans="1:65" x14ac:dyDescent="0.25">
      <c r="A156" s="74">
        <v>343311</v>
      </c>
      <c r="B156" s="506" t="s">
        <v>166</v>
      </c>
      <c r="C156" s="75">
        <f t="shared" si="503"/>
        <v>370.16656712456034</v>
      </c>
      <c r="D156" s="75"/>
      <c r="E156" s="122">
        <f t="shared" si="505"/>
        <v>0</v>
      </c>
      <c r="F156" s="240">
        <f t="shared" si="470"/>
        <v>0</v>
      </c>
      <c r="G156" s="241">
        <f t="shared" si="471"/>
        <v>0</v>
      </c>
      <c r="H156" s="123">
        <f>'izvršenje PO IZVORIMA-detaljno'!C156</f>
        <v>370.16656712456034</v>
      </c>
      <c r="I156" s="124"/>
      <c r="J156" s="176">
        <f>'izvršenje PO IZVORIMA-detaljno'!E156</f>
        <v>0</v>
      </c>
      <c r="K156" s="1286">
        <f t="shared" si="506"/>
        <v>0</v>
      </c>
      <c r="L156" s="52"/>
      <c r="M156" s="51"/>
      <c r="N156" s="1419">
        <f>'izvršenje PO IZVORIMA-detaljno'!V156</f>
        <v>0</v>
      </c>
      <c r="O156" s="1314"/>
      <c r="P156" s="1326">
        <f>'izvršenje PO IZVORIMA-detaljno'!X156</f>
        <v>0</v>
      </c>
      <c r="Q156" s="1309">
        <f t="shared" si="435"/>
        <v>0</v>
      </c>
      <c r="R156" s="1314"/>
      <c r="S156" s="1314"/>
      <c r="T156" s="1326">
        <f>'izvršenje PO IZVORIMA-detaljno'!AA156</f>
        <v>0</v>
      </c>
      <c r="U156" s="1309">
        <f t="shared" si="436"/>
        <v>0</v>
      </c>
      <c r="V156" s="1314"/>
      <c r="W156" s="1315"/>
      <c r="X156" s="1307"/>
      <c r="Y156" s="1307"/>
      <c r="Z156" s="1326">
        <f>'izvršenje PO IZVORIMA-detaljno'!AM156+'izvršenje PO IZVORIMA-detaljno'!AJ156+'izvršenje PO IZVORIMA-detaljno'!AC156</f>
        <v>0</v>
      </c>
      <c r="AA156" s="1309">
        <f t="shared" si="437"/>
        <v>0</v>
      </c>
      <c r="AB156" s="1357"/>
      <c r="AC156" s="1357"/>
      <c r="AD156" s="1372">
        <f>'izvršenje PO IZVORIMA-detaljno'!H156+'izvršenje PO IZVORIMA-detaljno'!N156</f>
        <v>0</v>
      </c>
      <c r="AE156" s="1350">
        <f t="shared" si="438"/>
        <v>0</v>
      </c>
      <c r="AF156" s="1357"/>
      <c r="AG156" s="1357"/>
      <c r="AH156" s="1372">
        <f>'izvršenje PO IZVORIMA-detaljno'!K156+'izvršenje PO IZVORIMA-detaljno'!Q156</f>
        <v>0</v>
      </c>
      <c r="AI156" s="1350">
        <f t="shared" si="439"/>
        <v>0</v>
      </c>
      <c r="AJ156" s="1357"/>
      <c r="AK156" s="1357"/>
      <c r="AL156" s="1383">
        <f>'izvršenje PO IZVORIMA-detaljno'!T156+'izvršenje PO IZVORIMA-detaljno'!U156</f>
        <v>0</v>
      </c>
      <c r="AM156" s="1350">
        <f t="shared" si="440"/>
        <v>0</v>
      </c>
      <c r="AN156" s="1370"/>
      <c r="AO156" s="1357"/>
      <c r="AP156" s="1372">
        <f>'izvršenje PO IZVORIMA-detaljno'!AP156</f>
        <v>0</v>
      </c>
      <c r="AQ156" s="1350">
        <f t="shared" si="441"/>
        <v>0</v>
      </c>
      <c r="AR156" s="1357"/>
      <c r="AS156" s="1357"/>
      <c r="AT156" s="1383">
        <f>'izvršenje PO IZVORIMA-detaljno'!AS156</f>
        <v>0</v>
      </c>
      <c r="AU156" s="1350">
        <f t="shared" si="442"/>
        <v>0</v>
      </c>
      <c r="AV156" s="1357"/>
      <c r="AW156" s="1358"/>
      <c r="AX156" s="1435"/>
      <c r="AY156" s="1401"/>
      <c r="AZ156" s="1444"/>
      <c r="BA156" s="180"/>
      <c r="BB156" s="178"/>
      <c r="BC156" s="57"/>
      <c r="BD156" s="126">
        <f>J156+M156+P156+T156+W156+Z156+AD156+AH156+AL156+AP156+AT156+AW156</f>
        <v>0</v>
      </c>
      <c r="BE156" s="74">
        <v>343311</v>
      </c>
      <c r="BG156" s="484"/>
      <c r="BH156" s="484"/>
      <c r="BI156" s="527"/>
    </row>
    <row r="157" spans="1:65" s="6" customFormat="1" x14ac:dyDescent="0.25">
      <c r="A157" s="45">
        <v>343321</v>
      </c>
      <c r="B157" s="507" t="s">
        <v>167</v>
      </c>
      <c r="C157" s="75">
        <f t="shared" si="503"/>
        <v>1933.3200610524918</v>
      </c>
      <c r="D157" s="13"/>
      <c r="E157" s="122">
        <f t="shared" si="505"/>
        <v>0</v>
      </c>
      <c r="F157" s="235">
        <f t="shared" si="470"/>
        <v>0</v>
      </c>
      <c r="G157" s="237">
        <f t="shared" si="471"/>
        <v>0</v>
      </c>
      <c r="H157" s="123">
        <f>'izvršenje PO IZVORIMA-detaljno'!C157</f>
        <v>1933.3081159997346</v>
      </c>
      <c r="I157" s="124"/>
      <c r="J157" s="176">
        <f>'izvršenje PO IZVORIMA-detaljno'!E157</f>
        <v>0</v>
      </c>
      <c r="K157" s="1287">
        <f t="shared" si="506"/>
        <v>0</v>
      </c>
      <c r="L157" s="52"/>
      <c r="M157" s="51"/>
      <c r="N157" s="1419">
        <f>'izvršenje PO IZVORIMA-detaljno'!V157</f>
        <v>0</v>
      </c>
      <c r="O157" s="1314"/>
      <c r="P157" s="1326">
        <f>'izvršenje PO IZVORIMA-detaljno'!X157</f>
        <v>0</v>
      </c>
      <c r="Q157" s="1313">
        <f t="shared" si="435"/>
        <v>0</v>
      </c>
      <c r="R157" s="1314"/>
      <c r="S157" s="1314"/>
      <c r="T157" s="1326">
        <f>'izvršenje PO IZVORIMA-detaljno'!AA157</f>
        <v>0</v>
      </c>
      <c r="U157" s="1313">
        <f t="shared" si="436"/>
        <v>0</v>
      </c>
      <c r="V157" s="1314"/>
      <c r="W157" s="1315"/>
      <c r="X157" s="1307"/>
      <c r="Y157" s="1307"/>
      <c r="Z157" s="1326">
        <f>'izvršenje PO IZVORIMA-detaljno'!AM157+'izvršenje PO IZVORIMA-detaljno'!AJ157+'izvršenje PO IZVORIMA-detaljno'!AC157</f>
        <v>0</v>
      </c>
      <c r="AA157" s="1313">
        <f t="shared" si="437"/>
        <v>0</v>
      </c>
      <c r="AB157" s="1357"/>
      <c r="AC157" s="1357"/>
      <c r="AD157" s="1372">
        <f>'izvršenje PO IZVORIMA-detaljno'!H157+'izvršenje PO IZVORIMA-detaljno'!N157</f>
        <v>0</v>
      </c>
      <c r="AE157" s="1355">
        <f t="shared" si="438"/>
        <v>0</v>
      </c>
      <c r="AF157" s="1357"/>
      <c r="AG157" s="1357"/>
      <c r="AH157" s="1372">
        <f>'izvršenje PO IZVORIMA-detaljno'!K157+'izvršenje PO IZVORIMA-detaljno'!Q157</f>
        <v>0</v>
      </c>
      <c r="AI157" s="1355">
        <f t="shared" si="439"/>
        <v>0</v>
      </c>
      <c r="AJ157" s="1357"/>
      <c r="AK157" s="1357"/>
      <c r="AL157" s="1383">
        <f>'izvršenje PO IZVORIMA-detaljno'!T157+'izvršenje PO IZVORIMA-detaljno'!U157</f>
        <v>0</v>
      </c>
      <c r="AM157" s="1355">
        <f t="shared" si="440"/>
        <v>0</v>
      </c>
      <c r="AN157" s="1372">
        <f>'izvršenje PO IZVORIMA-detaljno'!AN157</f>
        <v>1.1945052757316344E-2</v>
      </c>
      <c r="AO157" s="1357"/>
      <c r="AP157" s="1372">
        <f>'izvršenje PO IZVORIMA-detaljno'!AP157</f>
        <v>0</v>
      </c>
      <c r="AQ157" s="1355">
        <f t="shared" si="441"/>
        <v>0</v>
      </c>
      <c r="AR157" s="1357"/>
      <c r="AS157" s="1357"/>
      <c r="AT157" s="1383">
        <f>'izvršenje PO IZVORIMA-detaljno'!AS157</f>
        <v>0</v>
      </c>
      <c r="AU157" s="1355">
        <f t="shared" si="442"/>
        <v>0</v>
      </c>
      <c r="AV157" s="1357"/>
      <c r="AW157" s="1358"/>
      <c r="AX157" s="1435"/>
      <c r="AY157" s="1401"/>
      <c r="AZ157" s="1444"/>
      <c r="BA157" s="180"/>
      <c r="BB157" s="178"/>
      <c r="BC157" s="57"/>
      <c r="BD157" s="126">
        <f>J157+M157+P157+T157+W157+Z157+AD157+AH157+AL157+AP157+AT157+AW157</f>
        <v>0</v>
      </c>
      <c r="BE157" s="45">
        <v>343321</v>
      </c>
      <c r="BF157" s="518"/>
      <c r="BG157" s="493"/>
      <c r="BH157" s="493"/>
      <c r="BI157" s="530"/>
      <c r="BJ157" s="487"/>
      <c r="BK157" s="487"/>
      <c r="BL157" s="487"/>
      <c r="BM157" s="487"/>
    </row>
    <row r="158" spans="1:65" x14ac:dyDescent="0.25">
      <c r="A158" s="44">
        <v>343331</v>
      </c>
      <c r="B158" s="499" t="s">
        <v>109</v>
      </c>
      <c r="C158" s="75">
        <f t="shared" si="503"/>
        <v>385.86767536001054</v>
      </c>
      <c r="D158" s="8"/>
      <c r="E158" s="122">
        <f t="shared" si="505"/>
        <v>1.85</v>
      </c>
      <c r="F158" s="235">
        <f t="shared" si="470"/>
        <v>0.47943896784667678</v>
      </c>
      <c r="G158" s="237">
        <f t="shared" si="471"/>
        <v>0</v>
      </c>
      <c r="H158" s="123">
        <f>'izvršenje PO IZVORIMA-detaljno'!C158</f>
        <v>351.6039551396907</v>
      </c>
      <c r="I158" s="124"/>
      <c r="J158" s="176">
        <f>'izvršenje PO IZVORIMA-detaljno'!E158</f>
        <v>0</v>
      </c>
      <c r="K158" s="1287">
        <f t="shared" si="506"/>
        <v>0</v>
      </c>
      <c r="L158" s="52"/>
      <c r="M158" s="51"/>
      <c r="N158" s="1419">
        <f>'izvršenje PO IZVORIMA-detaljno'!V158</f>
        <v>34.263720220319861</v>
      </c>
      <c r="O158" s="1314"/>
      <c r="P158" s="1326">
        <f>'izvršenje PO IZVORIMA-detaljno'!X158</f>
        <v>1.85</v>
      </c>
      <c r="Q158" s="1313">
        <f t="shared" si="435"/>
        <v>0</v>
      </c>
      <c r="R158" s="1314"/>
      <c r="S158" s="1314"/>
      <c r="T158" s="1326">
        <f>'izvršenje PO IZVORIMA-detaljno'!AA158</f>
        <v>0</v>
      </c>
      <c r="U158" s="1313">
        <f t="shared" si="436"/>
        <v>0</v>
      </c>
      <c r="V158" s="1314"/>
      <c r="W158" s="1315"/>
      <c r="X158" s="1307"/>
      <c r="Y158" s="1307"/>
      <c r="Z158" s="1326">
        <f>'izvršenje PO IZVORIMA-detaljno'!AM158+'izvršenje PO IZVORIMA-detaljno'!AJ158+'izvršenje PO IZVORIMA-detaljno'!AC158</f>
        <v>0</v>
      </c>
      <c r="AA158" s="1313">
        <f t="shared" si="437"/>
        <v>0</v>
      </c>
      <c r="AB158" s="1357"/>
      <c r="AC158" s="1357"/>
      <c r="AD158" s="1372">
        <f>'izvršenje PO IZVORIMA-detaljno'!H158+'izvršenje PO IZVORIMA-detaljno'!N158</f>
        <v>0</v>
      </c>
      <c r="AE158" s="1355">
        <f t="shared" si="438"/>
        <v>0</v>
      </c>
      <c r="AF158" s="1357"/>
      <c r="AG158" s="1357"/>
      <c r="AH158" s="1372">
        <f>'izvršenje PO IZVORIMA-detaljno'!K158+'izvršenje PO IZVORIMA-detaljno'!Q158</f>
        <v>0</v>
      </c>
      <c r="AI158" s="1355">
        <f t="shared" si="439"/>
        <v>0</v>
      </c>
      <c r="AJ158" s="1357"/>
      <c r="AK158" s="1357"/>
      <c r="AL158" s="1383">
        <f>'izvršenje PO IZVORIMA-detaljno'!T158+'izvršenje PO IZVORIMA-detaljno'!U158</f>
        <v>0</v>
      </c>
      <c r="AM158" s="1355">
        <f t="shared" si="440"/>
        <v>0</v>
      </c>
      <c r="AN158" s="1370"/>
      <c r="AO158" s="1357"/>
      <c r="AP158" s="1372">
        <f>'izvršenje PO IZVORIMA-detaljno'!AP158</f>
        <v>0</v>
      </c>
      <c r="AQ158" s="1355">
        <f t="shared" si="441"/>
        <v>0</v>
      </c>
      <c r="AR158" s="1357"/>
      <c r="AS158" s="1357"/>
      <c r="AT158" s="1383">
        <f>'izvršenje PO IZVORIMA-detaljno'!AS158</f>
        <v>0</v>
      </c>
      <c r="AU158" s="1355">
        <f t="shared" si="442"/>
        <v>0</v>
      </c>
      <c r="AV158" s="1357"/>
      <c r="AW158" s="1358"/>
      <c r="AX158" s="1435"/>
      <c r="AY158" s="1401"/>
      <c r="AZ158" s="1444"/>
      <c r="BA158" s="180"/>
      <c r="BB158" s="178"/>
      <c r="BC158" s="57"/>
      <c r="BD158" s="126">
        <f>J158+M158+P158+T158+W158+Z158+AD158+AH158+AL158+AP158+AT158+AW158</f>
        <v>1.85</v>
      </c>
      <c r="BE158" s="44">
        <v>343331</v>
      </c>
      <c r="BG158" s="484"/>
      <c r="BH158" s="484"/>
      <c r="BI158" s="527"/>
    </row>
    <row r="159" spans="1:65" ht="15.75" thickBot="1" x14ac:dyDescent="0.3">
      <c r="A159" s="47">
        <v>343391</v>
      </c>
      <c r="B159" s="500" t="s">
        <v>151</v>
      </c>
      <c r="C159" s="75">
        <f t="shared" si="503"/>
        <v>3198.6541907226751</v>
      </c>
      <c r="D159" s="4"/>
      <c r="E159" s="122">
        <f t="shared" si="505"/>
        <v>0</v>
      </c>
      <c r="F159" s="242">
        <f t="shared" si="470"/>
        <v>0</v>
      </c>
      <c r="G159" s="243">
        <f t="shared" si="471"/>
        <v>0</v>
      </c>
      <c r="H159" s="123">
        <f>'izvršenje PO IZVORIMA-detaljno'!C159</f>
        <v>3198.6541907226751</v>
      </c>
      <c r="I159" s="124"/>
      <c r="J159" s="176">
        <f>'izvršenje PO IZVORIMA-detaljno'!E159</f>
        <v>0</v>
      </c>
      <c r="K159" s="1288">
        <f t="shared" si="506"/>
        <v>0</v>
      </c>
      <c r="L159" s="52"/>
      <c r="M159" s="51"/>
      <c r="N159" s="1419">
        <f>'izvršenje PO IZVORIMA-detaljno'!V159</f>
        <v>0</v>
      </c>
      <c r="O159" s="1314"/>
      <c r="P159" s="1326">
        <f>'izvršenje PO IZVORIMA-detaljno'!X159</f>
        <v>0</v>
      </c>
      <c r="Q159" s="1316">
        <f t="shared" si="435"/>
        <v>0</v>
      </c>
      <c r="R159" s="1314"/>
      <c r="S159" s="1314"/>
      <c r="T159" s="1326">
        <f>'izvršenje PO IZVORIMA-detaljno'!AA159</f>
        <v>0</v>
      </c>
      <c r="U159" s="1316">
        <f t="shared" si="436"/>
        <v>0</v>
      </c>
      <c r="V159" s="1314"/>
      <c r="W159" s="1315"/>
      <c r="X159" s="1307"/>
      <c r="Y159" s="1307"/>
      <c r="Z159" s="1326">
        <f>'izvršenje PO IZVORIMA-detaljno'!AM159+'izvršenje PO IZVORIMA-detaljno'!AJ159+'izvršenje PO IZVORIMA-detaljno'!AC159</f>
        <v>0</v>
      </c>
      <c r="AA159" s="1316">
        <f t="shared" si="437"/>
        <v>0</v>
      </c>
      <c r="AB159" s="1357"/>
      <c r="AC159" s="1357"/>
      <c r="AD159" s="1372">
        <f>'izvršenje PO IZVORIMA-detaljno'!H159+'izvršenje PO IZVORIMA-detaljno'!N159</f>
        <v>0</v>
      </c>
      <c r="AE159" s="1359">
        <f t="shared" si="438"/>
        <v>0</v>
      </c>
      <c r="AF159" s="1357"/>
      <c r="AG159" s="1357"/>
      <c r="AH159" s="1372">
        <f>'izvršenje PO IZVORIMA-detaljno'!K159+'izvršenje PO IZVORIMA-detaljno'!Q159</f>
        <v>0</v>
      </c>
      <c r="AI159" s="1359">
        <f t="shared" si="439"/>
        <v>0</v>
      </c>
      <c r="AJ159" s="1357"/>
      <c r="AK159" s="1357"/>
      <c r="AL159" s="1383">
        <f>'izvršenje PO IZVORIMA-detaljno'!T159+'izvršenje PO IZVORIMA-detaljno'!U159</f>
        <v>0</v>
      </c>
      <c r="AM159" s="1359">
        <f t="shared" si="440"/>
        <v>0</v>
      </c>
      <c r="AN159" s="1372"/>
      <c r="AO159" s="1357"/>
      <c r="AP159" s="1372">
        <f>'izvršenje PO IZVORIMA-detaljno'!AP159</f>
        <v>0</v>
      </c>
      <c r="AQ159" s="1359">
        <f t="shared" si="441"/>
        <v>0</v>
      </c>
      <c r="AR159" s="1357"/>
      <c r="AS159" s="1357"/>
      <c r="AT159" s="1383">
        <f>'izvršenje PO IZVORIMA-detaljno'!AS159</f>
        <v>0</v>
      </c>
      <c r="AU159" s="1359">
        <f t="shared" si="442"/>
        <v>0</v>
      </c>
      <c r="AV159" s="1357"/>
      <c r="AW159" s="1358"/>
      <c r="AX159" s="1435"/>
      <c r="AY159" s="1401"/>
      <c r="AZ159" s="1444"/>
      <c r="BA159" s="180"/>
      <c r="BB159" s="178"/>
      <c r="BC159" s="57"/>
      <c r="BD159" s="126">
        <f>J159+M159+P159+T159+W159+Z159+AD159+AH159+AL159+AP159+AT159+AW159</f>
        <v>0</v>
      </c>
      <c r="BE159" s="47">
        <v>343391</v>
      </c>
      <c r="BG159" s="484"/>
      <c r="BH159" s="484"/>
      <c r="BI159" s="527"/>
    </row>
    <row r="160" spans="1:65" s="24" customFormat="1" ht="15.75" thickBot="1" x14ac:dyDescent="0.3">
      <c r="A160" s="76">
        <v>3433</v>
      </c>
      <c r="B160" s="505" t="s">
        <v>165</v>
      </c>
      <c r="C160" s="82">
        <f>SUM(C156:C159)</f>
        <v>5888.0084942597387</v>
      </c>
      <c r="D160" s="82">
        <f>SUM(D156:D159)</f>
        <v>0</v>
      </c>
      <c r="E160" s="83">
        <f>SUM(E156:E159)</f>
        <v>1.85</v>
      </c>
      <c r="F160" s="253">
        <f t="shared" si="470"/>
        <v>3.1419791629097991E-2</v>
      </c>
      <c r="G160" s="252">
        <f t="shared" si="471"/>
        <v>0</v>
      </c>
      <c r="H160" s="411">
        <f>SUM(H156:H159)</f>
        <v>5853.7328289866609</v>
      </c>
      <c r="I160" s="115">
        <f t="shared" ref="I160:W160" si="517">SUM(I156:I159)</f>
        <v>0</v>
      </c>
      <c r="J160" s="82">
        <f t="shared" si="517"/>
        <v>0</v>
      </c>
      <c r="K160" s="252">
        <f t="shared" si="506"/>
        <v>0</v>
      </c>
      <c r="L160" s="82">
        <f t="shared" si="517"/>
        <v>0</v>
      </c>
      <c r="M160" s="112">
        <f t="shared" si="517"/>
        <v>0</v>
      </c>
      <c r="N160" s="417">
        <f t="shared" ref="N160" si="518">SUM(N156:N159)</f>
        <v>34.263720220319861</v>
      </c>
      <c r="O160" s="82">
        <f t="shared" si="517"/>
        <v>0</v>
      </c>
      <c r="P160" s="82">
        <f>SUM(P156:P159)</f>
        <v>1.85</v>
      </c>
      <c r="Q160" s="252">
        <f t="shared" si="435"/>
        <v>0</v>
      </c>
      <c r="R160" s="82">
        <f t="shared" ref="R160" si="519">SUM(R156:R159)</f>
        <v>0</v>
      </c>
      <c r="S160" s="82">
        <f t="shared" si="517"/>
        <v>0</v>
      </c>
      <c r="T160" s="82">
        <f t="shared" si="517"/>
        <v>0</v>
      </c>
      <c r="U160" s="252">
        <f t="shared" si="436"/>
        <v>0</v>
      </c>
      <c r="V160" s="82">
        <f t="shared" si="517"/>
        <v>0</v>
      </c>
      <c r="W160" s="82">
        <f t="shared" si="517"/>
        <v>0</v>
      </c>
      <c r="X160" s="82"/>
      <c r="Y160" s="82">
        <f>'izvršenje PO IZVORIMA-detaljno'!AI160+'izvršenje PO IZVORIMA-detaljno'!AL160+'izvršenje PO IZVORIMA-detaljno'!AB160</f>
        <v>0</v>
      </c>
      <c r="Z160" s="112">
        <f>SUM(Z156:Z159)</f>
        <v>0</v>
      </c>
      <c r="AA160" s="252">
        <f t="shared" si="437"/>
        <v>0</v>
      </c>
      <c r="AB160" s="417"/>
      <c r="AC160" s="417">
        <f>'izvršenje PO IZVORIMA-detaljno'!G160+'izvršenje PO IZVORIMA-detaljno'!M160</f>
        <v>0</v>
      </c>
      <c r="AD160" s="82">
        <f>SUM(AD156:AD159)</f>
        <v>0</v>
      </c>
      <c r="AE160" s="252">
        <f t="shared" si="438"/>
        <v>0</v>
      </c>
      <c r="AF160" s="108"/>
      <c r="AG160" s="108">
        <f>'izvršenje PO IZVORIMA-detaljno'!J160+'izvršenje PO IZVORIMA-detaljno'!P160</f>
        <v>0</v>
      </c>
      <c r="AH160" s="82">
        <f>SUM(AH156:AH159)</f>
        <v>0</v>
      </c>
      <c r="AI160" s="252">
        <f t="shared" si="439"/>
        <v>0</v>
      </c>
      <c r="AJ160" s="82">
        <f>'izvršenje PO IZVORIMA-detaljno'!R160</f>
        <v>0</v>
      </c>
      <c r="AK160" s="82">
        <f>'izvršenje PO IZVORIMA-detaljno'!S160</f>
        <v>0</v>
      </c>
      <c r="AL160" s="82">
        <f>SUM(AL156:AL159)</f>
        <v>0</v>
      </c>
      <c r="AM160" s="252">
        <f t="shared" si="440"/>
        <v>0</v>
      </c>
      <c r="AN160" s="82">
        <f>SUM(AN156:AN159)</f>
        <v>1.1945052757316344E-2</v>
      </c>
      <c r="AO160" s="82">
        <f>'izvršenje PO IZVORIMA-detaljno'!AO160</f>
        <v>0</v>
      </c>
      <c r="AP160" s="82">
        <f>SUM(AP156:AP159)</f>
        <v>0</v>
      </c>
      <c r="AQ160" s="252">
        <f t="shared" si="441"/>
        <v>0</v>
      </c>
      <c r="AR160" s="82">
        <f>'izvršenje PO IZVORIMA-detaljno'!AQ160</f>
        <v>0</v>
      </c>
      <c r="AS160" s="82">
        <f>'izvršenje PO IZVORIMA-detaljno'!AR160</f>
        <v>0</v>
      </c>
      <c r="AT160" s="82">
        <f>SUM(AT156:AT159)</f>
        <v>0</v>
      </c>
      <c r="AU160" s="252">
        <f t="shared" si="442"/>
        <v>0</v>
      </c>
      <c r="AV160" s="82">
        <f t="shared" ref="AV160:BB160" si="520">SUM(AV156:AV159)</f>
        <v>0</v>
      </c>
      <c r="AW160" s="83">
        <f t="shared" si="520"/>
        <v>0</v>
      </c>
      <c r="AX160" s="407">
        <f t="shared" si="520"/>
        <v>0</v>
      </c>
      <c r="AY160" s="83">
        <f t="shared" si="520"/>
        <v>0</v>
      </c>
      <c r="AZ160" s="112">
        <f t="shared" si="520"/>
        <v>0</v>
      </c>
      <c r="BA160" s="407">
        <f t="shared" si="520"/>
        <v>0</v>
      </c>
      <c r="BB160" s="83">
        <f t="shared" si="520"/>
        <v>0</v>
      </c>
      <c r="BC160" s="411">
        <f>AV160+AS160+AO160+AK160+AG160+AC160+Y160+V160+S160+O160+L160+I160+AY160</f>
        <v>0</v>
      </c>
      <c r="BD160" s="83">
        <f>SUM(BD156:BD159)</f>
        <v>1.85</v>
      </c>
      <c r="BE160" s="76">
        <v>3433</v>
      </c>
      <c r="BF160" s="522"/>
      <c r="BG160" s="489"/>
      <c r="BH160" s="489"/>
      <c r="BI160" s="529"/>
      <c r="BJ160" s="489"/>
      <c r="BK160" s="489"/>
      <c r="BL160" s="489"/>
      <c r="BM160" s="489"/>
    </row>
    <row r="161" spans="1:65" ht="15.75" thickBot="1" x14ac:dyDescent="0.3">
      <c r="A161" s="47">
        <v>343391</v>
      </c>
      <c r="B161" s="500" t="s">
        <v>241</v>
      </c>
      <c r="C161" s="75">
        <f t="shared" si="503"/>
        <v>859.60448603092436</v>
      </c>
      <c r="D161" s="4"/>
      <c r="E161" s="122">
        <f t="shared" si="505"/>
        <v>2937.33</v>
      </c>
      <c r="F161" s="246">
        <f t="shared" si="470"/>
        <v>341.70715110650656</v>
      </c>
      <c r="G161" s="247">
        <f t="shared" si="471"/>
        <v>0</v>
      </c>
      <c r="H161" s="124"/>
      <c r="I161" s="124"/>
      <c r="J161" s="51"/>
      <c r="K161" s="1292">
        <f t="shared" si="506"/>
        <v>0</v>
      </c>
      <c r="L161" s="52"/>
      <c r="M161" s="51"/>
      <c r="N161" s="1419">
        <f>'izvršenje PO IZVORIMA-detaljno'!V161</f>
        <v>0</v>
      </c>
      <c r="O161" s="1314"/>
      <c r="P161" s="1326">
        <f>'izvršenje PO IZVORIMA-detaljno'!X161</f>
        <v>0</v>
      </c>
      <c r="Q161" s="1325">
        <f t="shared" si="435"/>
        <v>0</v>
      </c>
      <c r="R161" s="1326">
        <f>'izvršenje PO IZVORIMA-detaljno'!Y162</f>
        <v>0</v>
      </c>
      <c r="S161" s="1314"/>
      <c r="T161" s="1326">
        <f>'izvršenje PO IZVORIMA-detaljno'!AA161</f>
        <v>2919.9</v>
      </c>
      <c r="U161" s="1325">
        <f t="shared" si="436"/>
        <v>0</v>
      </c>
      <c r="V161" s="1314"/>
      <c r="W161" s="1315"/>
      <c r="X161" s="1307"/>
      <c r="Y161" s="1307"/>
      <c r="Z161" s="1326">
        <f>'izvršenje PO IZVORIMA-detaljno'!AM161+'izvršenje PO IZVORIMA-detaljno'!AJ161+'izvršenje PO IZVORIMA-detaljno'!AC161</f>
        <v>0</v>
      </c>
      <c r="AA161" s="1325">
        <f t="shared" si="437"/>
        <v>0</v>
      </c>
      <c r="AB161" s="1357"/>
      <c r="AC161" s="1357"/>
      <c r="AD161" s="1372">
        <f>'izvršenje PO IZVORIMA-detaljno'!H161+'izvršenje PO IZVORIMA-detaljno'!N161</f>
        <v>0</v>
      </c>
      <c r="AE161" s="1371">
        <f t="shared" si="438"/>
        <v>0</v>
      </c>
      <c r="AF161" s="1357"/>
      <c r="AG161" s="1357"/>
      <c r="AH161" s="1372">
        <f>'izvršenje PO IZVORIMA-detaljno'!K161+'izvršenje PO IZVORIMA-detaljno'!Q161</f>
        <v>0</v>
      </c>
      <c r="AI161" s="1371">
        <f t="shared" si="439"/>
        <v>0</v>
      </c>
      <c r="AJ161" s="1357"/>
      <c r="AK161" s="1357"/>
      <c r="AL161" s="1383">
        <f>'izvršenje PO IZVORIMA-detaljno'!T161+'izvršenje PO IZVORIMA-detaljno'!U161</f>
        <v>0</v>
      </c>
      <c r="AM161" s="1371">
        <f t="shared" si="440"/>
        <v>0</v>
      </c>
      <c r="AN161" s="1372">
        <f>'izvršenje PO IZVORIMA-detaljno'!AN161</f>
        <v>859.60448603092436</v>
      </c>
      <c r="AO161" s="1357"/>
      <c r="AP161" s="1372">
        <f>'izvršenje PO IZVORIMA-detaljno'!AP161</f>
        <v>17.43</v>
      </c>
      <c r="AQ161" s="1371">
        <f t="shared" si="441"/>
        <v>0</v>
      </c>
      <c r="AR161" s="1357"/>
      <c r="AS161" s="1357"/>
      <c r="AT161" s="1383">
        <f>'izvršenje PO IZVORIMA-detaljno'!AS161</f>
        <v>0</v>
      </c>
      <c r="AU161" s="1371">
        <f t="shared" si="442"/>
        <v>0</v>
      </c>
      <c r="AV161" s="1357"/>
      <c r="AW161" s="1358"/>
      <c r="AX161" s="1435"/>
      <c r="AY161" s="1401"/>
      <c r="AZ161" s="1444"/>
      <c r="BA161" s="180"/>
      <c r="BB161" s="178"/>
      <c r="BC161" s="57"/>
      <c r="BD161" s="126">
        <f>J161+M161+P161+T161+W161+Z161+AD161+AH161+AL161+AP161+AT161+AW161</f>
        <v>2937.33</v>
      </c>
      <c r="BE161" s="47">
        <v>343391</v>
      </c>
      <c r="BG161" s="484"/>
      <c r="BH161" s="484"/>
      <c r="BI161" s="527"/>
    </row>
    <row r="162" spans="1:65" s="24" customFormat="1" ht="15.75" thickBot="1" x14ac:dyDescent="0.3">
      <c r="A162" s="76">
        <v>3434</v>
      </c>
      <c r="B162" s="505" t="s">
        <v>165</v>
      </c>
      <c r="C162" s="82">
        <f>SUM(C161)</f>
        <v>859.60448603092436</v>
      </c>
      <c r="D162" s="82">
        <f t="shared" ref="D162" si="521">SUM(D158:D161)</f>
        <v>0</v>
      </c>
      <c r="E162" s="83">
        <f>SUM(E161)</f>
        <v>2937.33</v>
      </c>
      <c r="F162" s="253">
        <f t="shared" si="470"/>
        <v>341.70715110650656</v>
      </c>
      <c r="G162" s="252">
        <f t="shared" si="471"/>
        <v>0</v>
      </c>
      <c r="H162" s="411">
        <f>SUM(H161)</f>
        <v>0</v>
      </c>
      <c r="I162" s="115">
        <f>SUM(I158:I161)</f>
        <v>0</v>
      </c>
      <c r="J162" s="83">
        <f>SUM(J161)</f>
        <v>0</v>
      </c>
      <c r="K162" s="252">
        <f t="shared" si="506"/>
        <v>0</v>
      </c>
      <c r="L162" s="83">
        <f>SUM(L161)</f>
        <v>0</v>
      </c>
      <c r="M162" s="112">
        <f t="shared" ref="M162:W162" si="522">SUM(M158:M161)</f>
        <v>0</v>
      </c>
      <c r="N162" s="417">
        <f>SUM(N161)</f>
        <v>0</v>
      </c>
      <c r="O162" s="82">
        <f t="shared" si="522"/>
        <v>0</v>
      </c>
      <c r="P162" s="82">
        <f>SUM(P161)</f>
        <v>0</v>
      </c>
      <c r="Q162" s="252">
        <f t="shared" si="435"/>
        <v>0</v>
      </c>
      <c r="R162" s="82">
        <f t="shared" ref="R162" si="523">SUM(R158:R161)</f>
        <v>0</v>
      </c>
      <c r="S162" s="82">
        <f t="shared" si="522"/>
        <v>0</v>
      </c>
      <c r="T162" s="82">
        <f>SUM(T161)</f>
        <v>2919.9</v>
      </c>
      <c r="U162" s="252">
        <f t="shared" si="436"/>
        <v>0</v>
      </c>
      <c r="V162" s="82">
        <f t="shared" si="522"/>
        <v>0</v>
      </c>
      <c r="W162" s="82">
        <f t="shared" si="522"/>
        <v>0</v>
      </c>
      <c r="X162" s="82"/>
      <c r="Y162" s="82">
        <f>'izvršenje PO IZVORIMA-detaljno'!AI162+'izvršenje PO IZVORIMA-detaljno'!AL162+'izvršenje PO IZVORIMA-detaljno'!AB162</f>
        <v>0</v>
      </c>
      <c r="Z162" s="112">
        <f t="shared" ref="Z162" si="524">SUM(Z158:Z161)</f>
        <v>0</v>
      </c>
      <c r="AA162" s="252">
        <f t="shared" si="437"/>
        <v>0</v>
      </c>
      <c r="AB162" s="417">
        <f t="shared" ref="AB162:AD162" si="525">SUM(AB158:AB161)</f>
        <v>0</v>
      </c>
      <c r="AC162" s="417">
        <f>'izvršenje PO IZVORIMA-detaljno'!G162+'izvršenje PO IZVORIMA-detaljno'!M162</f>
        <v>0</v>
      </c>
      <c r="AD162" s="82">
        <f t="shared" si="525"/>
        <v>0</v>
      </c>
      <c r="AE162" s="252">
        <f t="shared" si="438"/>
        <v>0</v>
      </c>
      <c r="AF162" s="108"/>
      <c r="AG162" s="108">
        <f>'izvršenje PO IZVORIMA-detaljno'!J162+'izvršenje PO IZVORIMA-detaljno'!P162</f>
        <v>0</v>
      </c>
      <c r="AH162" s="82">
        <f t="shared" ref="AH162" si="526">SUM(AH158:AH161)</f>
        <v>0</v>
      </c>
      <c r="AI162" s="252">
        <f t="shared" si="439"/>
        <v>0</v>
      </c>
      <c r="AJ162" s="82">
        <f>'izvršenje PO IZVORIMA-detaljno'!R162</f>
        <v>0</v>
      </c>
      <c r="AK162" s="82">
        <f>'izvršenje PO IZVORIMA-detaljno'!S162</f>
        <v>0</v>
      </c>
      <c r="AL162" s="82">
        <f t="shared" ref="AL162" si="527">SUM(AL158:AL161)</f>
        <v>0</v>
      </c>
      <c r="AM162" s="252">
        <f t="shared" si="440"/>
        <v>0</v>
      </c>
      <c r="AN162" s="82">
        <f>SUM(AN161)</f>
        <v>859.60448603092436</v>
      </c>
      <c r="AO162" s="82">
        <f>'izvršenje PO IZVORIMA-detaljno'!AO162</f>
        <v>0</v>
      </c>
      <c r="AP162" s="82">
        <f>SUM(AP161)</f>
        <v>17.43</v>
      </c>
      <c r="AQ162" s="252">
        <f t="shared" si="441"/>
        <v>0</v>
      </c>
      <c r="AR162" s="82">
        <f>'izvršenje PO IZVORIMA-detaljno'!AQ162</f>
        <v>0</v>
      </c>
      <c r="AS162" s="82">
        <f>'izvršenje PO IZVORIMA-detaljno'!AR162</f>
        <v>0</v>
      </c>
      <c r="AT162" s="82">
        <f t="shared" ref="AT162" si="528">SUM(AT158:AT161)</f>
        <v>0</v>
      </c>
      <c r="AU162" s="252">
        <f t="shared" si="442"/>
        <v>0</v>
      </c>
      <c r="AV162" s="82">
        <f t="shared" ref="AV162:AX162" si="529">SUM(AV158:AV161)</f>
        <v>0</v>
      </c>
      <c r="AW162" s="83">
        <f t="shared" si="529"/>
        <v>0</v>
      </c>
      <c r="AX162" s="407">
        <f t="shared" si="529"/>
        <v>0</v>
      </c>
      <c r="AY162" s="83">
        <f t="shared" ref="AY162:AZ162" si="530">SUM(AY158:AY161)</f>
        <v>0</v>
      </c>
      <c r="AZ162" s="112">
        <f t="shared" si="530"/>
        <v>0</v>
      </c>
      <c r="BA162" s="407">
        <f t="shared" ref="BA162:BB162" si="531">SUM(BA158:BA161)</f>
        <v>0</v>
      </c>
      <c r="BB162" s="83">
        <f t="shared" si="531"/>
        <v>0</v>
      </c>
      <c r="BC162" s="411">
        <f>AV162+AS162+AO162+AK162+AG162+AC162+Y162+V162+S162+O162+L162+I162</f>
        <v>0</v>
      </c>
      <c r="BD162" s="83">
        <f>SUM(BD161)</f>
        <v>2937.33</v>
      </c>
      <c r="BE162" s="76">
        <v>3434</v>
      </c>
      <c r="BF162" s="522"/>
      <c r="BG162" s="489"/>
      <c r="BH162" s="489"/>
      <c r="BI162" s="529"/>
      <c r="BJ162" s="489"/>
      <c r="BK162" s="489"/>
      <c r="BL162" s="489"/>
      <c r="BM162" s="489"/>
    </row>
    <row r="163" spans="1:65" s="1539" customFormat="1" ht="15.75" thickBot="1" x14ac:dyDescent="0.3">
      <c r="A163" s="76">
        <v>34</v>
      </c>
      <c r="B163" s="505" t="s">
        <v>110</v>
      </c>
      <c r="C163" s="83">
        <f>C155+C160+C162</f>
        <v>8227.3170084278991</v>
      </c>
      <c r="D163" s="82">
        <f>BC163</f>
        <v>6620</v>
      </c>
      <c r="E163" s="83">
        <f>E155+E160+E162+E152</f>
        <v>10920.9</v>
      </c>
      <c r="F163" s="253">
        <f>IF(C163&lt;&gt;0,E163/C163*100,0)</f>
        <v>132.73950655861256</v>
      </c>
      <c r="G163" s="252">
        <f t="shared" si="471"/>
        <v>164.96827794561932</v>
      </c>
      <c r="H163" s="411">
        <f>H155+H160+H162</f>
        <v>5853.7328289866609</v>
      </c>
      <c r="I163" s="115">
        <f>'izvršenje PO IZVORIMA-detaljno'!D163</f>
        <v>1500</v>
      </c>
      <c r="J163" s="82">
        <f>J155+J160</f>
        <v>0</v>
      </c>
      <c r="K163" s="252">
        <f t="shared" si="506"/>
        <v>0</v>
      </c>
      <c r="L163" s="82">
        <f>L155+L160</f>
        <v>0</v>
      </c>
      <c r="M163" s="112">
        <f>M155+M160</f>
        <v>0</v>
      </c>
      <c r="N163" s="417">
        <f>N155+N160</f>
        <v>1512.7732430818235</v>
      </c>
      <c r="O163" s="82">
        <f>'izvršenje PO IZVORIMA-detaljno'!W163</f>
        <v>1600</v>
      </c>
      <c r="P163" s="82">
        <f>P155+P160</f>
        <v>1387.36</v>
      </c>
      <c r="Q163" s="252">
        <f t="shared" si="435"/>
        <v>86.71</v>
      </c>
      <c r="R163" s="82">
        <f>R155+R160+R162</f>
        <v>0</v>
      </c>
      <c r="S163" s="82">
        <f>'izvršenje PO IZVORIMA-detaljno'!Z163</f>
        <v>2920</v>
      </c>
      <c r="T163" s="82">
        <f>T155+T160+T162</f>
        <v>2919.9</v>
      </c>
      <c r="U163" s="252">
        <f t="shared" si="436"/>
        <v>99.996575342465761</v>
      </c>
      <c r="V163" s="82">
        <f>V155+V160</f>
        <v>0</v>
      </c>
      <c r="W163" s="82">
        <f>W155+W160</f>
        <v>0</v>
      </c>
      <c r="X163" s="82"/>
      <c r="Y163" s="82">
        <f>'izvršenje PO IZVORIMA-detaljno'!AI163+'izvršenje PO IZVORIMA-detaljno'!AL163+'izvršenje PO IZVORIMA-detaljno'!AB163</f>
        <v>0</v>
      </c>
      <c r="Z163" s="112">
        <f>Z155+Z160</f>
        <v>0</v>
      </c>
      <c r="AA163" s="252">
        <f t="shared" si="437"/>
        <v>0</v>
      </c>
      <c r="AB163" s="417">
        <f>AB155+AB160</f>
        <v>0</v>
      </c>
      <c r="AC163" s="417">
        <f>'izvršenje PO IZVORIMA-detaljno'!G163+'izvršenje PO IZVORIMA-detaljno'!M163</f>
        <v>0</v>
      </c>
      <c r="AD163" s="82">
        <f>AD155+AD160</f>
        <v>0</v>
      </c>
      <c r="AE163" s="252">
        <f t="shared" si="438"/>
        <v>0</v>
      </c>
      <c r="AF163" s="108"/>
      <c r="AG163" s="108">
        <f>'izvršenje PO IZVORIMA-detaljno'!J163+'izvršenje PO IZVORIMA-detaljno'!P163</f>
        <v>0</v>
      </c>
      <c r="AH163" s="82">
        <f>AH155+AH160</f>
        <v>0</v>
      </c>
      <c r="AI163" s="252">
        <f t="shared" si="439"/>
        <v>0</v>
      </c>
      <c r="AJ163" s="82">
        <f>'izvršenje PO IZVORIMA-detaljno'!R163</f>
        <v>0</v>
      </c>
      <c r="AK163" s="82">
        <f>'izvršenje PO IZVORIMA-detaljno'!S163</f>
        <v>0</v>
      </c>
      <c r="AL163" s="82">
        <f>AL155+AL160</f>
        <v>0</v>
      </c>
      <c r="AM163" s="252">
        <f t="shared" si="440"/>
        <v>0</v>
      </c>
      <c r="AN163" s="82">
        <f>AN155+AN160+AN162</f>
        <v>860.81093635941329</v>
      </c>
      <c r="AO163" s="82">
        <f>'izvršenje PO IZVORIMA-detaljno'!AO163</f>
        <v>600</v>
      </c>
      <c r="AP163" s="82">
        <f>AP155+AP160+AP162</f>
        <v>17.43</v>
      </c>
      <c r="AQ163" s="252">
        <f t="shared" si="441"/>
        <v>2.9049999999999998</v>
      </c>
      <c r="AR163" s="82">
        <f>'izvršenje PO IZVORIMA-detaljno'!AQ163</f>
        <v>0</v>
      </c>
      <c r="AS163" s="82">
        <f>'izvršenje PO IZVORIMA-detaljno'!AR163</f>
        <v>0</v>
      </c>
      <c r="AT163" s="82">
        <f>AT155+AT160</f>
        <v>0</v>
      </c>
      <c r="AU163" s="252">
        <f t="shared" si="442"/>
        <v>0</v>
      </c>
      <c r="AV163" s="82">
        <f t="shared" ref="AV163:BB163" si="532">AV155+AV160</f>
        <v>0</v>
      </c>
      <c r="AW163" s="83">
        <f t="shared" si="532"/>
        <v>0</v>
      </c>
      <c r="AX163" s="407">
        <f t="shared" si="532"/>
        <v>0</v>
      </c>
      <c r="AY163" s="83">
        <f t="shared" si="532"/>
        <v>0</v>
      </c>
      <c r="AZ163" s="112">
        <f t="shared" si="532"/>
        <v>0</v>
      </c>
      <c r="BA163" s="407">
        <f t="shared" si="532"/>
        <v>0</v>
      </c>
      <c r="BB163" s="83">
        <f t="shared" si="532"/>
        <v>0</v>
      </c>
      <c r="BC163" s="411">
        <f>AV163+AS163+AO163+AK163+AG163+AC163+Y163+V163+S163+O163+L163+I163+AY163</f>
        <v>6620</v>
      </c>
      <c r="BD163" s="83">
        <f>BD155+BD160+BD162+BD152</f>
        <v>10920.9</v>
      </c>
      <c r="BE163" s="76">
        <v>34</v>
      </c>
      <c r="BF163" s="522"/>
      <c r="BG163" s="493"/>
      <c r="BH163" s="493"/>
      <c r="BI163" s="530"/>
      <c r="BJ163" s="493"/>
      <c r="BK163" s="493"/>
      <c r="BL163" s="493"/>
      <c r="BM163" s="493"/>
    </row>
    <row r="164" spans="1:65" s="2" customFormat="1" ht="15.75" thickBot="1" x14ac:dyDescent="0.3">
      <c r="A164" s="77">
        <v>353111</v>
      </c>
      <c r="B164" s="502" t="s">
        <v>177</v>
      </c>
      <c r="C164" s="75">
        <f t="shared" ref="C164:C174" si="533">H164+N164+R164+X164+AB164+AF164+AJ164+AN164+AR164+AX164</f>
        <v>99471.35841794411</v>
      </c>
      <c r="D164" s="92"/>
      <c r="E164" s="122">
        <f t="shared" ref="E164:E173" si="534">BD164</f>
        <v>74671.489999999991</v>
      </c>
      <c r="F164" s="246">
        <f t="shared" si="470"/>
        <v>75.068332420128741</v>
      </c>
      <c r="G164" s="247">
        <f t="shared" si="471"/>
        <v>0</v>
      </c>
      <c r="H164" s="125"/>
      <c r="I164" s="125"/>
      <c r="J164" s="60"/>
      <c r="K164" s="1292">
        <f t="shared" si="506"/>
        <v>0</v>
      </c>
      <c r="L164" s="59"/>
      <c r="M164" s="60"/>
      <c r="N164" s="1420">
        <f>'izvršenje PO IZVORIMA-detaljno'!V166</f>
        <v>0</v>
      </c>
      <c r="O164" s="1328"/>
      <c r="P164" s="1330">
        <f>'izvršenje PO IZVORIMA-detaljno'!X166</f>
        <v>0</v>
      </c>
      <c r="Q164" s="1325">
        <f t="shared" si="435"/>
        <v>0</v>
      </c>
      <c r="R164" s="1328"/>
      <c r="S164" s="1328"/>
      <c r="T164" s="1326">
        <f>'izvršenje PO IZVORIMA-detaljno'!AA164</f>
        <v>0</v>
      </c>
      <c r="U164" s="1325">
        <f t="shared" si="436"/>
        <v>0</v>
      </c>
      <c r="V164" s="1328"/>
      <c r="W164" s="1329"/>
      <c r="X164" s="1307"/>
      <c r="Y164" s="1307"/>
      <c r="Z164" s="1326">
        <f>'izvršenje PO IZVORIMA-detaljno'!AM164+'izvršenje PO IZVORIMA-detaljno'!AJ164+'izvršenje PO IZVORIMA-detaljno'!AC164</f>
        <v>0</v>
      </c>
      <c r="AA164" s="1325">
        <f t="shared" si="437"/>
        <v>0</v>
      </c>
      <c r="AB164" s="1380"/>
      <c r="AC164" s="1380"/>
      <c r="AD164" s="1372">
        <f>'izvršenje PO IZVORIMA-detaljno'!H164+'izvršenje PO IZVORIMA-detaljno'!N164</f>
        <v>0</v>
      </c>
      <c r="AE164" s="1371">
        <f t="shared" si="438"/>
        <v>0</v>
      </c>
      <c r="AF164" s="1383">
        <f>'izvršenje PO IZVORIMA-detaljno'!I164+'izvršenje PO IZVORIMA-detaljno'!O164</f>
        <v>99471.35841794411</v>
      </c>
      <c r="AG164" s="1380"/>
      <c r="AH164" s="1372">
        <f>'izvršenje PO IZVORIMA-detaljno'!K164+'izvršenje PO IZVORIMA-detaljno'!Q164</f>
        <v>74671.489999999991</v>
      </c>
      <c r="AI164" s="1371">
        <f t="shared" si="439"/>
        <v>0</v>
      </c>
      <c r="AJ164" s="1380"/>
      <c r="AK164" s="1380"/>
      <c r="AL164" s="1383">
        <f>'izvršenje PO IZVORIMA-detaljno'!T164+'izvršenje PO IZVORIMA-detaljno'!U164</f>
        <v>0</v>
      </c>
      <c r="AM164" s="1371">
        <f t="shared" si="440"/>
        <v>0</v>
      </c>
      <c r="AN164" s="1380"/>
      <c r="AO164" s="1380"/>
      <c r="AP164" s="1372">
        <f>'izvršenje PO IZVORIMA-detaljno'!AP164</f>
        <v>0</v>
      </c>
      <c r="AQ164" s="1371">
        <f t="shared" si="441"/>
        <v>0</v>
      </c>
      <c r="AR164" s="1380"/>
      <c r="AS164" s="1380"/>
      <c r="AT164" s="1383">
        <f>'izvršenje PO IZVORIMA-detaljno'!AS164</f>
        <v>0</v>
      </c>
      <c r="AU164" s="1371">
        <f t="shared" si="442"/>
        <v>0</v>
      </c>
      <c r="AV164" s="1380"/>
      <c r="AW164" s="1382"/>
      <c r="AX164" s="1437"/>
      <c r="AY164" s="1403"/>
      <c r="AZ164" s="1450"/>
      <c r="BA164" s="208"/>
      <c r="BB164" s="210"/>
      <c r="BC164" s="61"/>
      <c r="BD164" s="126">
        <f>J164+M164+P164+T164+W164+Z164+AD164+AH164+AL164+AP164+AT164+AW164</f>
        <v>74671.489999999991</v>
      </c>
      <c r="BE164" s="77">
        <v>353111</v>
      </c>
      <c r="BF164" s="254"/>
      <c r="BG164" s="489"/>
      <c r="BH164" s="489"/>
      <c r="BI164" s="529"/>
      <c r="BJ164" s="486"/>
      <c r="BK164" s="486"/>
      <c r="BL164" s="486"/>
      <c r="BM164" s="486"/>
    </row>
    <row r="165" spans="1:65" s="1539" customFormat="1" ht="15.75" thickBot="1" x14ac:dyDescent="0.3">
      <c r="A165" s="76">
        <v>353</v>
      </c>
      <c r="B165" s="505" t="s">
        <v>177</v>
      </c>
      <c r="C165" s="82">
        <f>SUM(C164)</f>
        <v>99471.35841794411</v>
      </c>
      <c r="D165" s="82">
        <f>BC165</f>
        <v>299368</v>
      </c>
      <c r="E165" s="83">
        <f t="shared" ref="E165" si="535">E164</f>
        <v>74671.489999999991</v>
      </c>
      <c r="F165" s="253">
        <f t="shared" si="470"/>
        <v>75.068332420128741</v>
      </c>
      <c r="G165" s="252">
        <f t="shared" si="471"/>
        <v>24.94304334464605</v>
      </c>
      <c r="H165" s="411">
        <f t="shared" ref="H165" si="536">H164</f>
        <v>0</v>
      </c>
      <c r="I165" s="115">
        <f t="shared" ref="I165:AP165" si="537">I164</f>
        <v>0</v>
      </c>
      <c r="J165" s="82">
        <f t="shared" si="537"/>
        <v>0</v>
      </c>
      <c r="K165" s="252">
        <f t="shared" si="506"/>
        <v>0</v>
      </c>
      <c r="L165" s="82">
        <f t="shared" si="537"/>
        <v>0</v>
      </c>
      <c r="M165" s="112">
        <f t="shared" si="537"/>
        <v>0</v>
      </c>
      <c r="N165" s="417">
        <f t="shared" ref="N165" si="538">N164</f>
        <v>0</v>
      </c>
      <c r="O165" s="82">
        <f t="shared" si="537"/>
        <v>0</v>
      </c>
      <c r="P165" s="82">
        <f t="shared" si="537"/>
        <v>0</v>
      </c>
      <c r="Q165" s="252">
        <f t="shared" si="435"/>
        <v>0</v>
      </c>
      <c r="R165" s="82">
        <f t="shared" ref="R165" si="539">R164</f>
        <v>0</v>
      </c>
      <c r="S165" s="82">
        <f t="shared" si="537"/>
        <v>0</v>
      </c>
      <c r="T165" s="82">
        <f t="shared" si="537"/>
        <v>0</v>
      </c>
      <c r="U165" s="252">
        <f t="shared" si="436"/>
        <v>0</v>
      </c>
      <c r="V165" s="82">
        <f t="shared" si="537"/>
        <v>0</v>
      </c>
      <c r="W165" s="82">
        <f t="shared" si="537"/>
        <v>0</v>
      </c>
      <c r="X165" s="82"/>
      <c r="Y165" s="82">
        <f>'izvršenje PO IZVORIMA-detaljno'!AI165+'izvršenje PO IZVORIMA-detaljno'!AL165+'izvršenje PO IZVORIMA-detaljno'!AB165</f>
        <v>0</v>
      </c>
      <c r="Z165" s="112">
        <f t="shared" si="537"/>
        <v>0</v>
      </c>
      <c r="AA165" s="252">
        <f t="shared" si="437"/>
        <v>0</v>
      </c>
      <c r="AB165" s="417">
        <f t="shared" si="537"/>
        <v>0</v>
      </c>
      <c r="AC165" s="417">
        <f>'izvršenje PO IZVORIMA-detaljno'!G165+'izvršenje PO IZVORIMA-detaljno'!M165</f>
        <v>0</v>
      </c>
      <c r="AD165" s="82">
        <f t="shared" si="537"/>
        <v>0</v>
      </c>
      <c r="AE165" s="252">
        <f t="shared" si="438"/>
        <v>0</v>
      </c>
      <c r="AF165" s="82">
        <f t="shared" si="537"/>
        <v>99471.35841794411</v>
      </c>
      <c r="AG165" s="108">
        <f>'izvršenje PO IZVORIMA-detaljno'!J165+'izvršenje PO IZVORIMA-detaljno'!P165</f>
        <v>299368</v>
      </c>
      <c r="AH165" s="82">
        <f t="shared" si="537"/>
        <v>74671.489999999991</v>
      </c>
      <c r="AI165" s="252">
        <f t="shared" si="439"/>
        <v>24.94304334464605</v>
      </c>
      <c r="AJ165" s="82">
        <f>'izvršenje PO IZVORIMA-detaljno'!R165</f>
        <v>0</v>
      </c>
      <c r="AK165" s="82">
        <f>'izvršenje PO IZVORIMA-detaljno'!S165</f>
        <v>0</v>
      </c>
      <c r="AL165" s="82">
        <f t="shared" si="537"/>
        <v>0</v>
      </c>
      <c r="AM165" s="252">
        <f t="shared" si="440"/>
        <v>0</v>
      </c>
      <c r="AN165" s="82"/>
      <c r="AO165" s="82">
        <f>'izvršenje PO IZVORIMA-detaljno'!AO165</f>
        <v>0</v>
      </c>
      <c r="AP165" s="82">
        <f t="shared" si="537"/>
        <v>0</v>
      </c>
      <c r="AQ165" s="252">
        <f t="shared" si="441"/>
        <v>0</v>
      </c>
      <c r="AR165" s="82">
        <f>'izvršenje PO IZVORIMA-detaljno'!AQ165</f>
        <v>0</v>
      </c>
      <c r="AS165" s="82">
        <f>'izvršenje PO IZVORIMA-detaljno'!AR165</f>
        <v>0</v>
      </c>
      <c r="AT165" s="82">
        <f t="shared" ref="AT165" si="540">AT164</f>
        <v>0</v>
      </c>
      <c r="AU165" s="252">
        <f t="shared" si="442"/>
        <v>0</v>
      </c>
      <c r="AV165" s="82">
        <f t="shared" ref="AV165:AX165" si="541">AV164</f>
        <v>0</v>
      </c>
      <c r="AW165" s="83">
        <f t="shared" si="541"/>
        <v>0</v>
      </c>
      <c r="AX165" s="407">
        <f t="shared" si="541"/>
        <v>0</v>
      </c>
      <c r="AY165" s="83">
        <f t="shared" ref="AY165:AZ165" si="542">AY164</f>
        <v>0</v>
      </c>
      <c r="AZ165" s="112">
        <f t="shared" si="542"/>
        <v>0</v>
      </c>
      <c r="BA165" s="407">
        <f t="shared" ref="BA165:BB165" si="543">BA164</f>
        <v>0</v>
      </c>
      <c r="BB165" s="83">
        <f t="shared" si="543"/>
        <v>0</v>
      </c>
      <c r="BC165" s="411">
        <f>AV165+AS165+AO165+AK165+AG165+AC165+Y165+V165+S165+O165+L165+I165+AY165</f>
        <v>299368</v>
      </c>
      <c r="BD165" s="83">
        <f t="shared" ref="BD165" si="544">BD164</f>
        <v>74671.489999999991</v>
      </c>
      <c r="BE165" s="76">
        <v>353</v>
      </c>
      <c r="BF165" s="522"/>
      <c r="BG165" s="493"/>
      <c r="BH165" s="493"/>
      <c r="BI165" s="530"/>
      <c r="BJ165" s="493"/>
      <c r="BK165" s="493"/>
      <c r="BL165" s="493"/>
      <c r="BM165" s="493"/>
    </row>
    <row r="166" spans="1:65" s="2" customFormat="1" ht="15.75" thickBot="1" x14ac:dyDescent="0.3">
      <c r="A166" s="77">
        <v>368121</v>
      </c>
      <c r="B166" s="502" t="s">
        <v>178</v>
      </c>
      <c r="C166" s="75">
        <f>H166+N166+R166+X166+AB166+AF166+AJ166+AN166+AR166+AX166</f>
        <v>2498.4537792819692</v>
      </c>
      <c r="D166" s="71"/>
      <c r="E166" s="122">
        <f t="shared" si="534"/>
        <v>5427.17</v>
      </c>
      <c r="F166" s="246">
        <f t="shared" si="470"/>
        <v>217.22114873622814</v>
      </c>
      <c r="G166" s="247">
        <f t="shared" si="471"/>
        <v>0</v>
      </c>
      <c r="H166" s="125"/>
      <c r="I166" s="125"/>
      <c r="J166" s="60"/>
      <c r="K166" s="1292">
        <f t="shared" si="506"/>
        <v>0</v>
      </c>
      <c r="L166" s="59"/>
      <c r="M166" s="60"/>
      <c r="N166" s="1420">
        <f>'izvršenje PO IZVORIMA-detaljno'!V166</f>
        <v>0</v>
      </c>
      <c r="O166" s="1328"/>
      <c r="P166" s="1330">
        <f>'izvršenje PO IZVORIMA-detaljno'!X166</f>
        <v>0</v>
      </c>
      <c r="Q166" s="1325">
        <f t="shared" ref="Q166:Q198" si="545">IF(O166&lt;&gt;0,P166/O166*100,0)</f>
        <v>0</v>
      </c>
      <c r="R166" s="1328"/>
      <c r="S166" s="1328"/>
      <c r="T166" s="1326">
        <f>'izvršenje PO IZVORIMA-detaljno'!AA166</f>
        <v>0</v>
      </c>
      <c r="U166" s="1325">
        <f t="shared" ref="U166:U198" si="546">IF(S166&lt;&gt;0,T166/S166*100,0)</f>
        <v>0</v>
      </c>
      <c r="V166" s="1328"/>
      <c r="W166" s="1329"/>
      <c r="X166" s="1307"/>
      <c r="Y166" s="1307"/>
      <c r="Z166" s="1326">
        <f>'izvršenje PO IZVORIMA-detaljno'!AM166+'izvršenje PO IZVORIMA-detaljno'!AJ166+'izvršenje PO IZVORIMA-detaljno'!AC166</f>
        <v>0</v>
      </c>
      <c r="AA166" s="1325">
        <f t="shared" ref="AA166:AA198" si="547">IF(Y166&lt;&gt;0,Z166/Y166*100,0)</f>
        <v>0</v>
      </c>
      <c r="AB166" s="1380"/>
      <c r="AC166" s="1380"/>
      <c r="AD166" s="1372">
        <f>'izvršenje PO IZVORIMA-detaljno'!H166+'izvršenje PO IZVORIMA-detaljno'!N166</f>
        <v>0</v>
      </c>
      <c r="AE166" s="1371">
        <f t="shared" ref="AE166:AE198" si="548">IF(AC166&lt;&gt;0,AD166/AC166*100,0)</f>
        <v>0</v>
      </c>
      <c r="AF166" s="1383">
        <f>'izvršenje PO IZVORIMA-detaljno'!I166+'izvršenje PO IZVORIMA-detaljno'!O166</f>
        <v>2498.4537792819692</v>
      </c>
      <c r="AG166" s="1380"/>
      <c r="AH166" s="1383">
        <f>'izvršenje PO IZVORIMA-detaljno'!K166+'izvršenje PO IZVORIMA-detaljno'!Q166</f>
        <v>5427.17</v>
      </c>
      <c r="AI166" s="1371">
        <f t="shared" ref="AI166:AI198" si="549">IF(AG166&lt;&gt;0,AH166/AG166*100,0)</f>
        <v>0</v>
      </c>
      <c r="AJ166" s="1380"/>
      <c r="AK166" s="1380"/>
      <c r="AL166" s="1383">
        <f>'izvršenje PO IZVORIMA-detaljno'!T166+'izvršenje PO IZVORIMA-detaljno'!U166</f>
        <v>0</v>
      </c>
      <c r="AM166" s="1371">
        <f t="shared" ref="AM166:AM198" si="550">IF(AK166&lt;&gt;0,AL166/AK166*100,0)</f>
        <v>0</v>
      </c>
      <c r="AN166" s="1380"/>
      <c r="AO166" s="1380"/>
      <c r="AP166" s="1372">
        <f>'izvršenje PO IZVORIMA-detaljno'!AP166</f>
        <v>0</v>
      </c>
      <c r="AQ166" s="1371">
        <f t="shared" ref="AQ166:AQ198" si="551">IF(AO166&lt;&gt;0,AP166/AO166*100,0)</f>
        <v>0</v>
      </c>
      <c r="AR166" s="1380"/>
      <c r="AS166" s="1380"/>
      <c r="AT166" s="1381"/>
      <c r="AU166" s="1371">
        <f t="shared" ref="AU166:AU198" si="552">IF(AS166&lt;&gt;0,AT166/AS166*100,0)</f>
        <v>0</v>
      </c>
      <c r="AV166" s="1380"/>
      <c r="AW166" s="1382"/>
      <c r="AX166" s="1437"/>
      <c r="AY166" s="1403"/>
      <c r="AZ166" s="1450"/>
      <c r="BA166" s="208"/>
      <c r="BB166" s="210"/>
      <c r="BC166" s="61"/>
      <c r="BD166" s="126">
        <f>J166+M166+P166+T166+W166+Z166+AD166+AH166+AL166+AP166+AT166+AW166</f>
        <v>5427.17</v>
      </c>
      <c r="BE166" s="77">
        <v>368121</v>
      </c>
      <c r="BF166" s="254"/>
      <c r="BG166" s="489"/>
      <c r="BH166" s="489"/>
      <c r="BI166" s="529"/>
      <c r="BJ166" s="486"/>
      <c r="BK166" s="486"/>
      <c r="BL166" s="486"/>
      <c r="BM166" s="486"/>
    </row>
    <row r="167" spans="1:65" s="1539" customFormat="1" ht="15.75" thickBot="1" x14ac:dyDescent="0.3">
      <c r="A167" s="76">
        <v>368</v>
      </c>
      <c r="B167" s="505" t="s">
        <v>179</v>
      </c>
      <c r="C167" s="82">
        <f>SUM(C166)</f>
        <v>2498.4537792819692</v>
      </c>
      <c r="D167" s="82">
        <f>BC167</f>
        <v>27000</v>
      </c>
      <c r="E167" s="83">
        <f t="shared" ref="E167" si="553">E166</f>
        <v>5427.17</v>
      </c>
      <c r="F167" s="253">
        <f t="shared" si="470"/>
        <v>217.22114873622814</v>
      </c>
      <c r="G167" s="252">
        <f t="shared" si="471"/>
        <v>20.10062962962963</v>
      </c>
      <c r="H167" s="411">
        <f t="shared" ref="H167" si="554">H166</f>
        <v>0</v>
      </c>
      <c r="I167" s="115">
        <f t="shared" ref="I167:AP167" si="555">I166</f>
        <v>0</v>
      </c>
      <c r="J167" s="82">
        <f t="shared" si="555"/>
        <v>0</v>
      </c>
      <c r="K167" s="252">
        <f t="shared" si="506"/>
        <v>0</v>
      </c>
      <c r="L167" s="82">
        <f t="shared" si="555"/>
        <v>0</v>
      </c>
      <c r="M167" s="112">
        <f t="shared" si="555"/>
        <v>0</v>
      </c>
      <c r="N167" s="417">
        <f t="shared" ref="N167" si="556">N166</f>
        <v>0</v>
      </c>
      <c r="O167" s="82">
        <f t="shared" si="555"/>
        <v>0</v>
      </c>
      <c r="P167" s="82">
        <f t="shared" si="555"/>
        <v>0</v>
      </c>
      <c r="Q167" s="252">
        <f t="shared" si="545"/>
        <v>0</v>
      </c>
      <c r="R167" s="82">
        <f t="shared" ref="R167" si="557">R166</f>
        <v>0</v>
      </c>
      <c r="S167" s="82">
        <f t="shared" si="555"/>
        <v>0</v>
      </c>
      <c r="T167" s="82">
        <f t="shared" si="555"/>
        <v>0</v>
      </c>
      <c r="U167" s="252">
        <f t="shared" si="546"/>
        <v>0</v>
      </c>
      <c r="V167" s="82">
        <f t="shared" si="555"/>
        <v>0</v>
      </c>
      <c r="W167" s="82">
        <f t="shared" si="555"/>
        <v>0</v>
      </c>
      <c r="X167" s="82"/>
      <c r="Y167" s="82">
        <f>'izvršenje PO IZVORIMA-detaljno'!AI167+'izvršenje PO IZVORIMA-detaljno'!AL167+'izvršenje PO IZVORIMA-detaljno'!AB167</f>
        <v>0</v>
      </c>
      <c r="Z167" s="112">
        <f t="shared" si="555"/>
        <v>0</v>
      </c>
      <c r="AA167" s="252">
        <f t="shared" si="547"/>
        <v>0</v>
      </c>
      <c r="AB167" s="417">
        <f t="shared" si="555"/>
        <v>0</v>
      </c>
      <c r="AC167" s="417">
        <f>'izvršenje PO IZVORIMA-detaljno'!G167+'izvršenje PO IZVORIMA-detaljno'!M167</f>
        <v>0</v>
      </c>
      <c r="AD167" s="82">
        <f t="shared" si="555"/>
        <v>0</v>
      </c>
      <c r="AE167" s="252">
        <f t="shared" si="548"/>
        <v>0</v>
      </c>
      <c r="AF167" s="108">
        <f>SUM(AF166)</f>
        <v>2498.4537792819692</v>
      </c>
      <c r="AG167" s="108">
        <f>'izvršenje PO IZVORIMA-detaljno'!J167+'izvršenje PO IZVORIMA-detaljno'!P167</f>
        <v>27000</v>
      </c>
      <c r="AH167" s="82">
        <f t="shared" si="555"/>
        <v>5427.17</v>
      </c>
      <c r="AI167" s="252">
        <f t="shared" si="549"/>
        <v>20.10062962962963</v>
      </c>
      <c r="AJ167" s="82">
        <f>'izvršenje PO IZVORIMA-detaljno'!R167</f>
        <v>0</v>
      </c>
      <c r="AK167" s="82">
        <f>'izvršenje PO IZVORIMA-detaljno'!S167</f>
        <v>0</v>
      </c>
      <c r="AL167" s="82">
        <f t="shared" si="555"/>
        <v>0</v>
      </c>
      <c r="AM167" s="252">
        <f t="shared" si="550"/>
        <v>0</v>
      </c>
      <c r="AN167" s="82"/>
      <c r="AO167" s="82">
        <f>'izvršenje PO IZVORIMA-detaljno'!AO167</f>
        <v>0</v>
      </c>
      <c r="AP167" s="82">
        <f t="shared" si="555"/>
        <v>0</v>
      </c>
      <c r="AQ167" s="252">
        <f t="shared" si="551"/>
        <v>0</v>
      </c>
      <c r="AR167" s="82">
        <f>'izvršenje PO IZVORIMA-detaljno'!AQ167</f>
        <v>0</v>
      </c>
      <c r="AS167" s="82">
        <f>'izvršenje PO IZVORIMA-detaljno'!AR167</f>
        <v>0</v>
      </c>
      <c r="AT167" s="82">
        <f t="shared" ref="AT167" si="558">AT166</f>
        <v>0</v>
      </c>
      <c r="AU167" s="252">
        <f t="shared" si="552"/>
        <v>0</v>
      </c>
      <c r="AV167" s="82">
        <f t="shared" ref="AV167:AX167" si="559">AV166</f>
        <v>0</v>
      </c>
      <c r="AW167" s="83">
        <f t="shared" si="559"/>
        <v>0</v>
      </c>
      <c r="AX167" s="407">
        <f t="shared" si="559"/>
        <v>0</v>
      </c>
      <c r="AY167" s="83">
        <f t="shared" ref="AY167:AZ167" si="560">AY166</f>
        <v>0</v>
      </c>
      <c r="AZ167" s="112">
        <f t="shared" si="560"/>
        <v>0</v>
      </c>
      <c r="BA167" s="407">
        <f t="shared" ref="BA167:BB167" si="561">BA166</f>
        <v>0</v>
      </c>
      <c r="BB167" s="83">
        <f t="shared" si="561"/>
        <v>0</v>
      </c>
      <c r="BC167" s="411">
        <f>AV167+AS167+AO167+AK167+AG167+AC167+Y167+V167+S167+O167+L167+I167+AY167</f>
        <v>27000</v>
      </c>
      <c r="BD167" s="83">
        <f>BD166</f>
        <v>5427.17</v>
      </c>
      <c r="BE167" s="76">
        <v>368</v>
      </c>
      <c r="BF167" s="522"/>
      <c r="BG167" s="493"/>
      <c r="BH167" s="493"/>
      <c r="BI167" s="530"/>
      <c r="BJ167" s="493"/>
      <c r="BK167" s="493"/>
      <c r="BL167" s="493"/>
      <c r="BM167" s="493"/>
    </row>
    <row r="168" spans="1:65" s="2" customFormat="1" ht="15.75" thickBot="1" x14ac:dyDescent="0.3">
      <c r="A168" s="77">
        <v>369311</v>
      </c>
      <c r="B168" s="502" t="s">
        <v>180</v>
      </c>
      <c r="C168" s="75">
        <f t="shared" si="533"/>
        <v>57096.708474351311</v>
      </c>
      <c r="D168" s="71"/>
      <c r="E168" s="122">
        <f t="shared" si="534"/>
        <v>54351.82</v>
      </c>
      <c r="F168" s="246">
        <f t="shared" si="470"/>
        <v>95.192562675334685</v>
      </c>
      <c r="G168" s="247">
        <f t="shared" si="471"/>
        <v>0</v>
      </c>
      <c r="H168" s="125"/>
      <c r="I168" s="125"/>
      <c r="J168" s="60"/>
      <c r="K168" s="1292">
        <f t="shared" si="506"/>
        <v>0</v>
      </c>
      <c r="L168" s="59"/>
      <c r="M168" s="60"/>
      <c r="N168" s="1420">
        <f>'izvršenje PO IZVORIMA-detaljno'!V168</f>
        <v>0</v>
      </c>
      <c r="O168" s="1328"/>
      <c r="P168" s="1330">
        <f>'izvršenje PO IZVORIMA-detaljno'!X168</f>
        <v>0</v>
      </c>
      <c r="Q168" s="1325">
        <f t="shared" si="545"/>
        <v>0</v>
      </c>
      <c r="R168" s="1328"/>
      <c r="S168" s="1328"/>
      <c r="T168" s="1326">
        <f>'izvršenje PO IZVORIMA-detaljno'!AA168</f>
        <v>0</v>
      </c>
      <c r="U168" s="1325">
        <f t="shared" si="546"/>
        <v>0</v>
      </c>
      <c r="V168" s="1328"/>
      <c r="W168" s="1329"/>
      <c r="X168" s="1307"/>
      <c r="Y168" s="1307"/>
      <c r="Z168" s="1326">
        <f>'izvršenje PO IZVORIMA-detaljno'!AM168+'izvršenje PO IZVORIMA-detaljno'!AJ168+'izvršenje PO IZVORIMA-detaljno'!AC168</f>
        <v>0</v>
      </c>
      <c r="AA168" s="1325">
        <f t="shared" si="547"/>
        <v>0</v>
      </c>
      <c r="AB168" s="1428">
        <f>'izvršenje PO IZVORIMA-detaljno'!F168+'izvršenje PO IZVORIMA-detaljno'!L168</f>
        <v>24419.644302873447</v>
      </c>
      <c r="AC168" s="1380"/>
      <c r="AD168" s="1383">
        <f>'izvršenje PO IZVORIMA-detaljno'!H168+'izvršenje PO IZVORIMA-detaljno'!N168</f>
        <v>39528.93</v>
      </c>
      <c r="AE168" s="1371">
        <f t="shared" si="548"/>
        <v>0</v>
      </c>
      <c r="AF168" s="1383">
        <f>'izvršenje PO IZVORIMA-detaljno'!I168+'izvršenje PO IZVORIMA-detaljno'!O168</f>
        <v>32677.064171477865</v>
      </c>
      <c r="AG168" s="1380"/>
      <c r="AH168" s="1383">
        <f>'izvršenje PO IZVORIMA-detaljno'!K168+'izvršenje PO IZVORIMA-detaljno'!Q168</f>
        <v>14822.89</v>
      </c>
      <c r="AI168" s="1371">
        <f t="shared" si="549"/>
        <v>0</v>
      </c>
      <c r="AJ168" s="1380"/>
      <c r="AK168" s="1380"/>
      <c r="AL168" s="1383">
        <f>'izvršenje PO IZVORIMA-detaljno'!T168+'izvršenje PO IZVORIMA-detaljno'!U168</f>
        <v>0</v>
      </c>
      <c r="AM168" s="1371">
        <f t="shared" si="550"/>
        <v>0</v>
      </c>
      <c r="AN168" s="1380"/>
      <c r="AO168" s="1380"/>
      <c r="AP168" s="1372">
        <f>'izvršenje PO IZVORIMA-detaljno'!AP168</f>
        <v>0</v>
      </c>
      <c r="AQ168" s="1371">
        <f t="shared" si="551"/>
        <v>0</v>
      </c>
      <c r="AR168" s="1380"/>
      <c r="AS168" s="1380"/>
      <c r="AT168" s="1383">
        <f>'izvršenje PO IZVORIMA-detaljno'!AS168</f>
        <v>0</v>
      </c>
      <c r="AU168" s="1371">
        <f t="shared" si="552"/>
        <v>0</v>
      </c>
      <c r="AV168" s="1380"/>
      <c r="AW168" s="1382"/>
      <c r="AX168" s="1437"/>
      <c r="AY168" s="1403"/>
      <c r="AZ168" s="1450"/>
      <c r="BA168" s="208"/>
      <c r="BB168" s="210"/>
      <c r="BC168" s="61"/>
      <c r="BD168" s="126">
        <f>J168+M168+P168+T168+W168+Z168+AD168+AH168+AL168+AP168+AT168+AW168</f>
        <v>54351.82</v>
      </c>
      <c r="BE168" s="77">
        <v>369311</v>
      </c>
      <c r="BF168" s="254"/>
      <c r="BG168" s="489"/>
      <c r="BH168" s="489"/>
      <c r="BI168" s="529"/>
      <c r="BJ168" s="486"/>
      <c r="BK168" s="486"/>
      <c r="BL168" s="486"/>
      <c r="BM168" s="486"/>
    </row>
    <row r="169" spans="1:65" s="1539" customFormat="1" ht="15.75" thickBot="1" x14ac:dyDescent="0.3">
      <c r="A169" s="76">
        <v>369</v>
      </c>
      <c r="B169" s="505" t="s">
        <v>181</v>
      </c>
      <c r="C169" s="82">
        <f>SUM(C168)</f>
        <v>57096.708474351311</v>
      </c>
      <c r="D169" s="82">
        <f>BC169</f>
        <v>0</v>
      </c>
      <c r="E169" s="83">
        <f t="shared" ref="E169" si="562">E168</f>
        <v>54351.82</v>
      </c>
      <c r="F169" s="253">
        <f t="shared" si="470"/>
        <v>95.192562675334685</v>
      </c>
      <c r="G169" s="252">
        <f t="shared" si="471"/>
        <v>0</v>
      </c>
      <c r="H169" s="411">
        <f t="shared" ref="H169" si="563">H168</f>
        <v>0</v>
      </c>
      <c r="I169" s="115">
        <f t="shared" ref="I169:AP169" si="564">I168</f>
        <v>0</v>
      </c>
      <c r="J169" s="82">
        <f t="shared" si="564"/>
        <v>0</v>
      </c>
      <c r="K169" s="252">
        <f t="shared" si="506"/>
        <v>0</v>
      </c>
      <c r="L169" s="82">
        <f t="shared" si="564"/>
        <v>0</v>
      </c>
      <c r="M169" s="112">
        <f t="shared" si="564"/>
        <v>0</v>
      </c>
      <c r="N169" s="417">
        <f t="shared" ref="N169" si="565">N168</f>
        <v>0</v>
      </c>
      <c r="O169" s="82">
        <f t="shared" si="564"/>
        <v>0</v>
      </c>
      <c r="P169" s="82">
        <f t="shared" si="564"/>
        <v>0</v>
      </c>
      <c r="Q169" s="252">
        <f t="shared" si="545"/>
        <v>0</v>
      </c>
      <c r="R169" s="82">
        <f t="shared" ref="R169" si="566">R168</f>
        <v>0</v>
      </c>
      <c r="S169" s="82">
        <f t="shared" si="564"/>
        <v>0</v>
      </c>
      <c r="T169" s="82">
        <f t="shared" si="564"/>
        <v>0</v>
      </c>
      <c r="U169" s="252">
        <f t="shared" si="546"/>
        <v>0</v>
      </c>
      <c r="V169" s="82">
        <f t="shared" si="564"/>
        <v>0</v>
      </c>
      <c r="W169" s="82">
        <f t="shared" si="564"/>
        <v>0</v>
      </c>
      <c r="X169" s="82"/>
      <c r="Y169" s="82">
        <f>'izvršenje PO IZVORIMA-detaljno'!AI169+'izvršenje PO IZVORIMA-detaljno'!AL169+'izvršenje PO IZVORIMA-detaljno'!AB169</f>
        <v>0</v>
      </c>
      <c r="Z169" s="112">
        <f t="shared" si="564"/>
        <v>0</v>
      </c>
      <c r="AA169" s="252">
        <f t="shared" si="547"/>
        <v>0</v>
      </c>
      <c r="AB169" s="417">
        <f>SUM(AB168)</f>
        <v>24419.644302873447</v>
      </c>
      <c r="AC169" s="417">
        <f>'izvršenje PO IZVORIMA-detaljno'!G169+'izvršenje PO IZVORIMA-detaljno'!M169</f>
        <v>0</v>
      </c>
      <c r="AD169" s="82">
        <f t="shared" si="564"/>
        <v>39528.93</v>
      </c>
      <c r="AE169" s="252">
        <f t="shared" si="548"/>
        <v>0</v>
      </c>
      <c r="AF169" s="108">
        <f>SUM(AF168)</f>
        <v>32677.064171477865</v>
      </c>
      <c r="AG169" s="108">
        <f>'izvršenje PO IZVORIMA-detaljno'!J169+'izvršenje PO IZVORIMA-detaljno'!P169</f>
        <v>0</v>
      </c>
      <c r="AH169" s="82">
        <f t="shared" si="564"/>
        <v>14822.89</v>
      </c>
      <c r="AI169" s="252">
        <f t="shared" si="549"/>
        <v>0</v>
      </c>
      <c r="AJ169" s="82">
        <f>'izvršenje PO IZVORIMA-detaljno'!R169</f>
        <v>0</v>
      </c>
      <c r="AK169" s="82">
        <f>'izvršenje PO IZVORIMA-detaljno'!S169</f>
        <v>0</v>
      </c>
      <c r="AL169" s="82">
        <f t="shared" si="564"/>
        <v>0</v>
      </c>
      <c r="AM169" s="252">
        <f t="shared" si="550"/>
        <v>0</v>
      </c>
      <c r="AN169" s="82"/>
      <c r="AO169" s="82">
        <f>'izvršenje PO IZVORIMA-detaljno'!AO169</f>
        <v>0</v>
      </c>
      <c r="AP169" s="82">
        <f t="shared" si="564"/>
        <v>0</v>
      </c>
      <c r="AQ169" s="252">
        <f t="shared" si="551"/>
        <v>0</v>
      </c>
      <c r="AR169" s="82">
        <f>'izvršenje PO IZVORIMA-detaljno'!AQ169</f>
        <v>0</v>
      </c>
      <c r="AS169" s="82">
        <f>'izvršenje PO IZVORIMA-detaljno'!AR169</f>
        <v>0</v>
      </c>
      <c r="AT169" s="82">
        <f t="shared" ref="AT169" si="567">AT168</f>
        <v>0</v>
      </c>
      <c r="AU169" s="252">
        <f t="shared" si="552"/>
        <v>0</v>
      </c>
      <c r="AV169" s="82">
        <f t="shared" ref="AV169:AX169" si="568">AV168</f>
        <v>0</v>
      </c>
      <c r="AW169" s="83">
        <f t="shared" si="568"/>
        <v>0</v>
      </c>
      <c r="AX169" s="407">
        <f t="shared" si="568"/>
        <v>0</v>
      </c>
      <c r="AY169" s="83">
        <f t="shared" ref="AY169:AZ169" si="569">AY168</f>
        <v>0</v>
      </c>
      <c r="AZ169" s="112">
        <f t="shared" si="569"/>
        <v>0</v>
      </c>
      <c r="BA169" s="407">
        <f t="shared" ref="BA169:BB169" si="570">BA168</f>
        <v>0</v>
      </c>
      <c r="BB169" s="83">
        <f t="shared" si="570"/>
        <v>0</v>
      </c>
      <c r="BC169" s="411">
        <f>AV169+AS169+AO169+AK169+AG169+AC169+Y169+V169+S169+O169+L169+I169</f>
        <v>0</v>
      </c>
      <c r="BD169" s="83">
        <f t="shared" ref="BD169" si="571">BD168</f>
        <v>54351.82</v>
      </c>
      <c r="BE169" s="76">
        <v>369</v>
      </c>
      <c r="BF169" s="522"/>
      <c r="BG169" s="493"/>
      <c r="BH169" s="493"/>
      <c r="BI169" s="530"/>
      <c r="BJ169" s="493"/>
      <c r="BK169" s="493"/>
      <c r="BL169" s="493"/>
      <c r="BM169" s="493"/>
    </row>
    <row r="170" spans="1:65" s="6" customFormat="1" x14ac:dyDescent="0.25">
      <c r="A170" s="62">
        <v>372191</v>
      </c>
      <c r="B170" s="498" t="s">
        <v>112</v>
      </c>
      <c r="C170" s="75">
        <f t="shared" si="533"/>
        <v>0</v>
      </c>
      <c r="D170" s="64"/>
      <c r="E170" s="122">
        <f t="shared" si="534"/>
        <v>0</v>
      </c>
      <c r="F170" s="240">
        <f t="shared" si="470"/>
        <v>0</v>
      </c>
      <c r="G170" s="241">
        <f t="shared" si="471"/>
        <v>0</v>
      </c>
      <c r="H170" s="124"/>
      <c r="I170" s="124"/>
      <c r="J170" s="51"/>
      <c r="K170" s="1286">
        <f t="shared" si="506"/>
        <v>0</v>
      </c>
      <c r="L170" s="52"/>
      <c r="M170" s="51"/>
      <c r="N170" s="1419">
        <f>'izvršenje PO IZVORIMA-detaljno'!V170</f>
        <v>0</v>
      </c>
      <c r="O170" s="1314"/>
      <c r="P170" s="1326">
        <f>'izvršenje PO IZVORIMA-detaljno'!X170</f>
        <v>0</v>
      </c>
      <c r="Q170" s="1309">
        <f t="shared" si="545"/>
        <v>0</v>
      </c>
      <c r="R170" s="1314"/>
      <c r="S170" s="1314"/>
      <c r="T170" s="1326">
        <f>'izvršenje PO IZVORIMA-detaljno'!AA170</f>
        <v>0</v>
      </c>
      <c r="U170" s="1309">
        <f t="shared" si="546"/>
        <v>0</v>
      </c>
      <c r="V170" s="1314"/>
      <c r="W170" s="1315"/>
      <c r="X170" s="1307"/>
      <c r="Y170" s="1307"/>
      <c r="Z170" s="1326">
        <f>'izvršenje PO IZVORIMA-detaljno'!AM170+'izvršenje PO IZVORIMA-detaljno'!AJ170+'izvršenje PO IZVORIMA-detaljno'!AC170</f>
        <v>0</v>
      </c>
      <c r="AA170" s="1309">
        <f t="shared" si="547"/>
        <v>0</v>
      </c>
      <c r="AB170" s="1357"/>
      <c r="AC170" s="1357"/>
      <c r="AD170" s="1372">
        <f>'izvršenje PO IZVORIMA-detaljno'!H170+'izvršenje PO IZVORIMA-detaljno'!N170</f>
        <v>0</v>
      </c>
      <c r="AE170" s="1350">
        <f t="shared" si="548"/>
        <v>0</v>
      </c>
      <c r="AF170" s="1357"/>
      <c r="AG170" s="1357"/>
      <c r="AH170" s="1372">
        <f>'izvršenje PO IZVORIMA-detaljno'!K170+'izvršenje PO IZVORIMA-detaljno'!Q170</f>
        <v>0</v>
      </c>
      <c r="AI170" s="1350">
        <f t="shared" si="549"/>
        <v>0</v>
      </c>
      <c r="AJ170" s="1357"/>
      <c r="AK170" s="1357"/>
      <c r="AL170" s="1383">
        <f>'izvršenje PO IZVORIMA-detaljno'!T170+'izvršenje PO IZVORIMA-detaljno'!U170</f>
        <v>0</v>
      </c>
      <c r="AM170" s="1350">
        <f t="shared" si="550"/>
        <v>0</v>
      </c>
      <c r="AN170" s="1357"/>
      <c r="AO170" s="1357"/>
      <c r="AP170" s="1372">
        <f>'izvršenje PO IZVORIMA-detaljno'!AP170</f>
        <v>0</v>
      </c>
      <c r="AQ170" s="1350">
        <f t="shared" si="551"/>
        <v>0</v>
      </c>
      <c r="AR170" s="1357"/>
      <c r="AS170" s="1357"/>
      <c r="AT170" s="1383">
        <f>'izvršenje PO IZVORIMA-detaljno'!AS170</f>
        <v>0</v>
      </c>
      <c r="AU170" s="1350">
        <f t="shared" si="552"/>
        <v>0</v>
      </c>
      <c r="AV170" s="1357"/>
      <c r="AW170" s="1358"/>
      <c r="AX170" s="1435"/>
      <c r="AY170" s="1401"/>
      <c r="AZ170" s="1444"/>
      <c r="BA170" s="180"/>
      <c r="BB170" s="178"/>
      <c r="BC170" s="57"/>
      <c r="BD170" s="126">
        <f>J170+M170+P170+T170+W170+Z170+AD170+AH170+AL170+AP170+AT170+AW170</f>
        <v>0</v>
      </c>
      <c r="BE170" s="62">
        <v>372191</v>
      </c>
      <c r="BF170" s="518"/>
      <c r="BG170" s="493"/>
      <c r="BH170" s="493"/>
      <c r="BI170" s="530"/>
      <c r="BJ170" s="487"/>
      <c r="BK170" s="487"/>
      <c r="BL170" s="487"/>
      <c r="BM170" s="487"/>
    </row>
    <row r="171" spans="1:65" s="2" customFormat="1" ht="15.75" thickBot="1" x14ac:dyDescent="0.3">
      <c r="A171" s="47">
        <v>372291</v>
      </c>
      <c r="B171" s="500" t="s">
        <v>145</v>
      </c>
      <c r="C171" s="75">
        <f t="shared" si="533"/>
        <v>0</v>
      </c>
      <c r="D171" s="4"/>
      <c r="E171" s="122">
        <f t="shared" si="534"/>
        <v>0</v>
      </c>
      <c r="F171" s="242">
        <f t="shared" si="470"/>
        <v>0</v>
      </c>
      <c r="G171" s="243">
        <f t="shared" si="471"/>
        <v>0</v>
      </c>
      <c r="H171" s="125"/>
      <c r="I171" s="125"/>
      <c r="J171" s="60"/>
      <c r="K171" s="1288">
        <f t="shared" si="506"/>
        <v>0</v>
      </c>
      <c r="L171" s="59"/>
      <c r="M171" s="60"/>
      <c r="N171" s="1419">
        <f>'izvršenje PO IZVORIMA-detaljno'!V171</f>
        <v>0</v>
      </c>
      <c r="O171" s="1328"/>
      <c r="P171" s="1326">
        <f>'izvršenje PO IZVORIMA-detaljno'!X171</f>
        <v>0</v>
      </c>
      <c r="Q171" s="1316">
        <f t="shared" si="545"/>
        <v>0</v>
      </c>
      <c r="R171" s="1328"/>
      <c r="S171" s="1328"/>
      <c r="T171" s="1326">
        <f>'izvršenje PO IZVORIMA-detaljno'!AA171</f>
        <v>0</v>
      </c>
      <c r="U171" s="1316">
        <f t="shared" si="546"/>
        <v>0</v>
      </c>
      <c r="V171" s="1328"/>
      <c r="W171" s="1329"/>
      <c r="X171" s="1307"/>
      <c r="Y171" s="1307"/>
      <c r="Z171" s="1326">
        <f>'izvršenje PO IZVORIMA-detaljno'!AM171+'izvršenje PO IZVORIMA-detaljno'!AJ171+'izvršenje PO IZVORIMA-detaljno'!AC171</f>
        <v>0</v>
      </c>
      <c r="AA171" s="1316">
        <f t="shared" si="547"/>
        <v>0</v>
      </c>
      <c r="AB171" s="1380"/>
      <c r="AC171" s="1380"/>
      <c r="AD171" s="1372">
        <f>'izvršenje PO IZVORIMA-detaljno'!H171+'izvršenje PO IZVORIMA-detaljno'!N171</f>
        <v>0</v>
      </c>
      <c r="AE171" s="1359">
        <f t="shared" si="548"/>
        <v>0</v>
      </c>
      <c r="AF171" s="1380"/>
      <c r="AG171" s="1380"/>
      <c r="AH171" s="1372">
        <f>'izvršenje PO IZVORIMA-detaljno'!K171+'izvršenje PO IZVORIMA-detaljno'!Q171</f>
        <v>0</v>
      </c>
      <c r="AI171" s="1359">
        <f t="shared" si="549"/>
        <v>0</v>
      </c>
      <c r="AJ171" s="1380"/>
      <c r="AK171" s="1380"/>
      <c r="AL171" s="1383">
        <f>'izvršenje PO IZVORIMA-detaljno'!T171+'izvršenje PO IZVORIMA-detaljno'!U171</f>
        <v>0</v>
      </c>
      <c r="AM171" s="1359">
        <f t="shared" si="550"/>
        <v>0</v>
      </c>
      <c r="AN171" s="1380"/>
      <c r="AO171" s="1380"/>
      <c r="AP171" s="1372">
        <f>'izvršenje PO IZVORIMA-detaljno'!AP171</f>
        <v>0</v>
      </c>
      <c r="AQ171" s="1359">
        <f t="shared" si="551"/>
        <v>0</v>
      </c>
      <c r="AR171" s="1380"/>
      <c r="AS171" s="1380"/>
      <c r="AT171" s="1383">
        <f>'izvršenje PO IZVORIMA-detaljno'!AS171</f>
        <v>0</v>
      </c>
      <c r="AU171" s="1359">
        <f t="shared" si="552"/>
        <v>0</v>
      </c>
      <c r="AV171" s="1380"/>
      <c r="AW171" s="1382"/>
      <c r="AX171" s="1437"/>
      <c r="AY171" s="1403"/>
      <c r="AZ171" s="1450"/>
      <c r="BA171" s="208"/>
      <c r="BB171" s="210"/>
      <c r="BC171" s="61"/>
      <c r="BD171" s="126">
        <f>J171+M171+P171+T171+W171+Z171+AD171+AH171+AL171+AP171+AT171+AW171</f>
        <v>0</v>
      </c>
      <c r="BE171" s="47">
        <v>372291</v>
      </c>
      <c r="BF171" s="254"/>
      <c r="BG171" s="489"/>
      <c r="BH171" s="489"/>
      <c r="BI171" s="529"/>
      <c r="BJ171" s="486"/>
      <c r="BK171" s="486"/>
      <c r="BL171" s="486"/>
      <c r="BM171" s="486"/>
    </row>
    <row r="172" spans="1:65" s="1539" customFormat="1" ht="15.75" thickBot="1" x14ac:dyDescent="0.3">
      <c r="A172" s="76">
        <v>372</v>
      </c>
      <c r="B172" s="505" t="s">
        <v>113</v>
      </c>
      <c r="C172" s="82">
        <f>SUM(C170:C171)</f>
        <v>0</v>
      </c>
      <c r="D172" s="82">
        <f>BC172</f>
        <v>0</v>
      </c>
      <c r="E172" s="83">
        <f t="shared" ref="E172" si="572">E170+E171</f>
        <v>0</v>
      </c>
      <c r="F172" s="253">
        <f t="shared" si="470"/>
        <v>0</v>
      </c>
      <c r="G172" s="252">
        <f t="shared" si="471"/>
        <v>0</v>
      </c>
      <c r="H172" s="411">
        <f t="shared" ref="H172" si="573">H170+H171</f>
        <v>0</v>
      </c>
      <c r="I172" s="115">
        <f t="shared" ref="I172:AP172" si="574">I170+I171</f>
        <v>0</v>
      </c>
      <c r="J172" s="82">
        <f t="shared" si="574"/>
        <v>0</v>
      </c>
      <c r="K172" s="252">
        <f t="shared" si="506"/>
        <v>0</v>
      </c>
      <c r="L172" s="82">
        <f t="shared" si="574"/>
        <v>0</v>
      </c>
      <c r="M172" s="112">
        <f t="shared" si="574"/>
        <v>0</v>
      </c>
      <c r="N172" s="417">
        <f t="shared" ref="N172" si="575">N170+N171</f>
        <v>0</v>
      </c>
      <c r="O172" s="82">
        <f t="shared" si="574"/>
        <v>0</v>
      </c>
      <c r="P172" s="82">
        <f t="shared" si="574"/>
        <v>0</v>
      </c>
      <c r="Q172" s="252">
        <f t="shared" si="545"/>
        <v>0</v>
      </c>
      <c r="R172" s="82">
        <f t="shared" ref="R172" si="576">R170+R171</f>
        <v>0</v>
      </c>
      <c r="S172" s="82">
        <f t="shared" si="574"/>
        <v>0</v>
      </c>
      <c r="T172" s="82">
        <f t="shared" si="574"/>
        <v>0</v>
      </c>
      <c r="U172" s="252">
        <f t="shared" si="546"/>
        <v>0</v>
      </c>
      <c r="V172" s="82">
        <f t="shared" si="574"/>
        <v>0</v>
      </c>
      <c r="W172" s="82">
        <f t="shared" si="574"/>
        <v>0</v>
      </c>
      <c r="X172" s="82"/>
      <c r="Y172" s="82">
        <f>'izvršenje PO IZVORIMA-detaljno'!AI172+'izvršenje PO IZVORIMA-detaljno'!AL172+'izvršenje PO IZVORIMA-detaljno'!AB172</f>
        <v>0</v>
      </c>
      <c r="Z172" s="112">
        <f t="shared" si="574"/>
        <v>0</v>
      </c>
      <c r="AA172" s="252">
        <f t="shared" si="547"/>
        <v>0</v>
      </c>
      <c r="AB172" s="417"/>
      <c r="AC172" s="417">
        <f>'izvršenje PO IZVORIMA-detaljno'!G172+'izvršenje PO IZVORIMA-detaljno'!M172</f>
        <v>0</v>
      </c>
      <c r="AD172" s="82">
        <f t="shared" si="574"/>
        <v>0</v>
      </c>
      <c r="AE172" s="252">
        <f t="shared" si="548"/>
        <v>0</v>
      </c>
      <c r="AF172" s="108"/>
      <c r="AG172" s="108">
        <f>'izvršenje PO IZVORIMA-detaljno'!J172+'izvršenje PO IZVORIMA-detaljno'!P172</f>
        <v>0</v>
      </c>
      <c r="AH172" s="82">
        <f t="shared" si="574"/>
        <v>0</v>
      </c>
      <c r="AI172" s="252">
        <f t="shared" si="549"/>
        <v>0</v>
      </c>
      <c r="AJ172" s="82">
        <f>'izvršenje PO IZVORIMA-detaljno'!R172</f>
        <v>0</v>
      </c>
      <c r="AK172" s="82">
        <f>'izvršenje PO IZVORIMA-detaljno'!S172</f>
        <v>0</v>
      </c>
      <c r="AL172" s="82">
        <f t="shared" si="574"/>
        <v>0</v>
      </c>
      <c r="AM172" s="252">
        <f t="shared" si="550"/>
        <v>0</v>
      </c>
      <c r="AN172" s="82"/>
      <c r="AO172" s="82">
        <f>'izvršenje PO IZVORIMA-detaljno'!AO172</f>
        <v>0</v>
      </c>
      <c r="AP172" s="82">
        <f t="shared" si="574"/>
        <v>0</v>
      </c>
      <c r="AQ172" s="252">
        <f t="shared" si="551"/>
        <v>0</v>
      </c>
      <c r="AR172" s="82">
        <f>'izvršenje PO IZVORIMA-detaljno'!AQ172</f>
        <v>0</v>
      </c>
      <c r="AS172" s="82">
        <f>'izvršenje PO IZVORIMA-detaljno'!AR172</f>
        <v>0</v>
      </c>
      <c r="AT172" s="82">
        <f t="shared" ref="AT172" si="577">AT170+AT171</f>
        <v>0</v>
      </c>
      <c r="AU172" s="252">
        <f t="shared" si="552"/>
        <v>0</v>
      </c>
      <c r="AV172" s="82">
        <f t="shared" ref="AV172:AX172" si="578">AV170+AV171</f>
        <v>0</v>
      </c>
      <c r="AW172" s="83">
        <f t="shared" si="578"/>
        <v>0</v>
      </c>
      <c r="AX172" s="407">
        <f t="shared" si="578"/>
        <v>0</v>
      </c>
      <c r="AY172" s="83">
        <f t="shared" ref="AY172:AZ172" si="579">AY170+AY171</f>
        <v>0</v>
      </c>
      <c r="AZ172" s="112">
        <f t="shared" si="579"/>
        <v>0</v>
      </c>
      <c r="BA172" s="407">
        <f t="shared" ref="BA172:BB172" si="580">BA170+BA171</f>
        <v>0</v>
      </c>
      <c r="BB172" s="83">
        <f t="shared" si="580"/>
        <v>0</v>
      </c>
      <c r="BC172" s="411">
        <f>AV172+AS172+AO172+AK172+AG172+AC172+Y172+V172+S172+O172+L172+I172</f>
        <v>0</v>
      </c>
      <c r="BD172" s="83">
        <f t="shared" ref="BD172" si="581">BD170+BD171</f>
        <v>0</v>
      </c>
      <c r="BE172" s="76">
        <v>372</v>
      </c>
      <c r="BF172" s="522"/>
      <c r="BG172" s="493"/>
      <c r="BH172" s="493"/>
      <c r="BI172" s="530"/>
      <c r="BJ172" s="493"/>
      <c r="BK172" s="493"/>
      <c r="BL172" s="493"/>
      <c r="BM172" s="493"/>
    </row>
    <row r="173" spans="1:65" s="9" customFormat="1" ht="15.75" thickBot="1" x14ac:dyDescent="0.3">
      <c r="A173" s="15">
        <v>381311</v>
      </c>
      <c r="B173" s="509" t="s">
        <v>182</v>
      </c>
      <c r="C173" s="75">
        <f>H173+N173+R173+X173+AB173+AF173+AJ173+AN173+AR173+AX173</f>
        <v>410110.65896874375</v>
      </c>
      <c r="D173" s="265"/>
      <c r="E173" s="266">
        <f t="shared" si="534"/>
        <v>258058.97</v>
      </c>
      <c r="F173" s="249">
        <f>IF(C173&lt;&gt;0,E173/C173*100,0)</f>
        <v>62.924228950525219</v>
      </c>
      <c r="G173" s="250">
        <f t="shared" si="471"/>
        <v>0</v>
      </c>
      <c r="H173" s="267"/>
      <c r="I173" s="267"/>
      <c r="J173" s="268"/>
      <c r="K173" s="1297">
        <f t="shared" si="506"/>
        <v>0</v>
      </c>
      <c r="L173" s="269"/>
      <c r="M173" s="268"/>
      <c r="N173" s="1423">
        <f>'izvršenje PO IZVORIMA-detaljno'!V173</f>
        <v>0</v>
      </c>
      <c r="O173" s="1339"/>
      <c r="P173" s="1338">
        <f>'izvršenje PO IZVORIMA-detaljno'!X173</f>
        <v>0</v>
      </c>
      <c r="Q173" s="1331">
        <f t="shared" si="545"/>
        <v>0</v>
      </c>
      <c r="R173" s="1339"/>
      <c r="S173" s="1339"/>
      <c r="T173" s="1340"/>
      <c r="U173" s="1331">
        <f t="shared" si="546"/>
        <v>0</v>
      </c>
      <c r="V173" s="1339"/>
      <c r="W173" s="1340"/>
      <c r="X173" s="1341"/>
      <c r="Y173" s="1341"/>
      <c r="Z173" s="1340"/>
      <c r="AA173" s="1331">
        <f t="shared" si="547"/>
        <v>0</v>
      </c>
      <c r="AB173" s="1390"/>
      <c r="AC173" s="1390"/>
      <c r="AD173" s="1372">
        <f>'izvršenje PO IZVORIMA-detaljno'!H173+'izvršenje PO IZVORIMA-detaljno'!N173</f>
        <v>0</v>
      </c>
      <c r="AE173" s="1385">
        <f t="shared" si="548"/>
        <v>0</v>
      </c>
      <c r="AF173" s="1391">
        <f>'izvršenje PO IZVORIMA-detaljno'!I173+'izvršenje PO IZVORIMA-detaljno'!O173</f>
        <v>410110.65896874375</v>
      </c>
      <c r="AG173" s="1390"/>
      <c r="AH173" s="1391">
        <f>'izvršenje PO IZVORIMA-detaljno'!K173+'izvršenje PO IZVORIMA-detaljno'!Q173</f>
        <v>258058.97</v>
      </c>
      <c r="AI173" s="1385">
        <f t="shared" si="549"/>
        <v>0</v>
      </c>
      <c r="AJ173" s="1390"/>
      <c r="AK173" s="1390"/>
      <c r="AL173" s="1392"/>
      <c r="AM173" s="1385">
        <f t="shared" si="550"/>
        <v>0</v>
      </c>
      <c r="AN173" s="1390"/>
      <c r="AO173" s="1390"/>
      <c r="AP173" s="1372">
        <f>'izvršenje PO IZVORIMA-detaljno'!AP173</f>
        <v>0</v>
      </c>
      <c r="AQ173" s="1385">
        <f t="shared" si="551"/>
        <v>0</v>
      </c>
      <c r="AR173" s="1390"/>
      <c r="AS173" s="1390"/>
      <c r="AT173" s="1392"/>
      <c r="AU173" s="1385">
        <f t="shared" si="552"/>
        <v>0</v>
      </c>
      <c r="AV173" s="1390"/>
      <c r="AW173" s="1393"/>
      <c r="AX173" s="1441"/>
      <c r="AY173" s="1405"/>
      <c r="AZ173" s="1453"/>
      <c r="BA173" s="415"/>
      <c r="BB173" s="410"/>
      <c r="BC173" s="270"/>
      <c r="BD173" s="1295">
        <f>J173+M173+P173+T173+W173+Z173+AD173+AH173+AL173+AP173+AT173+AW173</f>
        <v>258058.97</v>
      </c>
      <c r="BE173" s="15">
        <v>381311</v>
      </c>
      <c r="BF173" s="523"/>
      <c r="BG173" s="494"/>
      <c r="BH173" s="494"/>
      <c r="BI173" s="531"/>
      <c r="BJ173" s="488"/>
      <c r="BK173" s="488"/>
      <c r="BL173" s="488"/>
      <c r="BM173" s="488"/>
    </row>
    <row r="174" spans="1:65" s="9" customFormat="1" ht="15.75" thickBot="1" x14ac:dyDescent="0.3">
      <c r="A174" s="77">
        <v>381291</v>
      </c>
      <c r="B174" s="502" t="s">
        <v>274</v>
      </c>
      <c r="C174" s="75">
        <f t="shared" si="533"/>
        <v>0</v>
      </c>
      <c r="D174" s="72"/>
      <c r="E174" s="212">
        <f t="shared" ref="E174" si="582">BD174</f>
        <v>1392.63</v>
      </c>
      <c r="F174" s="249">
        <f>IF(C174&lt;&gt;0,E174/C174*100,0)</f>
        <v>0</v>
      </c>
      <c r="G174" s="247">
        <f t="shared" ref="G174" si="583">IF(D174&lt;&gt;0,E174/D174*100,0)</f>
        <v>0</v>
      </c>
      <c r="H174" s="1301">
        <f>'izvršenje PO IZVORIMA-detaljno'!C174</f>
        <v>0</v>
      </c>
      <c r="I174" s="261"/>
      <c r="J174" s="271">
        <f>'izvršenje PO IZVORIMA-detaljno'!E174</f>
        <v>1392.63</v>
      </c>
      <c r="K174" s="1292">
        <f t="shared" si="506"/>
        <v>0</v>
      </c>
      <c r="L174" s="263"/>
      <c r="M174" s="262"/>
      <c r="N174" s="1424">
        <f>'izvršenje PO IZVORIMA-detaljno'!V174</f>
        <v>0</v>
      </c>
      <c r="O174" s="1343"/>
      <c r="P174" s="1342">
        <f>'izvršenje PO IZVORIMA-detaljno'!X174</f>
        <v>0</v>
      </c>
      <c r="Q174" s="1325">
        <f t="shared" ref="Q174" si="584">IF(O174&lt;&gt;0,P174/O174*100,0)</f>
        <v>0</v>
      </c>
      <c r="R174" s="1343"/>
      <c r="S174" s="1343"/>
      <c r="T174" s="1344"/>
      <c r="U174" s="1325">
        <f t="shared" ref="U174" si="585">IF(S174&lt;&gt;0,T174/S174*100,0)</f>
        <v>0</v>
      </c>
      <c r="V174" s="1343"/>
      <c r="W174" s="1344"/>
      <c r="X174" s="1307"/>
      <c r="Y174" s="1307"/>
      <c r="Z174" s="1344"/>
      <c r="AA174" s="1325">
        <f t="shared" ref="AA174" si="586">IF(Y174&lt;&gt;0,Z174/Y174*100,0)</f>
        <v>0</v>
      </c>
      <c r="AB174" s="1394"/>
      <c r="AC174" s="1394"/>
      <c r="AD174" s="1372">
        <f>'izvršenje PO IZVORIMA-detaljno'!H174+'izvršenje PO IZVORIMA-detaljno'!N174</f>
        <v>0</v>
      </c>
      <c r="AE174" s="1371">
        <f t="shared" ref="AE174" si="587">IF(AC174&lt;&gt;0,AD174/AC174*100,0)</f>
        <v>0</v>
      </c>
      <c r="AF174" s="1395">
        <f>'izvršenje PO IZVORIMA-detaljno'!I174+'izvršenje PO IZVORIMA-detaljno'!O174</f>
        <v>0</v>
      </c>
      <c r="AG174" s="1394"/>
      <c r="AH174" s="1395">
        <f>'izvršenje PO IZVORIMA-detaljno'!K174+'izvršenje PO IZVORIMA-detaljno'!Q174</f>
        <v>0</v>
      </c>
      <c r="AI174" s="1371">
        <f t="shared" ref="AI174" si="588">IF(AG174&lt;&gt;0,AH174/AG174*100,0)</f>
        <v>0</v>
      </c>
      <c r="AJ174" s="1394"/>
      <c r="AK174" s="1394"/>
      <c r="AL174" s="1396"/>
      <c r="AM174" s="1371">
        <f t="shared" ref="AM174" si="589">IF(AK174&lt;&gt;0,AL174/AK174*100,0)</f>
        <v>0</v>
      </c>
      <c r="AN174" s="1394"/>
      <c r="AO174" s="1394"/>
      <c r="AP174" s="1372">
        <f>'izvršenje PO IZVORIMA-detaljno'!AP174</f>
        <v>0</v>
      </c>
      <c r="AQ174" s="1371">
        <f t="shared" ref="AQ174" si="590">IF(AO174&lt;&gt;0,AP174/AO174*100,0)</f>
        <v>0</v>
      </c>
      <c r="AR174" s="1394"/>
      <c r="AS174" s="1394"/>
      <c r="AT174" s="1396"/>
      <c r="AU174" s="1371">
        <f t="shared" ref="AU174" si="591">IF(AS174&lt;&gt;0,AT174/AS174*100,0)</f>
        <v>0</v>
      </c>
      <c r="AV174" s="1394"/>
      <c r="AW174" s="1397"/>
      <c r="AX174" s="1442"/>
      <c r="AY174" s="1406"/>
      <c r="AZ174" s="1454"/>
      <c r="BA174" s="416"/>
      <c r="BB174" s="421"/>
      <c r="BC174" s="264"/>
      <c r="BD174" s="126">
        <f>J174+M174+P174+T174+W174+Z174+AD174+AH174+AL174+AP174+AT174+AW174</f>
        <v>1392.63</v>
      </c>
      <c r="BE174" s="77">
        <v>381291</v>
      </c>
      <c r="BF174" s="523"/>
      <c r="BG174" s="494"/>
      <c r="BH174" s="494"/>
      <c r="BI174" s="531"/>
      <c r="BJ174" s="488"/>
      <c r="BK174" s="488"/>
      <c r="BL174" s="488"/>
      <c r="BM174" s="488"/>
    </row>
    <row r="175" spans="1:65" s="24" customFormat="1" ht="15.75" thickBot="1" x14ac:dyDescent="0.3">
      <c r="A175" s="1612">
        <v>381</v>
      </c>
      <c r="B175" s="1613" t="s">
        <v>183</v>
      </c>
      <c r="C175" s="90">
        <f>SUM(C173:C174)</f>
        <v>410110.65896874375</v>
      </c>
      <c r="D175" s="82">
        <f>BC175</f>
        <v>482400</v>
      </c>
      <c r="E175" s="91">
        <f>E173+E174</f>
        <v>259451.6</v>
      </c>
      <c r="F175" s="253">
        <f>IF(C175&lt;&gt;0,E175/C175*100,0)</f>
        <v>63.263803153132358</v>
      </c>
      <c r="G175" s="252">
        <f>IF(D175&lt;&gt;0,E175/D175*100,0)</f>
        <v>53.783499170812611</v>
      </c>
      <c r="H175" s="1430">
        <f>SUM(H174)</f>
        <v>0</v>
      </c>
      <c r="I175" s="117">
        <f>'izvršenje PO IZVORIMA-detaljno'!D175</f>
        <v>1400</v>
      </c>
      <c r="J175" s="90">
        <f>SUM(J174)</f>
        <v>1392.63</v>
      </c>
      <c r="K175" s="252">
        <f t="shared" si="506"/>
        <v>99.473571428571432</v>
      </c>
      <c r="L175" s="90">
        <f t="shared" ref="L175:AP175" si="592">L173</f>
        <v>0</v>
      </c>
      <c r="M175" s="114">
        <f t="shared" si="592"/>
        <v>0</v>
      </c>
      <c r="N175" s="1593">
        <f t="shared" ref="N175" si="593">N173</f>
        <v>0</v>
      </c>
      <c r="O175" s="90">
        <f t="shared" si="592"/>
        <v>0</v>
      </c>
      <c r="P175" s="90">
        <f t="shared" si="592"/>
        <v>0</v>
      </c>
      <c r="Q175" s="252">
        <f t="shared" si="545"/>
        <v>0</v>
      </c>
      <c r="R175" s="90">
        <f t="shared" ref="R175" si="594">R173</f>
        <v>0</v>
      </c>
      <c r="S175" s="90">
        <f t="shared" si="592"/>
        <v>0</v>
      </c>
      <c r="T175" s="90">
        <f t="shared" si="592"/>
        <v>0</v>
      </c>
      <c r="U175" s="252">
        <f t="shared" si="546"/>
        <v>0</v>
      </c>
      <c r="V175" s="90">
        <f t="shared" si="592"/>
        <v>0</v>
      </c>
      <c r="W175" s="90">
        <f t="shared" si="592"/>
        <v>0</v>
      </c>
      <c r="X175" s="82"/>
      <c r="Y175" s="82">
        <f>'izvršenje PO IZVORIMA-detaljno'!AI175+'izvršenje PO IZVORIMA-detaljno'!AL175+'izvršenje PO IZVORIMA-detaljno'!AB175</f>
        <v>0</v>
      </c>
      <c r="Z175" s="114">
        <f t="shared" si="592"/>
        <v>0</v>
      </c>
      <c r="AA175" s="252">
        <f t="shared" si="547"/>
        <v>0</v>
      </c>
      <c r="AB175" s="417">
        <f>'izvršenje PO IZVORIMA-detaljno'!F175+'izvršenje PO IZVORIMA-detaljno'!L175</f>
        <v>0</v>
      </c>
      <c r="AC175" s="417">
        <f>'izvršenje PO IZVORIMA-detaljno'!G175+'izvršenje PO IZVORIMA-detaljno'!M175</f>
        <v>0</v>
      </c>
      <c r="AD175" s="90">
        <f t="shared" si="592"/>
        <v>0</v>
      </c>
      <c r="AE175" s="252">
        <f t="shared" si="548"/>
        <v>0</v>
      </c>
      <c r="AF175" s="108">
        <f>SUM(AF173:AF174)</f>
        <v>410110.65896874375</v>
      </c>
      <c r="AG175" s="108">
        <f>'izvršenje PO IZVORIMA-detaljno'!J175+'izvršenje PO IZVORIMA-detaljno'!P175</f>
        <v>481000</v>
      </c>
      <c r="AH175" s="90">
        <f>AH173</f>
        <v>258058.97</v>
      </c>
      <c r="AI175" s="252">
        <f t="shared" si="549"/>
        <v>53.650513513513509</v>
      </c>
      <c r="AJ175" s="82">
        <f>'izvršenje PO IZVORIMA-detaljno'!R175</f>
        <v>0</v>
      </c>
      <c r="AK175" s="82">
        <f>'izvršenje PO IZVORIMA-detaljno'!S175</f>
        <v>0</v>
      </c>
      <c r="AL175" s="90">
        <f t="shared" si="592"/>
        <v>0</v>
      </c>
      <c r="AM175" s="252">
        <f t="shared" si="550"/>
        <v>0</v>
      </c>
      <c r="AN175" s="82">
        <f>'izvršenje PO IZVORIMA-detaljno'!AN175</f>
        <v>0</v>
      </c>
      <c r="AO175" s="82">
        <f>'izvršenje PO IZVORIMA-detaljno'!AO175</f>
        <v>0</v>
      </c>
      <c r="AP175" s="90">
        <f t="shared" si="592"/>
        <v>0</v>
      </c>
      <c r="AQ175" s="252">
        <f t="shared" si="551"/>
        <v>0</v>
      </c>
      <c r="AR175" s="82">
        <f>'izvršenje PO IZVORIMA-detaljno'!AQ175</f>
        <v>0</v>
      </c>
      <c r="AS175" s="82">
        <f>'izvršenje PO IZVORIMA-detaljno'!AR175</f>
        <v>0</v>
      </c>
      <c r="AT175" s="90">
        <f t="shared" ref="AT175" si="595">AT173</f>
        <v>0</v>
      </c>
      <c r="AU175" s="252">
        <f t="shared" si="552"/>
        <v>0</v>
      </c>
      <c r="AV175" s="90">
        <f t="shared" ref="AV175:AX175" si="596">AV173</f>
        <v>0</v>
      </c>
      <c r="AW175" s="91">
        <f t="shared" si="596"/>
        <v>0</v>
      </c>
      <c r="AX175" s="1458">
        <f t="shared" si="596"/>
        <v>0</v>
      </c>
      <c r="AY175" s="91">
        <f t="shared" ref="AY175:AZ175" si="597">AY173</f>
        <v>0</v>
      </c>
      <c r="AZ175" s="114">
        <f t="shared" si="597"/>
        <v>0</v>
      </c>
      <c r="BA175" s="1458">
        <f t="shared" ref="BA175:BB175" si="598">BA173</f>
        <v>0</v>
      </c>
      <c r="BB175" s="91">
        <f t="shared" si="598"/>
        <v>0</v>
      </c>
      <c r="BC175" s="411">
        <f>AV175+AS175+AO175+AK175+AG175+AC175+Y175+V175+S175+O175+L175+I175</f>
        <v>482400</v>
      </c>
      <c r="BD175" s="91">
        <f>BD173+BD174</f>
        <v>259451.6</v>
      </c>
      <c r="BE175" s="1612">
        <v>381</v>
      </c>
      <c r="BF175" s="524"/>
      <c r="BG175" s="489"/>
      <c r="BH175" s="489"/>
      <c r="BI175" s="529"/>
      <c r="BJ175" s="489"/>
      <c r="BK175" s="489"/>
      <c r="BL175" s="489"/>
      <c r="BM175" s="489"/>
    </row>
    <row r="176" spans="1:65" s="24" customFormat="1" ht="15.75" thickBot="1" x14ac:dyDescent="0.3">
      <c r="A176" s="76">
        <v>3</v>
      </c>
      <c r="B176" s="505" t="s">
        <v>111</v>
      </c>
      <c r="C176" s="83">
        <f>C40+C46+C50+C66+C87+C130+C133+C150+C163+C165+C167+C169+C172+C175+C152</f>
        <v>2045151.1341163977</v>
      </c>
      <c r="D176" s="83">
        <f>D40+D46+D50+D66+D87+D130+D133+D150+D163+D165+D167+D169+D172+D175+D152</f>
        <v>3007188</v>
      </c>
      <c r="E176" s="83">
        <f>E40+E46+E50+E66+E87+E130+E133+E150+E163+E165+E167+E169+E172+E175</f>
        <v>2424596.46</v>
      </c>
      <c r="F176" s="253">
        <f t="shared" si="470"/>
        <v>118.55341248643418</v>
      </c>
      <c r="G176" s="252">
        <f t="shared" si="471"/>
        <v>80.626700425779831</v>
      </c>
      <c r="H176" s="411">
        <f>H40+H46+H50+H66+H87+H130+H133+H150+H163+H165+H167+H169+H172+H175+H152</f>
        <v>892531.19915057393</v>
      </c>
      <c r="I176" s="115">
        <f>I40+I46+I50+I66+I87+I130+I133+I150+I163+I165+I167+I169+I172+I175+I152</f>
        <v>1130731</v>
      </c>
      <c r="J176" s="115">
        <f t="shared" ref="J176:AZ176" si="599">J40+J46+J50+J66+J87+J130+J133+J150+J163+J165+J167+J169+J172+J175+J152</f>
        <v>1039466.8800000002</v>
      </c>
      <c r="K176" s="252">
        <f t="shared" si="506"/>
        <v>91.928750516258972</v>
      </c>
      <c r="L176" s="115">
        <f t="shared" si="599"/>
        <v>0</v>
      </c>
      <c r="M176" s="1488">
        <f t="shared" si="599"/>
        <v>0</v>
      </c>
      <c r="N176" s="417">
        <f t="shared" si="599"/>
        <v>93453.0094896808</v>
      </c>
      <c r="O176" s="115">
        <f>O40+O46+O50+O66+O87+O130+O133+O150+O163+O165+O167+O169+O172+O175+O152</f>
        <v>113431</v>
      </c>
      <c r="P176" s="115">
        <f>P40+P46+P50+P66+P87+P130+P133+P150+P163+P165+P167+P169+P172+P175+P152</f>
        <v>113431.10999999999</v>
      </c>
      <c r="Q176" s="252">
        <f t="shared" si="545"/>
        <v>100.00009697525367</v>
      </c>
      <c r="R176" s="115">
        <f>R40+R46+R50+R66+R87+R130+R133+R150+R163+R165+R167+R169+R172+R175+R152</f>
        <v>5172.0114141615231</v>
      </c>
      <c r="S176" s="115">
        <f>S40+S46+S50+S66+S87+S130+S133+S150+S163+S165+S167+S169+S172+S175+S152</f>
        <v>19135</v>
      </c>
      <c r="T176" s="115">
        <f>T40+T46+T50+T66+T87+T130+T133+T150+T163+T165+T167+T169+T172+T175+T152</f>
        <v>19175.989999999998</v>
      </c>
      <c r="U176" s="252">
        <f t="shared" si="546"/>
        <v>100.21421478965247</v>
      </c>
      <c r="V176" s="115">
        <f t="shared" si="599"/>
        <v>0</v>
      </c>
      <c r="W176" s="115">
        <f t="shared" si="599"/>
        <v>0</v>
      </c>
      <c r="X176" s="115">
        <f t="shared" si="599"/>
        <v>589.28926936093967</v>
      </c>
      <c r="Y176" s="115">
        <f t="shared" si="599"/>
        <v>5160</v>
      </c>
      <c r="Z176" s="115">
        <f t="shared" si="599"/>
        <v>2837.79</v>
      </c>
      <c r="AA176" s="252">
        <f t="shared" si="547"/>
        <v>54.995930232558145</v>
      </c>
      <c r="AB176" s="417">
        <f t="shared" si="599"/>
        <v>43097.986594996342</v>
      </c>
      <c r="AC176" s="115">
        <f t="shared" si="599"/>
        <v>24233</v>
      </c>
      <c r="AD176" s="115">
        <f>AD40+AD46+AD50+AD66+AD87+AD130+AD133+AD150+AD163+AD165+AD167+AD169+AD172+AD175+AD152</f>
        <v>63069.19</v>
      </c>
      <c r="AE176" s="252">
        <f t="shared" si="548"/>
        <v>260.26158544134034</v>
      </c>
      <c r="AF176" s="115">
        <f t="shared" si="599"/>
        <v>985396.43771982216</v>
      </c>
      <c r="AG176" s="115">
        <f t="shared" si="599"/>
        <v>1584668</v>
      </c>
      <c r="AH176" s="115">
        <f t="shared" si="599"/>
        <v>1117584.57</v>
      </c>
      <c r="AI176" s="252">
        <f t="shared" si="549"/>
        <v>70.524839903374087</v>
      </c>
      <c r="AJ176" s="115">
        <f t="shared" si="599"/>
        <v>5688.4995686508719</v>
      </c>
      <c r="AK176" s="115">
        <f t="shared" si="599"/>
        <v>101272</v>
      </c>
      <c r="AL176" s="115">
        <f t="shared" si="599"/>
        <v>49604.58</v>
      </c>
      <c r="AM176" s="252">
        <f t="shared" si="550"/>
        <v>48.981534876372542</v>
      </c>
      <c r="AN176" s="115">
        <f t="shared" si="599"/>
        <v>18149.786979892495</v>
      </c>
      <c r="AO176" s="115">
        <f t="shared" si="599"/>
        <v>28027</v>
      </c>
      <c r="AP176" s="115">
        <f t="shared" si="599"/>
        <v>19198.650000000001</v>
      </c>
      <c r="AQ176" s="252">
        <f t="shared" si="551"/>
        <v>68.500553038141803</v>
      </c>
      <c r="AR176" s="115">
        <f t="shared" ref="AR176" si="600">AR40+AR46+AR50+AR66+AR87+AR130+AR133+AR150+AR163+AR165+AR167+AR169+AR172+AR175+AR152</f>
        <v>0</v>
      </c>
      <c r="AS176" s="115">
        <f t="shared" si="599"/>
        <v>531</v>
      </c>
      <c r="AT176" s="115">
        <f t="shared" si="599"/>
        <v>227.7</v>
      </c>
      <c r="AU176" s="252">
        <f t="shared" si="552"/>
        <v>42.881355932203384</v>
      </c>
      <c r="AV176" s="115">
        <f t="shared" si="599"/>
        <v>0</v>
      </c>
      <c r="AW176" s="411">
        <f t="shared" si="599"/>
        <v>0</v>
      </c>
      <c r="AX176" s="417">
        <f t="shared" ref="AX176" si="601">AX40+AX46+AX50+AX66+AX87+AX130+AX133+AX150+AX163+AX165+AX167+AX169+AX172+AX175+AX152</f>
        <v>1072.9139292587431</v>
      </c>
      <c r="AY176" s="115">
        <f t="shared" si="599"/>
        <v>0</v>
      </c>
      <c r="AZ176" s="1488">
        <f t="shared" si="599"/>
        <v>0</v>
      </c>
      <c r="BA176" s="417">
        <f t="shared" ref="BA176:BB176" si="602">BA40+BA46+BA50+BA66+BA87+BA130+BA133+BA150+BA163+BA165+BA167+BA169+BA172+BA175+BA152</f>
        <v>0</v>
      </c>
      <c r="BB176" s="411">
        <f t="shared" si="602"/>
        <v>0</v>
      </c>
      <c r="BC176" s="115">
        <f>BC40+BC46+BC50+BC66+BC87+BC130+BC133+BC150+BC163+BC165+BC167+BC169+BC172+BC175+BC152</f>
        <v>3007188</v>
      </c>
      <c r="BD176" s="115">
        <f>BD40+BD46+BD50+BD66+BD87+BD130+BD133+BD150+BD163+BD165+BD167+BD169+BD172+BD175</f>
        <v>2424596.46</v>
      </c>
      <c r="BE176" s="188">
        <v>3</v>
      </c>
      <c r="BF176" s="522"/>
      <c r="BG176" s="489"/>
      <c r="BH176" s="489"/>
      <c r="BI176" s="529"/>
      <c r="BJ176" s="489"/>
      <c r="BK176" s="489"/>
      <c r="BL176" s="489"/>
      <c r="BM176" s="489"/>
    </row>
    <row r="177" spans="1:65" s="23" customFormat="1" ht="10.5" customHeight="1" thickBot="1" x14ac:dyDescent="0.3">
      <c r="A177" s="1566"/>
      <c r="B177" s="1494"/>
      <c r="C177" s="109"/>
      <c r="D177" s="109"/>
      <c r="E177" s="109"/>
      <c r="F177" s="1495"/>
      <c r="G177" s="1567"/>
      <c r="H177" s="110"/>
      <c r="I177" s="110"/>
      <c r="J177" s="110"/>
      <c r="K177" s="1495"/>
      <c r="L177" s="110"/>
      <c r="M177" s="110"/>
      <c r="N177" s="110"/>
      <c r="O177" s="110"/>
      <c r="P177" s="110"/>
      <c r="Q177" s="1495"/>
      <c r="R177" s="110"/>
      <c r="S177" s="110"/>
      <c r="T177" s="110"/>
      <c r="U177" s="1495"/>
      <c r="V177" s="110"/>
      <c r="W177" s="110"/>
      <c r="X177" s="231"/>
      <c r="Y177" s="231"/>
      <c r="Z177" s="110"/>
      <c r="AA177" s="1495"/>
      <c r="AB177" s="110"/>
      <c r="AC177" s="110"/>
      <c r="AD177" s="110"/>
      <c r="AE177" s="1495"/>
      <c r="AF177" s="110"/>
      <c r="AG177" s="110"/>
      <c r="AH177" s="110"/>
      <c r="AI177" s="1495"/>
      <c r="AJ177" s="110"/>
      <c r="AK177" s="110"/>
      <c r="AL177" s="110"/>
      <c r="AM177" s="1495"/>
      <c r="AN177" s="110"/>
      <c r="AO177" s="110"/>
      <c r="AP177" s="110"/>
      <c r="AQ177" s="1495"/>
      <c r="AR177" s="110"/>
      <c r="AS177" s="110"/>
      <c r="AT177" s="110"/>
      <c r="AU177" s="1495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493"/>
      <c r="BF177" s="518"/>
      <c r="BG177" s="610"/>
      <c r="BH177" s="610"/>
      <c r="BI177" s="1496"/>
      <c r="BJ177" s="610"/>
      <c r="BK177" s="610"/>
      <c r="BL177" s="610"/>
      <c r="BM177" s="610"/>
    </row>
    <row r="178" spans="1:65" ht="15.75" thickBot="1" x14ac:dyDescent="0.3">
      <c r="A178" s="1497" t="s">
        <v>256</v>
      </c>
      <c r="B178" s="1498" t="s">
        <v>255</v>
      </c>
      <c r="C178" s="274">
        <f>H178+N178+R178+X178+AB178+AF178+AJ178+AN178+AR178+AX178</f>
        <v>68887.11925144335</v>
      </c>
      <c r="D178" s="1469"/>
      <c r="E178" s="266">
        <f t="shared" ref="E178" si="603">BD178</f>
        <v>195</v>
      </c>
      <c r="F178" s="1499">
        <f t="shared" si="470"/>
        <v>0.28307178775793312</v>
      </c>
      <c r="G178" s="1500">
        <f t="shared" si="471"/>
        <v>0</v>
      </c>
      <c r="H178" s="1302">
        <f>'izvršenje PO IZVORIMA-detaljno'!C178</f>
        <v>0</v>
      </c>
      <c r="I178" s="1289"/>
      <c r="J178" s="1290">
        <f>'izvršenje PO IZVORIMA-detaljno'!E178</f>
        <v>0</v>
      </c>
      <c r="K178" s="1501">
        <f t="shared" si="506"/>
        <v>0</v>
      </c>
      <c r="L178" s="1290"/>
      <c r="M178" s="1415">
        <f>SUM(M175:M177)</f>
        <v>0</v>
      </c>
      <c r="N178" s="1418"/>
      <c r="O178" s="1319"/>
      <c r="P178" s="1319">
        <f>'izvršenje PO IZVORIMA-detaljno'!X178</f>
        <v>0</v>
      </c>
      <c r="Q178" s="1327">
        <f t="shared" si="545"/>
        <v>0</v>
      </c>
      <c r="R178" s="1319"/>
      <c r="S178" s="1319"/>
      <c r="T178" s="1319">
        <f>'izvršenje PO IZVORIMA-detaljno'!AA178</f>
        <v>0</v>
      </c>
      <c r="U178" s="1327">
        <f t="shared" si="546"/>
        <v>0</v>
      </c>
      <c r="V178" s="1319"/>
      <c r="W178" s="1319"/>
      <c r="X178" s="1319"/>
      <c r="Y178" s="1319"/>
      <c r="Z178" s="1321"/>
      <c r="AA178" s="1502">
        <f t="shared" si="547"/>
        <v>0</v>
      </c>
      <c r="AB178" s="1362">
        <f>'izvršenje PO IZVORIMA-detaljno'!F178+'izvršenje PO IZVORIMA-detaljno'!L178</f>
        <v>0</v>
      </c>
      <c r="AC178" s="1362"/>
      <c r="AD178" s="1503">
        <f>'izvršenje PO IZVORIMA-detaljno'!H178+'izvršenje PO IZVORIMA-detaljno'!N178</f>
        <v>0</v>
      </c>
      <c r="AE178" s="1504">
        <f t="shared" si="548"/>
        <v>0</v>
      </c>
      <c r="AF178" s="1363">
        <f>'izvršenje PO IZVORIMA-detaljno'!I178+'izvršenje PO IZVORIMA-detaljno'!O178</f>
        <v>68887.11925144335</v>
      </c>
      <c r="AG178" s="1377"/>
      <c r="AH178" s="1363">
        <f>'izvršenje PO IZVORIMA-detaljno'!K178+'izvršenje PO IZVORIMA-detaljno'!Q178</f>
        <v>195</v>
      </c>
      <c r="AI178" s="1504">
        <f t="shared" si="549"/>
        <v>0</v>
      </c>
      <c r="AJ178" s="1363"/>
      <c r="AK178" s="1363"/>
      <c r="AL178" s="1363"/>
      <c r="AM178" s="1504">
        <f t="shared" si="550"/>
        <v>0</v>
      </c>
      <c r="AN178" s="1363"/>
      <c r="AO178" s="1363"/>
      <c r="AP178" s="1503">
        <f>'izvršenje PO IZVORIMA-detaljno'!AP178</f>
        <v>0</v>
      </c>
      <c r="AQ178" s="1504">
        <f t="shared" si="551"/>
        <v>0</v>
      </c>
      <c r="AR178" s="1363"/>
      <c r="AS178" s="1363"/>
      <c r="AT178" s="1363"/>
      <c r="AU178" s="1504">
        <f t="shared" si="552"/>
        <v>0</v>
      </c>
      <c r="AV178" s="1363"/>
      <c r="AW178" s="1365"/>
      <c r="AX178" s="1434"/>
      <c r="AY178" s="1402"/>
      <c r="AZ178" s="1446"/>
      <c r="BA178" s="407"/>
      <c r="BB178" s="83"/>
      <c r="BC178" s="1456"/>
      <c r="BD178" s="1295">
        <f>J178+M178+P178+T178+W178+Z178+AD178+AH178+AL178+AP178+AT178+AW178</f>
        <v>195</v>
      </c>
      <c r="BE178" s="1505" t="s">
        <v>256</v>
      </c>
      <c r="BF178" s="522"/>
      <c r="BG178" s="484"/>
      <c r="BH178" s="484"/>
      <c r="BI178" s="527"/>
    </row>
    <row r="179" spans="1:65" s="24" customFormat="1" ht="15.75" thickBot="1" x14ac:dyDescent="0.3">
      <c r="A179" s="76">
        <v>412</v>
      </c>
      <c r="B179" s="505" t="s">
        <v>254</v>
      </c>
      <c r="C179" s="82">
        <f>SUM(C178)</f>
        <v>68887.11925144335</v>
      </c>
      <c r="D179" s="82">
        <f>BC179</f>
        <v>200</v>
      </c>
      <c r="E179" s="83">
        <f>SUM(E178)</f>
        <v>195</v>
      </c>
      <c r="F179" s="253">
        <f t="shared" si="470"/>
        <v>0.28307178775793312</v>
      </c>
      <c r="G179" s="252">
        <f t="shared" si="471"/>
        <v>97.5</v>
      </c>
      <c r="H179" s="205"/>
      <c r="I179" s="205">
        <f>'izvršenje PO IZVORIMA-detaljno'!D179</f>
        <v>0</v>
      </c>
      <c r="J179" s="205"/>
      <c r="K179" s="252">
        <f t="shared" si="506"/>
        <v>0</v>
      </c>
      <c r="L179" s="205">
        <v>0</v>
      </c>
      <c r="M179" s="207">
        <f>SUM(M178)</f>
        <v>0</v>
      </c>
      <c r="N179" s="206">
        <f>'izvršenje PO IZVORIMA-detaljno'!V179</f>
        <v>0</v>
      </c>
      <c r="O179" s="206">
        <f>'izvršenje PO IZVORIMA-detaljno'!W179</f>
        <v>0</v>
      </c>
      <c r="P179" s="207">
        <f>SUM(P178)</f>
        <v>0</v>
      </c>
      <c r="Q179" s="252">
        <f t="shared" si="545"/>
        <v>0</v>
      </c>
      <c r="R179" s="206">
        <f>'izvršenje PO IZVORIMA-detaljno'!Y179</f>
        <v>0</v>
      </c>
      <c r="S179" s="206">
        <f>'izvršenje PO IZVORIMA-detaljno'!Z179</f>
        <v>0</v>
      </c>
      <c r="T179" s="491"/>
      <c r="U179" s="252">
        <f t="shared" si="546"/>
        <v>0</v>
      </c>
      <c r="V179" s="208"/>
      <c r="W179" s="209"/>
      <c r="X179" s="181"/>
      <c r="Y179" s="181"/>
      <c r="Z179" s="209"/>
      <c r="AA179" s="252">
        <f t="shared" si="547"/>
        <v>0</v>
      </c>
      <c r="AB179" s="1614">
        <f>SUM(AB178)</f>
        <v>0</v>
      </c>
      <c r="AC179" s="206">
        <f>'izvršenje PO IZVORIMA-detaljno'!G179+'izvršenje PO IZVORIMA-detaljno'!M179</f>
        <v>0</v>
      </c>
      <c r="AD179" s="490">
        <f>SUM(AD178)</f>
        <v>0</v>
      </c>
      <c r="AE179" s="252">
        <f t="shared" si="548"/>
        <v>0</v>
      </c>
      <c r="AF179" s="206">
        <f>SUM(AF178)</f>
        <v>68887.11925144335</v>
      </c>
      <c r="AG179" s="206">
        <f>'izvršenje PO IZVORIMA-detaljno'!J179+'izvršenje PO IZVORIMA-detaljno'!P179</f>
        <v>200</v>
      </c>
      <c r="AH179" s="207">
        <f>SUM(AH178)</f>
        <v>195</v>
      </c>
      <c r="AI179" s="252">
        <f t="shared" si="549"/>
        <v>97.5</v>
      </c>
      <c r="AJ179" s="208"/>
      <c r="AK179" s="208"/>
      <c r="AL179" s="209"/>
      <c r="AM179" s="252">
        <f t="shared" si="550"/>
        <v>0</v>
      </c>
      <c r="AN179" s="208"/>
      <c r="AO179" s="208"/>
      <c r="AP179" s="209"/>
      <c r="AQ179" s="252">
        <f t="shared" si="551"/>
        <v>0</v>
      </c>
      <c r="AR179" s="208"/>
      <c r="AS179" s="208"/>
      <c r="AT179" s="209"/>
      <c r="AU179" s="252">
        <f t="shared" si="552"/>
        <v>0</v>
      </c>
      <c r="AV179" s="208"/>
      <c r="AW179" s="210"/>
      <c r="AX179" s="208"/>
      <c r="AY179" s="210"/>
      <c r="AZ179" s="209"/>
      <c r="BA179" s="208"/>
      <c r="BB179" s="210"/>
      <c r="BC179" s="411">
        <f>AV179+AS179+AO179+AK179+AG179+AC179+Y179+V179+S179+O179+L179+I179</f>
        <v>200</v>
      </c>
      <c r="BD179" s="211">
        <f>SUM(BD178)</f>
        <v>195</v>
      </c>
      <c r="BE179" s="346">
        <v>412</v>
      </c>
      <c r="BF179" s="254"/>
      <c r="BG179" s="489"/>
      <c r="BH179" s="489"/>
      <c r="BI179" s="529"/>
      <c r="BJ179" s="489"/>
      <c r="BK179" s="489"/>
      <c r="BL179" s="489"/>
      <c r="BM179" s="489"/>
    </row>
    <row r="180" spans="1:65" x14ac:dyDescent="0.25">
      <c r="A180" s="62">
        <v>422111</v>
      </c>
      <c r="B180" s="498" t="s">
        <v>114</v>
      </c>
      <c r="C180" s="75">
        <f t="shared" ref="C180:C195" si="604">H180+N180+R180+X180+AB180+AF180+AJ180+AN180+AR180+AX180</f>
        <v>596.09794943260999</v>
      </c>
      <c r="D180" s="69"/>
      <c r="E180" s="212">
        <f t="shared" ref="E180:E195" si="605">BD180</f>
        <v>1525.8000000000002</v>
      </c>
      <c r="F180" s="240">
        <f t="shared" si="470"/>
        <v>255.96464498029525</v>
      </c>
      <c r="G180" s="241">
        <f t="shared" si="471"/>
        <v>0</v>
      </c>
      <c r="H180" s="124"/>
      <c r="I180" s="124"/>
      <c r="J180" s="51"/>
      <c r="K180" s="1286">
        <f t="shared" si="506"/>
        <v>0</v>
      </c>
      <c r="L180" s="52"/>
      <c r="M180" s="51"/>
      <c r="N180" s="1419">
        <f>'izvršenje PO IZVORIMA-detaljno'!V180</f>
        <v>596.09794943260999</v>
      </c>
      <c r="O180" s="1314"/>
      <c r="P180" s="1326">
        <f>'izvršenje PO IZVORIMA-detaljno'!X180</f>
        <v>862.35</v>
      </c>
      <c r="Q180" s="1309">
        <f t="shared" si="545"/>
        <v>0</v>
      </c>
      <c r="R180" s="1314"/>
      <c r="S180" s="1314"/>
      <c r="T180" s="1308">
        <f>'izvršenje PO IZVORIMA-detaljno'!AA180</f>
        <v>0</v>
      </c>
      <c r="U180" s="1309">
        <f t="shared" si="546"/>
        <v>0</v>
      </c>
      <c r="V180" s="1314"/>
      <c r="W180" s="1315"/>
      <c r="X180" s="1307"/>
      <c r="Y180" s="1307"/>
      <c r="Z180" s="1315"/>
      <c r="AA180" s="1309">
        <f t="shared" si="547"/>
        <v>0</v>
      </c>
      <c r="AB180" s="1429"/>
      <c r="AC180" s="1357"/>
      <c r="AD180" s="1348">
        <f>'izvršenje PO IZVORIMA-detaljno'!H180+'izvršenje PO IZVORIMA-detaljno'!N180</f>
        <v>0</v>
      </c>
      <c r="AE180" s="1350">
        <f t="shared" si="548"/>
        <v>0</v>
      </c>
      <c r="AF180" s="1357"/>
      <c r="AG180" s="1357"/>
      <c r="AH180" s="1398">
        <f>'izvršenje PO IZVORIMA-detaljno'!K180+'izvršenje PO IZVORIMA-detaljno'!Q180</f>
        <v>0</v>
      </c>
      <c r="AI180" s="1350">
        <f t="shared" si="549"/>
        <v>0</v>
      </c>
      <c r="AJ180" s="1357"/>
      <c r="AK180" s="1357"/>
      <c r="AL180" s="1383">
        <f>'izvršenje PO IZVORIMA-detaljno'!T180+'izvršenje PO IZVORIMA-detaljno'!U180</f>
        <v>0</v>
      </c>
      <c r="AM180" s="1350">
        <f t="shared" si="550"/>
        <v>0</v>
      </c>
      <c r="AN180" s="1372">
        <f>'izvršenje PO IZVORIMA-detaljno'!AN180</f>
        <v>0</v>
      </c>
      <c r="AO180" s="1357"/>
      <c r="AP180" s="1372">
        <f>'izvršenje PO IZVORIMA-detaljno'!AP180</f>
        <v>663.45</v>
      </c>
      <c r="AQ180" s="1350">
        <f t="shared" si="551"/>
        <v>0</v>
      </c>
      <c r="AR180" s="1357"/>
      <c r="AS180" s="1357"/>
      <c r="AT180" s="1370"/>
      <c r="AU180" s="1350">
        <f t="shared" si="552"/>
        <v>0</v>
      </c>
      <c r="AV180" s="1357"/>
      <c r="AW180" s="1358"/>
      <c r="AX180" s="1435"/>
      <c r="AY180" s="1401"/>
      <c r="AZ180" s="1444"/>
      <c r="BA180" s="180"/>
      <c r="BB180" s="178"/>
      <c r="BC180" s="57"/>
      <c r="BD180" s="126">
        <f>J180+M180+P180+T180+W180+Z180+AD180+AH180+AL180+AP180+AT180+AW180</f>
        <v>1525.8000000000002</v>
      </c>
      <c r="BE180" s="1506">
        <v>422111</v>
      </c>
      <c r="BG180" s="484"/>
      <c r="BH180" s="484"/>
      <c r="BI180" s="527"/>
    </row>
    <row r="181" spans="1:65" s="6" customFormat="1" x14ac:dyDescent="0.25">
      <c r="A181" s="44">
        <v>422121</v>
      </c>
      <c r="B181" s="499" t="s">
        <v>115</v>
      </c>
      <c r="C181" s="75">
        <f t="shared" si="604"/>
        <v>298.62631893290859</v>
      </c>
      <c r="D181" s="5"/>
      <c r="E181" s="122">
        <f t="shared" si="605"/>
        <v>139415.81</v>
      </c>
      <c r="F181" s="235">
        <f t="shared" si="470"/>
        <v>46685.707575333341</v>
      </c>
      <c r="G181" s="237">
        <f t="shared" si="471"/>
        <v>0</v>
      </c>
      <c r="H181" s="123">
        <f>'izvršenje PO IZVORIMA-detaljno'!C181</f>
        <v>0</v>
      </c>
      <c r="I181" s="124"/>
      <c r="J181" s="176">
        <f>'izvršenje PO IZVORIMA-detaljno'!E181</f>
        <v>1128.1300000000001</v>
      </c>
      <c r="K181" s="1287">
        <f t="shared" si="506"/>
        <v>0</v>
      </c>
      <c r="L181" s="52"/>
      <c r="M181" s="51"/>
      <c r="N181" s="1419">
        <f>'izvršenje PO IZVORIMA-detaljno'!V181</f>
        <v>298.62631893290859</v>
      </c>
      <c r="O181" s="1314"/>
      <c r="P181" s="1326">
        <f>'izvršenje PO IZVORIMA-detaljno'!X181</f>
        <v>0</v>
      </c>
      <c r="Q181" s="1313">
        <f t="shared" si="545"/>
        <v>0</v>
      </c>
      <c r="R181" s="1314"/>
      <c r="S181" s="1314"/>
      <c r="T181" s="1326">
        <f>'izvršenje PO IZVORIMA-detaljno'!AA181</f>
        <v>7165.8099999999995</v>
      </c>
      <c r="U181" s="1313">
        <f t="shared" si="546"/>
        <v>0</v>
      </c>
      <c r="V181" s="1314"/>
      <c r="W181" s="1315"/>
      <c r="X181" s="1307"/>
      <c r="Y181" s="1307"/>
      <c r="Z181" s="1315"/>
      <c r="AA181" s="1313">
        <f t="shared" si="547"/>
        <v>0</v>
      </c>
      <c r="AB181" s="1427">
        <f>'izvršenje PO IZVORIMA-detaljno'!L181+'izvršenje PO IZVORIMA-detaljno'!F181</f>
        <v>0</v>
      </c>
      <c r="AC181" s="1356"/>
      <c r="AD181" s="1372">
        <f>'izvršenje PO IZVORIMA-detaljno'!H181+'izvršenje PO IZVORIMA-detaljno'!N181</f>
        <v>130721.87</v>
      </c>
      <c r="AE181" s="1355">
        <f t="shared" si="548"/>
        <v>0</v>
      </c>
      <c r="AF181" s="1357"/>
      <c r="AG181" s="1357"/>
      <c r="AH181" s="1374">
        <f>'izvršenje PO IZVORIMA-detaljno'!K181+'izvršenje PO IZVORIMA-detaljno'!Q181</f>
        <v>0</v>
      </c>
      <c r="AI181" s="1355">
        <f t="shared" si="549"/>
        <v>0</v>
      </c>
      <c r="AJ181" s="1357"/>
      <c r="AK181" s="1357"/>
      <c r="AL181" s="1383">
        <f>'izvršenje PO IZVORIMA-detaljno'!T181+'izvršenje PO IZVORIMA-detaljno'!U181</f>
        <v>0</v>
      </c>
      <c r="AM181" s="1355">
        <f t="shared" si="550"/>
        <v>0</v>
      </c>
      <c r="AN181" s="1357"/>
      <c r="AO181" s="1357"/>
      <c r="AP181" s="1372">
        <f>'izvršenje PO IZVORIMA-detaljno'!AP181</f>
        <v>400</v>
      </c>
      <c r="AQ181" s="1355">
        <f t="shared" si="551"/>
        <v>0</v>
      </c>
      <c r="AR181" s="1357"/>
      <c r="AS181" s="1357"/>
      <c r="AT181" s="1370"/>
      <c r="AU181" s="1355">
        <f t="shared" si="552"/>
        <v>0</v>
      </c>
      <c r="AV181" s="1357"/>
      <c r="AW181" s="1358"/>
      <c r="AX181" s="1435"/>
      <c r="AY181" s="1401"/>
      <c r="AZ181" s="1444"/>
      <c r="BA181" s="180"/>
      <c r="BB181" s="178"/>
      <c r="BC181" s="57"/>
      <c r="BD181" s="126">
        <f>J181+M181+P181+T181+W181+Z181+AD181+AH181+AL181+AP181+AT181+AW181</f>
        <v>139415.81</v>
      </c>
      <c r="BE181" s="1506">
        <v>422121</v>
      </c>
      <c r="BF181" s="518"/>
      <c r="BG181" s="493"/>
      <c r="BH181" s="493"/>
      <c r="BI181" s="530"/>
      <c r="BJ181" s="487"/>
      <c r="BK181" s="487"/>
      <c r="BL181" s="487"/>
      <c r="BM181" s="487"/>
    </row>
    <row r="182" spans="1:65" ht="15.75" thickBot="1" x14ac:dyDescent="0.3">
      <c r="A182" s="1507">
        <v>422191</v>
      </c>
      <c r="B182" s="1508" t="s">
        <v>116</v>
      </c>
      <c r="C182" s="218">
        <f t="shared" si="604"/>
        <v>0</v>
      </c>
      <c r="D182" s="1509"/>
      <c r="E182" s="118">
        <f t="shared" si="605"/>
        <v>71362.560000000012</v>
      </c>
      <c r="F182" s="236">
        <f t="shared" si="470"/>
        <v>0</v>
      </c>
      <c r="G182" s="238">
        <f t="shared" si="471"/>
        <v>0</v>
      </c>
      <c r="H182" s="225"/>
      <c r="I182" s="225"/>
      <c r="J182" s="228"/>
      <c r="K182" s="1298">
        <f t="shared" si="506"/>
        <v>0</v>
      </c>
      <c r="L182" s="227"/>
      <c r="M182" s="228"/>
      <c r="N182" s="1421">
        <f>'izvršenje PO IZVORIMA-detaljno'!V182</f>
        <v>0</v>
      </c>
      <c r="O182" s="1335"/>
      <c r="P182" s="1334">
        <f>'izvršenje PO IZVORIMA-detaljno'!X182</f>
        <v>0</v>
      </c>
      <c r="Q182" s="1332">
        <f t="shared" si="545"/>
        <v>0</v>
      </c>
      <c r="R182" s="1335"/>
      <c r="S182" s="1335"/>
      <c r="T182" s="1334">
        <f>'izvršenje PO IZVORIMA-detaljno'!AA182</f>
        <v>3708.6</v>
      </c>
      <c r="U182" s="1332">
        <f t="shared" si="546"/>
        <v>0</v>
      </c>
      <c r="V182" s="1335"/>
      <c r="W182" s="1336"/>
      <c r="X182" s="1337"/>
      <c r="Y182" s="1337"/>
      <c r="Z182" s="1336"/>
      <c r="AA182" s="1332">
        <f t="shared" si="547"/>
        <v>0</v>
      </c>
      <c r="AB182" s="1510"/>
      <c r="AC182" s="1387"/>
      <c r="AD182" s="1388">
        <f>'izvršenje PO IZVORIMA-detaljno'!H182+'izvršenje PO IZVORIMA-detaljno'!N182</f>
        <v>67653.960000000006</v>
      </c>
      <c r="AE182" s="1386">
        <f t="shared" si="548"/>
        <v>0</v>
      </c>
      <c r="AF182" s="1387"/>
      <c r="AG182" s="1387"/>
      <c r="AH182" s="1511">
        <f>'izvršenje PO IZVORIMA-detaljno'!K182+'izvršenje PO IZVORIMA-detaljno'!Q182</f>
        <v>0</v>
      </c>
      <c r="AI182" s="1386">
        <f t="shared" si="549"/>
        <v>0</v>
      </c>
      <c r="AJ182" s="1387"/>
      <c r="AK182" s="1387"/>
      <c r="AL182" s="1512">
        <f>'izvršenje PO IZVORIMA-detaljno'!T182+'izvršenje PO IZVORIMA-detaljno'!U182</f>
        <v>0</v>
      </c>
      <c r="AM182" s="1386">
        <f t="shared" si="550"/>
        <v>0</v>
      </c>
      <c r="AN182" s="1387"/>
      <c r="AO182" s="1387"/>
      <c r="AP182" s="1388">
        <f>'izvršenje PO IZVORIMA-detaljno'!AP182</f>
        <v>0</v>
      </c>
      <c r="AQ182" s="1386">
        <f t="shared" si="551"/>
        <v>0</v>
      </c>
      <c r="AR182" s="1387"/>
      <c r="AS182" s="1387"/>
      <c r="AT182" s="1513"/>
      <c r="AU182" s="1386">
        <f t="shared" si="552"/>
        <v>0</v>
      </c>
      <c r="AV182" s="1387"/>
      <c r="AW182" s="1389"/>
      <c r="AX182" s="1439"/>
      <c r="AY182" s="1404"/>
      <c r="AZ182" s="1452"/>
      <c r="BA182" s="418"/>
      <c r="BB182" s="420"/>
      <c r="BC182" s="229"/>
      <c r="BD182" s="1300">
        <f>J182+M182+P182+T182+W182+Z182+AD182+AH182+AL182+AP182+AT182+AW182</f>
        <v>71362.560000000012</v>
      </c>
      <c r="BE182" s="1514">
        <v>422191</v>
      </c>
      <c r="BG182" s="484"/>
      <c r="BH182" s="484"/>
      <c r="BI182" s="527"/>
    </row>
    <row r="183" spans="1:65" ht="15.75" thickBot="1" x14ac:dyDescent="0.3">
      <c r="A183" s="65">
        <v>4221</v>
      </c>
      <c r="B183" s="501" t="s">
        <v>117</v>
      </c>
      <c r="C183" s="82">
        <f>SUM(C180:C182)</f>
        <v>894.72426836551858</v>
      </c>
      <c r="D183" s="66">
        <f t="shared" ref="D183" si="606">D180+D181+D182</f>
        <v>0</v>
      </c>
      <c r="E183" s="67">
        <f>E180+E181+E182</f>
        <v>212304.16999999998</v>
      </c>
      <c r="F183" s="251">
        <f t="shared" si="470"/>
        <v>23728.446573583729</v>
      </c>
      <c r="G183" s="252">
        <f t="shared" si="471"/>
        <v>0</v>
      </c>
      <c r="H183" s="1302">
        <f t="shared" ref="H183" si="607">H180+H181+H182</f>
        <v>0</v>
      </c>
      <c r="I183" s="1289">
        <f t="shared" ref="I183:AP183" si="608">I180+I181+I182</f>
        <v>0</v>
      </c>
      <c r="J183" s="1290">
        <f>J180+J181+J182</f>
        <v>1128.1300000000001</v>
      </c>
      <c r="K183" s="1291">
        <f t="shared" si="506"/>
        <v>0</v>
      </c>
      <c r="L183" s="1290">
        <f t="shared" si="608"/>
        <v>0</v>
      </c>
      <c r="M183" s="1415">
        <f t="shared" si="608"/>
        <v>0</v>
      </c>
      <c r="N183" s="1418">
        <f t="shared" ref="N183" si="609">N180+N181+N182</f>
        <v>894.72426836551858</v>
      </c>
      <c r="O183" s="1319">
        <f t="shared" si="608"/>
        <v>0</v>
      </c>
      <c r="P183" s="1319">
        <f>P180+P181+P182</f>
        <v>862.35</v>
      </c>
      <c r="Q183" s="1320">
        <f t="shared" si="545"/>
        <v>0</v>
      </c>
      <c r="R183" s="1319">
        <f t="shared" ref="R183" si="610">R180+R181+R182</f>
        <v>0</v>
      </c>
      <c r="S183" s="1319">
        <f t="shared" si="608"/>
        <v>0</v>
      </c>
      <c r="T183" s="1319">
        <f t="shared" si="608"/>
        <v>10874.41</v>
      </c>
      <c r="U183" s="1320">
        <f t="shared" si="546"/>
        <v>0</v>
      </c>
      <c r="V183" s="1319">
        <f t="shared" si="608"/>
        <v>0</v>
      </c>
      <c r="W183" s="1319">
        <f t="shared" si="608"/>
        <v>0</v>
      </c>
      <c r="X183" s="1319"/>
      <c r="Y183" s="1319">
        <f>'izvršenje PO IZVORIMA-detaljno'!AI183+'izvršenje PO IZVORIMA-detaljno'!AL183+'izvršenje PO IZVORIMA-detaljno'!AB183</f>
        <v>0</v>
      </c>
      <c r="Z183" s="1321">
        <f t="shared" si="608"/>
        <v>0</v>
      </c>
      <c r="AA183" s="1320">
        <f t="shared" si="547"/>
        <v>0</v>
      </c>
      <c r="AB183" s="1362">
        <f t="shared" si="608"/>
        <v>0</v>
      </c>
      <c r="AC183" s="1362">
        <f>'izvršenje PO IZVORIMA-detaljno'!G183+'izvršenje PO IZVORIMA-detaljno'!M183</f>
        <v>0</v>
      </c>
      <c r="AD183" s="1363">
        <f>AD180+AD181+AD182</f>
        <v>198375.83000000002</v>
      </c>
      <c r="AE183" s="1364">
        <f t="shared" si="548"/>
        <v>0</v>
      </c>
      <c r="AF183" s="1377"/>
      <c r="AG183" s="1377">
        <f>'izvršenje PO IZVORIMA-detaljno'!J183+'izvršenje PO IZVORIMA-detaljno'!P183</f>
        <v>0</v>
      </c>
      <c r="AH183" s="1363">
        <f t="shared" si="608"/>
        <v>0</v>
      </c>
      <c r="AI183" s="1364">
        <f t="shared" si="549"/>
        <v>0</v>
      </c>
      <c r="AJ183" s="1363">
        <f t="shared" ref="AJ183" si="611">AJ180+AJ181+AJ182</f>
        <v>0</v>
      </c>
      <c r="AK183" s="1363">
        <f t="shared" si="608"/>
        <v>0</v>
      </c>
      <c r="AL183" s="1363">
        <f t="shared" si="608"/>
        <v>0</v>
      </c>
      <c r="AM183" s="1364">
        <f t="shared" si="550"/>
        <v>0</v>
      </c>
      <c r="AN183" s="1363">
        <f>SUM(AN180:AN182)</f>
        <v>0</v>
      </c>
      <c r="AO183" s="1363">
        <f>'izvršenje PO IZVORIMA-detaljno'!AO183</f>
        <v>0</v>
      </c>
      <c r="AP183" s="1363">
        <f t="shared" si="608"/>
        <v>1063.45</v>
      </c>
      <c r="AQ183" s="1364">
        <f t="shared" si="551"/>
        <v>0</v>
      </c>
      <c r="AR183" s="1363">
        <f>'izvršenje PO IZVORIMA-detaljno'!AQ183</f>
        <v>0</v>
      </c>
      <c r="AS183" s="1363">
        <f>'izvršenje PO IZVORIMA-detaljno'!AR183</f>
        <v>0</v>
      </c>
      <c r="AT183" s="1363">
        <f t="shared" ref="AT183" si="612">AT180+AT181+AT182</f>
        <v>0</v>
      </c>
      <c r="AU183" s="1364">
        <f t="shared" si="552"/>
        <v>0</v>
      </c>
      <c r="AV183" s="1363">
        <f t="shared" ref="AV183:AX183" si="613">AV180+AV181+AV182</f>
        <v>0</v>
      </c>
      <c r="AW183" s="1365">
        <f t="shared" si="613"/>
        <v>0</v>
      </c>
      <c r="AX183" s="1434">
        <f t="shared" si="613"/>
        <v>0</v>
      </c>
      <c r="AY183" s="1402">
        <f t="shared" ref="AY183:AZ183" si="614">AY180+AY181+AY182</f>
        <v>0</v>
      </c>
      <c r="AZ183" s="1446">
        <f t="shared" si="614"/>
        <v>0</v>
      </c>
      <c r="BA183" s="407">
        <f t="shared" ref="BA183:BB183" si="615">BA180+BA181+BA182</f>
        <v>0</v>
      </c>
      <c r="BB183" s="83">
        <f t="shared" si="615"/>
        <v>0</v>
      </c>
      <c r="BC183" s="1455">
        <f>AV183+AS183+AO183+AK183+AG183+AC183+Y183+V183+S183+O183+L183+I183</f>
        <v>0</v>
      </c>
      <c r="BD183" s="1294">
        <f t="shared" ref="BD183" si="616">BD180+BD181+BD182</f>
        <v>212304.16999999998</v>
      </c>
      <c r="BE183" s="65">
        <v>4221</v>
      </c>
      <c r="BF183" s="522"/>
      <c r="BG183" s="484"/>
      <c r="BH183" s="484"/>
      <c r="BI183" s="527"/>
    </row>
    <row r="184" spans="1:65" s="2" customFormat="1" ht="15.75" thickBot="1" x14ac:dyDescent="0.3">
      <c r="A184" s="77">
        <v>422221</v>
      </c>
      <c r="B184" s="502" t="s">
        <v>258</v>
      </c>
      <c r="C184" s="75">
        <f t="shared" si="604"/>
        <v>132.59008560621143</v>
      </c>
      <c r="D184" s="71"/>
      <c r="E184" s="122">
        <f t="shared" si="605"/>
        <v>0</v>
      </c>
      <c r="F184" s="246">
        <f t="shared" si="470"/>
        <v>0</v>
      </c>
      <c r="G184" s="247">
        <f t="shared" si="471"/>
        <v>0</v>
      </c>
      <c r="H184" s="125"/>
      <c r="I184" s="125"/>
      <c r="J184" s="60"/>
      <c r="K184" s="1292">
        <f t="shared" si="506"/>
        <v>0</v>
      </c>
      <c r="L184" s="59"/>
      <c r="M184" s="60"/>
      <c r="N184" s="1420">
        <f>'izvršenje PO IZVORIMA-detaljno'!V184</f>
        <v>0</v>
      </c>
      <c r="O184" s="1328"/>
      <c r="P184" s="1330">
        <f>'izvršenje PO IZVORIMA-detaljno'!X184</f>
        <v>0</v>
      </c>
      <c r="Q184" s="1325">
        <f t="shared" si="545"/>
        <v>0</v>
      </c>
      <c r="R184" s="1328"/>
      <c r="S184" s="1328"/>
      <c r="T184" s="1326">
        <f>'izvršenje PO IZVORIMA-detaljno'!AA184</f>
        <v>0</v>
      </c>
      <c r="U184" s="1325">
        <f t="shared" si="546"/>
        <v>0</v>
      </c>
      <c r="V184" s="1328"/>
      <c r="W184" s="1329"/>
      <c r="X184" s="1307"/>
      <c r="Y184" s="1307"/>
      <c r="Z184" s="1329"/>
      <c r="AA184" s="1325">
        <f t="shared" si="547"/>
        <v>0</v>
      </c>
      <c r="AB184" s="1380"/>
      <c r="AC184" s="1380"/>
      <c r="AD184" s="1372">
        <f>'izvršenje PO IZVORIMA-detaljno'!H184+'izvršenje PO IZVORIMA-detaljno'!N184</f>
        <v>0</v>
      </c>
      <c r="AE184" s="1371">
        <f t="shared" si="548"/>
        <v>0</v>
      </c>
      <c r="AF184" s="1380"/>
      <c r="AG184" s="1380"/>
      <c r="AH184" s="1374">
        <f>'izvršenje PO IZVORIMA-detaljno'!K184+'izvršenje PO IZVORIMA-detaljno'!Q184</f>
        <v>0</v>
      </c>
      <c r="AI184" s="1371">
        <f t="shared" si="549"/>
        <v>0</v>
      </c>
      <c r="AJ184" s="1380"/>
      <c r="AK184" s="1380"/>
      <c r="AL184" s="1381"/>
      <c r="AM184" s="1371">
        <f t="shared" si="550"/>
        <v>0</v>
      </c>
      <c r="AN184" s="1383">
        <f>'izvršenje PO IZVORIMA-detaljno'!AN184</f>
        <v>132.59008560621143</v>
      </c>
      <c r="AO184" s="1380"/>
      <c r="AP184" s="1372">
        <f>'izvršenje PO IZVORIMA-detaljno'!AP184</f>
        <v>0</v>
      </c>
      <c r="AQ184" s="1371">
        <f t="shared" si="551"/>
        <v>0</v>
      </c>
      <c r="AR184" s="1380"/>
      <c r="AS184" s="1380"/>
      <c r="AT184" s="1381"/>
      <c r="AU184" s="1371">
        <f t="shared" si="552"/>
        <v>0</v>
      </c>
      <c r="AV184" s="1380"/>
      <c r="AW184" s="1382"/>
      <c r="AX184" s="1437"/>
      <c r="AY184" s="1403"/>
      <c r="AZ184" s="1450"/>
      <c r="BA184" s="208"/>
      <c r="BB184" s="210"/>
      <c r="BC184" s="61"/>
      <c r="BD184" s="126">
        <f>J184+M184+P184+T184+W184+Z184+AD184+AH184+AL184+AP184+AT184+AW184</f>
        <v>0</v>
      </c>
      <c r="BE184" s="77">
        <v>422211</v>
      </c>
      <c r="BF184" s="254"/>
      <c r="BG184" s="489"/>
      <c r="BH184" s="489"/>
      <c r="BI184" s="529"/>
      <c r="BJ184" s="486"/>
      <c r="BK184" s="486"/>
      <c r="BL184" s="486"/>
      <c r="BM184" s="486"/>
    </row>
    <row r="185" spans="1:65" s="22" customFormat="1" ht="15.75" thickBot="1" x14ac:dyDescent="0.3">
      <c r="A185" s="76">
        <v>4222</v>
      </c>
      <c r="B185" s="505" t="s">
        <v>118</v>
      </c>
      <c r="C185" s="82">
        <f>SUM(C184)</f>
        <v>132.59008560621143</v>
      </c>
      <c r="D185" s="82">
        <f t="shared" ref="D185:E185" si="617">D184</f>
        <v>0</v>
      </c>
      <c r="E185" s="83">
        <f t="shared" si="617"/>
        <v>0</v>
      </c>
      <c r="F185" s="253">
        <f t="shared" si="470"/>
        <v>0</v>
      </c>
      <c r="G185" s="252">
        <f t="shared" si="471"/>
        <v>0</v>
      </c>
      <c r="H185" s="411">
        <f t="shared" ref="H185" si="618">H184</f>
        <v>0</v>
      </c>
      <c r="I185" s="115">
        <f t="shared" ref="I185:AP185" si="619">I184</f>
        <v>0</v>
      </c>
      <c r="J185" s="82">
        <f t="shared" si="619"/>
        <v>0</v>
      </c>
      <c r="K185" s="252">
        <f t="shared" ref="K185:K213" si="620">IF(I185&lt;&gt;0,J185/I185*100,0)</f>
        <v>0</v>
      </c>
      <c r="L185" s="82">
        <f t="shared" si="619"/>
        <v>0</v>
      </c>
      <c r="M185" s="112">
        <f t="shared" si="619"/>
        <v>0</v>
      </c>
      <c r="N185" s="417">
        <f t="shared" ref="N185" si="621">N184</f>
        <v>0</v>
      </c>
      <c r="O185" s="82">
        <f t="shared" si="619"/>
        <v>0</v>
      </c>
      <c r="P185" s="82">
        <f t="shared" si="619"/>
        <v>0</v>
      </c>
      <c r="Q185" s="252">
        <f t="shared" si="545"/>
        <v>0</v>
      </c>
      <c r="R185" s="82">
        <f t="shared" ref="R185" si="622">R184</f>
        <v>0</v>
      </c>
      <c r="S185" s="82">
        <f t="shared" si="619"/>
        <v>0</v>
      </c>
      <c r="T185" s="82">
        <f t="shared" si="619"/>
        <v>0</v>
      </c>
      <c r="U185" s="252">
        <f t="shared" si="546"/>
        <v>0</v>
      </c>
      <c r="V185" s="82">
        <f t="shared" si="619"/>
        <v>0</v>
      </c>
      <c r="W185" s="82">
        <f t="shared" si="619"/>
        <v>0</v>
      </c>
      <c r="X185" s="82"/>
      <c r="Y185" s="82">
        <f>'izvršenje PO IZVORIMA-detaljno'!AI185+'izvršenje PO IZVORIMA-detaljno'!AL185+'izvršenje PO IZVORIMA-detaljno'!AB185</f>
        <v>0</v>
      </c>
      <c r="Z185" s="112">
        <f t="shared" si="619"/>
        <v>0</v>
      </c>
      <c r="AA185" s="252">
        <f t="shared" si="547"/>
        <v>0</v>
      </c>
      <c r="AB185" s="417">
        <f>'izvršenje PO IZVORIMA-detaljno'!F185+'izvršenje PO IZVORIMA-detaljno'!L185</f>
        <v>0</v>
      </c>
      <c r="AC185" s="417">
        <f>'izvršenje PO IZVORIMA-detaljno'!G185+'izvršenje PO IZVORIMA-detaljno'!M185</f>
        <v>0</v>
      </c>
      <c r="AD185" s="82">
        <f t="shared" si="619"/>
        <v>0</v>
      </c>
      <c r="AE185" s="252">
        <f t="shared" si="548"/>
        <v>0</v>
      </c>
      <c r="AF185" s="108"/>
      <c r="AG185" s="108">
        <f>'izvršenje PO IZVORIMA-detaljno'!J185+'izvršenje PO IZVORIMA-detaljno'!P185</f>
        <v>0</v>
      </c>
      <c r="AH185" s="82">
        <f t="shared" si="619"/>
        <v>0</v>
      </c>
      <c r="AI185" s="252">
        <f t="shared" si="549"/>
        <v>0</v>
      </c>
      <c r="AJ185" s="82">
        <f t="shared" ref="AJ185" si="623">AJ184</f>
        <v>0</v>
      </c>
      <c r="AK185" s="82">
        <f t="shared" si="619"/>
        <v>0</v>
      </c>
      <c r="AL185" s="82">
        <f t="shared" si="619"/>
        <v>0</v>
      </c>
      <c r="AM185" s="252">
        <f t="shared" si="550"/>
        <v>0</v>
      </c>
      <c r="AN185" s="82">
        <f>SUM(AN184)</f>
        <v>132.59008560621143</v>
      </c>
      <c r="AO185" s="82">
        <f>'izvršenje PO IZVORIMA-detaljno'!AO185</f>
        <v>0</v>
      </c>
      <c r="AP185" s="82">
        <f t="shared" si="619"/>
        <v>0</v>
      </c>
      <c r="AQ185" s="252">
        <f t="shared" si="551"/>
        <v>0</v>
      </c>
      <c r="AR185" s="82">
        <f>'izvršenje PO IZVORIMA-detaljno'!AQ185</f>
        <v>0</v>
      </c>
      <c r="AS185" s="82">
        <f>'izvršenje PO IZVORIMA-detaljno'!AR185</f>
        <v>0</v>
      </c>
      <c r="AT185" s="82">
        <f t="shared" ref="AT185" si="624">AT184</f>
        <v>0</v>
      </c>
      <c r="AU185" s="252">
        <f t="shared" si="552"/>
        <v>0</v>
      </c>
      <c r="AV185" s="82">
        <f t="shared" ref="AV185:AX185" si="625">AV184</f>
        <v>0</v>
      </c>
      <c r="AW185" s="83">
        <f t="shared" si="625"/>
        <v>0</v>
      </c>
      <c r="AX185" s="407">
        <f t="shared" si="625"/>
        <v>0</v>
      </c>
      <c r="AY185" s="83">
        <f t="shared" ref="AY185:AZ185" si="626">AY184</f>
        <v>0</v>
      </c>
      <c r="AZ185" s="112">
        <f t="shared" si="626"/>
        <v>0</v>
      </c>
      <c r="BA185" s="407">
        <f t="shared" ref="BA185:BB185" si="627">BA184</f>
        <v>0</v>
      </c>
      <c r="BB185" s="83">
        <f t="shared" si="627"/>
        <v>0</v>
      </c>
      <c r="BC185" s="411">
        <f>AV185+AS185+AO185+AK185+AG185+AC185+Y185+V185+S185+O185+L185+I185</f>
        <v>0</v>
      </c>
      <c r="BD185" s="83">
        <f t="shared" ref="BD185" si="628">BD184</f>
        <v>0</v>
      </c>
      <c r="BE185" s="76">
        <v>4222</v>
      </c>
      <c r="BF185" s="522"/>
      <c r="BG185" s="484"/>
      <c r="BH185" s="484"/>
      <c r="BI185" s="527"/>
      <c r="BJ185" s="484"/>
      <c r="BK185" s="484"/>
      <c r="BL185" s="484"/>
      <c r="BM185" s="484"/>
    </row>
    <row r="186" spans="1:65" x14ac:dyDescent="0.25">
      <c r="A186" s="62">
        <v>422311</v>
      </c>
      <c r="B186" s="512" t="s">
        <v>170</v>
      </c>
      <c r="C186" s="75">
        <f t="shared" si="604"/>
        <v>0</v>
      </c>
      <c r="D186" s="63"/>
      <c r="E186" s="122">
        <f t="shared" si="605"/>
        <v>457.53</v>
      </c>
      <c r="F186" s="240">
        <f t="shared" si="470"/>
        <v>0</v>
      </c>
      <c r="G186" s="241">
        <f t="shared" si="471"/>
        <v>0</v>
      </c>
      <c r="H186" s="124"/>
      <c r="I186" s="124"/>
      <c r="J186" s="51"/>
      <c r="K186" s="1286">
        <f t="shared" si="620"/>
        <v>0</v>
      </c>
      <c r="L186" s="52"/>
      <c r="M186" s="51"/>
      <c r="N186" s="1419">
        <f>'izvršenje PO IZVORIMA-detaljno'!V186</f>
        <v>0</v>
      </c>
      <c r="O186" s="1314"/>
      <c r="P186" s="1326">
        <f>'izvršenje PO IZVORIMA-detaljno'!X186</f>
        <v>457.53</v>
      </c>
      <c r="Q186" s="1309">
        <f t="shared" si="545"/>
        <v>0</v>
      </c>
      <c r="R186" s="1314"/>
      <c r="S186" s="1314"/>
      <c r="T186" s="1326">
        <f>'izvršenje PO IZVORIMA-detaljno'!AA186</f>
        <v>0</v>
      </c>
      <c r="U186" s="1309">
        <f t="shared" si="546"/>
        <v>0</v>
      </c>
      <c r="V186" s="1314"/>
      <c r="W186" s="1315"/>
      <c r="X186" s="1307"/>
      <c r="Y186" s="1307"/>
      <c r="Z186" s="1315"/>
      <c r="AA186" s="1309">
        <f t="shared" si="547"/>
        <v>0</v>
      </c>
      <c r="AB186" s="1357"/>
      <c r="AC186" s="1357"/>
      <c r="AD186" s="1372">
        <f>'izvršenje PO IZVORIMA-detaljno'!H186+'izvršenje PO IZVORIMA-detaljno'!N186</f>
        <v>0</v>
      </c>
      <c r="AE186" s="1350">
        <f t="shared" si="548"/>
        <v>0</v>
      </c>
      <c r="AF186" s="1357"/>
      <c r="AG186" s="1357"/>
      <c r="AH186" s="1374">
        <f>'izvršenje PO IZVORIMA-detaljno'!K186+'izvršenje PO IZVORIMA-detaljno'!Q186</f>
        <v>0</v>
      </c>
      <c r="AI186" s="1350">
        <f t="shared" si="549"/>
        <v>0</v>
      </c>
      <c r="AJ186" s="1357"/>
      <c r="AK186" s="1357"/>
      <c r="AL186" s="1370"/>
      <c r="AM186" s="1350">
        <f t="shared" si="550"/>
        <v>0</v>
      </c>
      <c r="AN186" s="1357"/>
      <c r="AO186" s="1357"/>
      <c r="AP186" s="1372">
        <f>'izvršenje PO IZVORIMA-detaljno'!AP186</f>
        <v>0</v>
      </c>
      <c r="AQ186" s="1350">
        <f t="shared" si="551"/>
        <v>0</v>
      </c>
      <c r="AR186" s="1357"/>
      <c r="AS186" s="1357"/>
      <c r="AT186" s="1370"/>
      <c r="AU186" s="1350">
        <f t="shared" si="552"/>
        <v>0</v>
      </c>
      <c r="AV186" s="1357"/>
      <c r="AW186" s="1358"/>
      <c r="AX186" s="1435"/>
      <c r="AY186" s="1401"/>
      <c r="AZ186" s="1444"/>
      <c r="BA186" s="180"/>
      <c r="BB186" s="178"/>
      <c r="BC186" s="57"/>
      <c r="BD186" s="126">
        <f>J186+M186+P186+T186+W186+Z186+AD186+AH186+AL186+AP186+AT186+AW186</f>
        <v>457.53</v>
      </c>
      <c r="BE186" s="62">
        <v>422311</v>
      </c>
      <c r="BG186" s="484"/>
      <c r="BH186" s="484"/>
      <c r="BI186" s="527"/>
    </row>
    <row r="187" spans="1:65" s="2" customFormat="1" ht="15.75" thickBot="1" x14ac:dyDescent="0.3">
      <c r="A187" s="47">
        <v>422391</v>
      </c>
      <c r="B187" s="513" t="s">
        <v>152</v>
      </c>
      <c r="C187" s="75">
        <f t="shared" si="604"/>
        <v>0</v>
      </c>
      <c r="D187" s="95"/>
      <c r="E187" s="122">
        <f t="shared" si="605"/>
        <v>4806.01</v>
      </c>
      <c r="F187" s="242">
        <f t="shared" si="470"/>
        <v>0</v>
      </c>
      <c r="G187" s="243">
        <f t="shared" si="471"/>
        <v>0</v>
      </c>
      <c r="H187" s="125"/>
      <c r="I187" s="125"/>
      <c r="J187" s="60"/>
      <c r="K187" s="1288">
        <f t="shared" si="620"/>
        <v>0</v>
      </c>
      <c r="L187" s="59"/>
      <c r="M187" s="60"/>
      <c r="N187" s="1419">
        <f>'izvršenje PO IZVORIMA-detaljno'!V187</f>
        <v>0</v>
      </c>
      <c r="O187" s="1328"/>
      <c r="P187" s="1326">
        <f>'izvršenje PO IZVORIMA-detaljno'!X187</f>
        <v>96.01</v>
      </c>
      <c r="Q187" s="1316">
        <f t="shared" si="545"/>
        <v>0</v>
      </c>
      <c r="R187" s="1328"/>
      <c r="S187" s="1328"/>
      <c r="T187" s="1326">
        <f>'izvršenje PO IZVORIMA-detaljno'!AA187</f>
        <v>0</v>
      </c>
      <c r="U187" s="1316">
        <f t="shared" si="546"/>
        <v>0</v>
      </c>
      <c r="V187" s="1328"/>
      <c r="W187" s="1329"/>
      <c r="X187" s="1307"/>
      <c r="Y187" s="1307"/>
      <c r="Z187" s="1329"/>
      <c r="AA187" s="1316">
        <f t="shared" si="547"/>
        <v>0</v>
      </c>
      <c r="AB187" s="1380"/>
      <c r="AC187" s="1380"/>
      <c r="AD187" s="1372">
        <f>'izvršenje PO IZVORIMA-detaljno'!H187+'izvršenje PO IZVORIMA-detaljno'!N187</f>
        <v>0</v>
      </c>
      <c r="AE187" s="1359">
        <f t="shared" si="548"/>
        <v>0</v>
      </c>
      <c r="AF187" s="1380"/>
      <c r="AG187" s="1380"/>
      <c r="AH187" s="1374">
        <f>'izvršenje PO IZVORIMA-detaljno'!K187+'izvršenje PO IZVORIMA-detaljno'!Q187</f>
        <v>4710</v>
      </c>
      <c r="AI187" s="1359">
        <f t="shared" si="549"/>
        <v>0</v>
      </c>
      <c r="AJ187" s="1380"/>
      <c r="AK187" s="1380"/>
      <c r="AL187" s="1381"/>
      <c r="AM187" s="1359">
        <f t="shared" si="550"/>
        <v>0</v>
      </c>
      <c r="AN187" s="1380"/>
      <c r="AO187" s="1380"/>
      <c r="AP187" s="1372">
        <f>'izvršenje PO IZVORIMA-detaljno'!AP187</f>
        <v>0</v>
      </c>
      <c r="AQ187" s="1359">
        <f t="shared" si="551"/>
        <v>0</v>
      </c>
      <c r="AR187" s="1380"/>
      <c r="AS187" s="1380"/>
      <c r="AT187" s="1381"/>
      <c r="AU187" s="1359">
        <f t="shared" si="552"/>
        <v>0</v>
      </c>
      <c r="AV187" s="1380"/>
      <c r="AW187" s="1382"/>
      <c r="AX187" s="1437"/>
      <c r="AY187" s="1403"/>
      <c r="AZ187" s="1450"/>
      <c r="BA187" s="208"/>
      <c r="BB187" s="210"/>
      <c r="BC187" s="61"/>
      <c r="BD187" s="126">
        <f>J187+M187+P187+T187+W187+Z187+AD187+AH187+AL187+AP187+AT187+AW187</f>
        <v>4806.01</v>
      </c>
      <c r="BE187" s="47">
        <v>422391</v>
      </c>
      <c r="BF187" s="254"/>
      <c r="BG187" s="489"/>
      <c r="BH187" s="489"/>
      <c r="BI187" s="529"/>
      <c r="BJ187" s="486"/>
      <c r="BK187" s="486"/>
      <c r="BL187" s="486"/>
      <c r="BM187" s="486"/>
    </row>
    <row r="188" spans="1:65" s="1539" customFormat="1" ht="15.75" thickBot="1" x14ac:dyDescent="0.3">
      <c r="A188" s="76">
        <v>4223</v>
      </c>
      <c r="B188" s="508" t="s">
        <v>130</v>
      </c>
      <c r="C188" s="275">
        <v>0</v>
      </c>
      <c r="D188" s="275">
        <f t="shared" ref="D188:E188" si="629">SUM(D186:D187)</f>
        <v>0</v>
      </c>
      <c r="E188" s="412">
        <f t="shared" si="629"/>
        <v>5263.54</v>
      </c>
      <c r="F188" s="253">
        <f t="shared" si="470"/>
        <v>0</v>
      </c>
      <c r="G188" s="252">
        <f t="shared" si="471"/>
        <v>0</v>
      </c>
      <c r="H188" s="1432">
        <f t="shared" ref="H188" si="630">SUM(H186:H187)</f>
        <v>0</v>
      </c>
      <c r="I188" s="1615">
        <f t="shared" ref="I188:AP188" si="631">SUM(I186:I187)</f>
        <v>0</v>
      </c>
      <c r="J188" s="275">
        <f t="shared" si="631"/>
        <v>0</v>
      </c>
      <c r="K188" s="252">
        <f t="shared" si="620"/>
        <v>0</v>
      </c>
      <c r="L188" s="275">
        <f t="shared" si="631"/>
        <v>0</v>
      </c>
      <c r="M188" s="1616">
        <f t="shared" si="631"/>
        <v>0</v>
      </c>
      <c r="N188" s="1617">
        <f t="shared" ref="N188" si="632">SUM(N186:N187)</f>
        <v>0</v>
      </c>
      <c r="O188" s="275">
        <f t="shared" si="631"/>
        <v>0</v>
      </c>
      <c r="P188" s="275">
        <f t="shared" si="631"/>
        <v>553.54</v>
      </c>
      <c r="Q188" s="252">
        <f t="shared" si="545"/>
        <v>0</v>
      </c>
      <c r="R188" s="275">
        <f t="shared" ref="R188" si="633">SUM(R186:R187)</f>
        <v>0</v>
      </c>
      <c r="S188" s="275">
        <f t="shared" si="631"/>
        <v>0</v>
      </c>
      <c r="T188" s="275">
        <f t="shared" si="631"/>
        <v>0</v>
      </c>
      <c r="U188" s="252">
        <f t="shared" si="546"/>
        <v>0</v>
      </c>
      <c r="V188" s="275">
        <f t="shared" si="631"/>
        <v>0</v>
      </c>
      <c r="W188" s="275">
        <f t="shared" si="631"/>
        <v>0</v>
      </c>
      <c r="X188" s="82"/>
      <c r="Y188" s="82">
        <f>'izvršenje PO IZVORIMA-detaljno'!AI188+'izvršenje PO IZVORIMA-detaljno'!AL188+'izvršenje PO IZVORIMA-detaljno'!AB188</f>
        <v>0</v>
      </c>
      <c r="Z188" s="1616">
        <f t="shared" si="631"/>
        <v>0</v>
      </c>
      <c r="AA188" s="252">
        <f t="shared" si="547"/>
        <v>0</v>
      </c>
      <c r="AB188" s="417">
        <f>'izvršenje PO IZVORIMA-detaljno'!F188+'izvršenje PO IZVORIMA-detaljno'!L188</f>
        <v>0</v>
      </c>
      <c r="AC188" s="417">
        <f>'izvršenje PO IZVORIMA-detaljno'!G188+'izvršenje PO IZVORIMA-detaljno'!M188</f>
        <v>0</v>
      </c>
      <c r="AD188" s="275">
        <f t="shared" si="631"/>
        <v>0</v>
      </c>
      <c r="AE188" s="252">
        <f t="shared" si="548"/>
        <v>0</v>
      </c>
      <c r="AF188" s="108"/>
      <c r="AG188" s="108">
        <f>'izvršenje PO IZVORIMA-detaljno'!J188+'izvršenje PO IZVORIMA-detaljno'!P188</f>
        <v>0</v>
      </c>
      <c r="AH188" s="275">
        <f t="shared" si="631"/>
        <v>4710</v>
      </c>
      <c r="AI188" s="252">
        <f t="shared" si="549"/>
        <v>0</v>
      </c>
      <c r="AJ188" s="275">
        <f t="shared" ref="AJ188" si="634">SUM(AJ186:AJ187)</f>
        <v>0</v>
      </c>
      <c r="AK188" s="275">
        <f t="shared" si="631"/>
        <v>0</v>
      </c>
      <c r="AL188" s="275">
        <f t="shared" si="631"/>
        <v>0</v>
      </c>
      <c r="AM188" s="252">
        <f t="shared" si="550"/>
        <v>0</v>
      </c>
      <c r="AN188" s="82"/>
      <c r="AO188" s="82">
        <f>'izvršenje PO IZVORIMA-detaljno'!AO188</f>
        <v>0</v>
      </c>
      <c r="AP188" s="275">
        <f t="shared" si="631"/>
        <v>0</v>
      </c>
      <c r="AQ188" s="252">
        <f t="shared" si="551"/>
        <v>0</v>
      </c>
      <c r="AR188" s="82">
        <f>'izvršenje PO IZVORIMA-detaljno'!AQ188</f>
        <v>0</v>
      </c>
      <c r="AS188" s="82">
        <f>'izvršenje PO IZVORIMA-detaljno'!AR188</f>
        <v>0</v>
      </c>
      <c r="AT188" s="275">
        <f t="shared" ref="AT188" si="635">SUM(AT186:AT187)</f>
        <v>0</v>
      </c>
      <c r="AU188" s="252">
        <f t="shared" si="552"/>
        <v>0</v>
      </c>
      <c r="AV188" s="275">
        <f t="shared" ref="AV188:AX188" si="636">SUM(AV186:AV187)</f>
        <v>0</v>
      </c>
      <c r="AW188" s="412">
        <f t="shared" si="636"/>
        <v>0</v>
      </c>
      <c r="AX188" s="1460">
        <f t="shared" si="636"/>
        <v>0</v>
      </c>
      <c r="AY188" s="412">
        <f t="shared" ref="AY188:AZ188" si="637">SUM(AY186:AY187)</f>
        <v>0</v>
      </c>
      <c r="AZ188" s="1616">
        <f t="shared" si="637"/>
        <v>0</v>
      </c>
      <c r="BA188" s="1460">
        <f t="shared" ref="BA188:BB188" si="638">SUM(BA186:BA187)</f>
        <v>0</v>
      </c>
      <c r="BB188" s="412">
        <f t="shared" si="638"/>
        <v>0</v>
      </c>
      <c r="BC188" s="411">
        <f>AV188+AS188+AO188+AK188+AG188+AC188+Y188+V188+S188+O188+L188+I188</f>
        <v>0</v>
      </c>
      <c r="BD188" s="412">
        <f t="shared" ref="BD188" si="639">SUM(BD186:BD187)</f>
        <v>5263.54</v>
      </c>
      <c r="BE188" s="76">
        <v>4223</v>
      </c>
      <c r="BF188" s="526"/>
      <c r="BG188" s="493"/>
      <c r="BH188" s="493"/>
      <c r="BI188" s="530"/>
      <c r="BJ188" s="493"/>
      <c r="BK188" s="493"/>
      <c r="BL188" s="493"/>
      <c r="BM188" s="493"/>
    </row>
    <row r="189" spans="1:65" s="6" customFormat="1" x14ac:dyDescent="0.25">
      <c r="A189" s="62">
        <v>422411</v>
      </c>
      <c r="B189" s="512" t="s">
        <v>158</v>
      </c>
      <c r="C189" s="75">
        <f t="shared" si="604"/>
        <v>0</v>
      </c>
      <c r="D189" s="97"/>
      <c r="E189" s="122">
        <f t="shared" si="605"/>
        <v>1633477.31</v>
      </c>
      <c r="F189" s="240">
        <f t="shared" si="470"/>
        <v>0</v>
      </c>
      <c r="G189" s="241">
        <f t="shared" si="471"/>
        <v>0</v>
      </c>
      <c r="H189" s="124"/>
      <c r="I189" s="124"/>
      <c r="J189" s="51"/>
      <c r="K189" s="1286">
        <f t="shared" si="620"/>
        <v>0</v>
      </c>
      <c r="L189" s="52"/>
      <c r="M189" s="51"/>
      <c r="N189" s="1419">
        <f>'izvršenje PO IZVORIMA-detaljno'!V189</f>
        <v>0</v>
      </c>
      <c r="O189" s="1314"/>
      <c r="P189" s="1326">
        <f>'izvršenje PO IZVORIMA-detaljno'!X189</f>
        <v>0</v>
      </c>
      <c r="Q189" s="1309">
        <f t="shared" si="545"/>
        <v>0</v>
      </c>
      <c r="R189" s="1314"/>
      <c r="S189" s="1314"/>
      <c r="T189" s="1326">
        <f>'izvršenje PO IZVORIMA-detaljno'!AA189</f>
        <v>124614.90000000001</v>
      </c>
      <c r="U189" s="1309">
        <f t="shared" si="546"/>
        <v>0</v>
      </c>
      <c r="V189" s="1314"/>
      <c r="W189" s="1315"/>
      <c r="X189" s="1307"/>
      <c r="Y189" s="1307"/>
      <c r="Z189" s="1315"/>
      <c r="AA189" s="1309">
        <f t="shared" si="547"/>
        <v>0</v>
      </c>
      <c r="AB189" s="1427">
        <f>'izvršenje PO IZVORIMA-detaljno'!F189+'izvršenje PO IZVORIMA-detaljno'!L189</f>
        <v>0</v>
      </c>
      <c r="AC189" s="1357"/>
      <c r="AD189" s="1372">
        <f>'izvršenje PO IZVORIMA-detaljno'!H189+'izvršenje PO IZVORIMA-detaljno'!N189</f>
        <v>1218311.6600000001</v>
      </c>
      <c r="AE189" s="1350">
        <f t="shared" si="548"/>
        <v>0</v>
      </c>
      <c r="AF189" s="1357"/>
      <c r="AG189" s="1357"/>
      <c r="AH189" s="1374">
        <f>'izvršenje PO IZVORIMA-detaljno'!K189+'izvršenje PO IZVORIMA-detaljno'!Q189</f>
        <v>290550.75</v>
      </c>
      <c r="AI189" s="1350">
        <f t="shared" si="549"/>
        <v>0</v>
      </c>
      <c r="AJ189" s="1357"/>
      <c r="AK189" s="1357"/>
      <c r="AL189" s="1370"/>
      <c r="AM189" s="1350">
        <f t="shared" si="550"/>
        <v>0</v>
      </c>
      <c r="AN189" s="1357"/>
      <c r="AO189" s="1357"/>
      <c r="AP189" s="1372">
        <f>'izvršenje PO IZVORIMA-detaljno'!AP189</f>
        <v>0</v>
      </c>
      <c r="AQ189" s="1350">
        <f t="shared" si="551"/>
        <v>0</v>
      </c>
      <c r="AR189" s="1357"/>
      <c r="AS189" s="1357"/>
      <c r="AT189" s="1370"/>
      <c r="AU189" s="1350">
        <f t="shared" si="552"/>
        <v>0</v>
      </c>
      <c r="AV189" s="1357"/>
      <c r="AW189" s="1358"/>
      <c r="AX189" s="1435"/>
      <c r="AY189" s="1401"/>
      <c r="AZ189" s="1444"/>
      <c r="BA189" s="180"/>
      <c r="BB189" s="178"/>
      <c r="BC189" s="57"/>
      <c r="BD189" s="126">
        <f>J189+M189+P189+T189+W189+Z189+AD189+AH189+AL189+AP189+AT189+AW189</f>
        <v>1633477.31</v>
      </c>
      <c r="BE189" s="62">
        <v>422411</v>
      </c>
      <c r="BF189" s="518"/>
      <c r="BG189" s="493"/>
      <c r="BH189" s="493"/>
      <c r="BI189" s="530"/>
      <c r="BJ189" s="487"/>
      <c r="BK189" s="487"/>
      <c r="BL189" s="487"/>
      <c r="BM189" s="487"/>
    </row>
    <row r="190" spans="1:65" s="2" customFormat="1" ht="15.75" thickBot="1" x14ac:dyDescent="0.3">
      <c r="A190" s="46">
        <v>422591</v>
      </c>
      <c r="B190" s="514" t="s">
        <v>276</v>
      </c>
      <c r="C190" s="75">
        <f t="shared" si="604"/>
        <v>0</v>
      </c>
      <c r="D190" s="98"/>
      <c r="E190" s="122">
        <f t="shared" si="605"/>
        <v>21229.23</v>
      </c>
      <c r="F190" s="235">
        <f t="shared" si="470"/>
        <v>0</v>
      </c>
      <c r="G190" s="237">
        <f t="shared" si="471"/>
        <v>0</v>
      </c>
      <c r="H190" s="125"/>
      <c r="I190" s="125"/>
      <c r="J190" s="60"/>
      <c r="K190" s="1287">
        <f t="shared" si="620"/>
        <v>0</v>
      </c>
      <c r="L190" s="59"/>
      <c r="M190" s="60"/>
      <c r="N190" s="1419">
        <f>'izvršenje PO IZVORIMA-detaljno'!V190</f>
        <v>0</v>
      </c>
      <c r="O190" s="1328"/>
      <c r="P190" s="1326">
        <f>'izvršenje PO IZVORIMA-detaljno'!X190</f>
        <v>0</v>
      </c>
      <c r="Q190" s="1313">
        <f t="shared" si="545"/>
        <v>0</v>
      </c>
      <c r="R190" s="1328"/>
      <c r="S190" s="1328"/>
      <c r="T190" s="1326">
        <f>'izvršenje PO IZVORIMA-detaljno'!AA190</f>
        <v>1103.25</v>
      </c>
      <c r="U190" s="1313">
        <f t="shared" si="546"/>
        <v>0</v>
      </c>
      <c r="V190" s="1328"/>
      <c r="W190" s="1329"/>
      <c r="X190" s="1307"/>
      <c r="Y190" s="1307"/>
      <c r="Z190" s="1329"/>
      <c r="AA190" s="1313">
        <f t="shared" si="547"/>
        <v>0</v>
      </c>
      <c r="AB190" s="1427">
        <f>'izvršenje PO IZVORIMA-detaljno'!F190+'izvršenje PO IZVORIMA-detaljno'!L190</f>
        <v>0</v>
      </c>
      <c r="AC190" s="1380"/>
      <c r="AD190" s="1372">
        <f>'izvršenje PO IZVORIMA-detaljno'!H190+'izvršenje PO IZVORIMA-detaljno'!N190</f>
        <v>20125.98</v>
      </c>
      <c r="AE190" s="1355">
        <f t="shared" si="548"/>
        <v>0</v>
      </c>
      <c r="AF190" s="1380"/>
      <c r="AG190" s="1380"/>
      <c r="AH190" s="1374">
        <f>'izvršenje PO IZVORIMA-detaljno'!K190+'izvršenje PO IZVORIMA-detaljno'!Q190</f>
        <v>0</v>
      </c>
      <c r="AI190" s="1355">
        <f t="shared" si="549"/>
        <v>0</v>
      </c>
      <c r="AJ190" s="1380"/>
      <c r="AK190" s="1380"/>
      <c r="AL190" s="1381"/>
      <c r="AM190" s="1355">
        <f t="shared" si="550"/>
        <v>0</v>
      </c>
      <c r="AN190" s="1380"/>
      <c r="AO190" s="1380"/>
      <c r="AP190" s="1372">
        <f>'izvršenje PO IZVORIMA-detaljno'!AP190</f>
        <v>0</v>
      </c>
      <c r="AQ190" s="1355">
        <f t="shared" si="551"/>
        <v>0</v>
      </c>
      <c r="AR190" s="1380"/>
      <c r="AS190" s="1380"/>
      <c r="AT190" s="1381"/>
      <c r="AU190" s="1355">
        <f t="shared" si="552"/>
        <v>0</v>
      </c>
      <c r="AV190" s="1380"/>
      <c r="AW190" s="1382"/>
      <c r="AX190" s="1437"/>
      <c r="AY190" s="1403"/>
      <c r="AZ190" s="1450"/>
      <c r="BA190" s="208"/>
      <c r="BB190" s="210"/>
      <c r="BC190" s="61"/>
      <c r="BD190" s="126">
        <f>J190+M190+P190+T190+W190+Z190+AD190+AH190+AL190+AP190+AT190+AW190</f>
        <v>21229.23</v>
      </c>
      <c r="BE190" s="47">
        <v>422421</v>
      </c>
      <c r="BF190" s="254"/>
      <c r="BG190" s="489"/>
      <c r="BH190" s="489"/>
      <c r="BI190" s="529"/>
      <c r="BJ190" s="486"/>
      <c r="BK190" s="486"/>
      <c r="BL190" s="486"/>
      <c r="BM190" s="486"/>
    </row>
    <row r="191" spans="1:65" s="22" customFormat="1" ht="15.75" thickBot="1" x14ac:dyDescent="0.3">
      <c r="A191" s="76">
        <v>4224</v>
      </c>
      <c r="B191" s="508" t="s">
        <v>159</v>
      </c>
      <c r="C191" s="88">
        <v>0</v>
      </c>
      <c r="D191" s="88">
        <f t="shared" ref="D191:E191" si="640">D189+D190</f>
        <v>0</v>
      </c>
      <c r="E191" s="89">
        <f t="shared" si="640"/>
        <v>1654706.54</v>
      </c>
      <c r="F191" s="1618">
        <f t="shared" si="470"/>
        <v>0</v>
      </c>
      <c r="G191" s="237">
        <f t="shared" si="471"/>
        <v>0</v>
      </c>
      <c r="H191" s="1431">
        <f t="shared" ref="H191" si="641">H189+H190</f>
        <v>0</v>
      </c>
      <c r="I191" s="116">
        <f t="shared" ref="I191:AP191" si="642">I189+I190</f>
        <v>0</v>
      </c>
      <c r="J191" s="88">
        <f t="shared" si="642"/>
        <v>0</v>
      </c>
      <c r="K191" s="237">
        <f t="shared" si="620"/>
        <v>0</v>
      </c>
      <c r="L191" s="88">
        <f t="shared" si="642"/>
        <v>0</v>
      </c>
      <c r="M191" s="113">
        <f t="shared" si="642"/>
        <v>0</v>
      </c>
      <c r="N191" s="1610">
        <f t="shared" ref="N191" si="643">N189+N190</f>
        <v>0</v>
      </c>
      <c r="O191" s="88">
        <f t="shared" si="642"/>
        <v>0</v>
      </c>
      <c r="P191" s="88">
        <f t="shared" si="642"/>
        <v>0</v>
      </c>
      <c r="Q191" s="237">
        <f t="shared" si="545"/>
        <v>0</v>
      </c>
      <c r="R191" s="88">
        <f t="shared" ref="R191" si="644">R189+R190</f>
        <v>0</v>
      </c>
      <c r="S191" s="88">
        <f t="shared" si="642"/>
        <v>0</v>
      </c>
      <c r="T191" s="88">
        <f t="shared" si="642"/>
        <v>125718.15000000001</v>
      </c>
      <c r="U191" s="237">
        <f t="shared" si="546"/>
        <v>0</v>
      </c>
      <c r="V191" s="88">
        <f t="shared" si="642"/>
        <v>0</v>
      </c>
      <c r="W191" s="88">
        <f t="shared" si="642"/>
        <v>0</v>
      </c>
      <c r="X191" s="82"/>
      <c r="Y191" s="82">
        <f>'izvršenje PO IZVORIMA-detaljno'!AI191+'izvršenje PO IZVORIMA-detaljno'!AL191+'izvršenje PO IZVORIMA-detaljno'!AB191</f>
        <v>0</v>
      </c>
      <c r="Z191" s="113">
        <f t="shared" si="642"/>
        <v>0</v>
      </c>
      <c r="AA191" s="237">
        <f t="shared" si="547"/>
        <v>0</v>
      </c>
      <c r="AB191" s="417">
        <f>'izvršenje PO IZVORIMA-detaljno'!F191+'izvršenje PO IZVORIMA-detaljno'!L191</f>
        <v>0</v>
      </c>
      <c r="AC191" s="417">
        <f>'izvršenje PO IZVORIMA-detaljno'!G191+'izvršenje PO IZVORIMA-detaljno'!M191</f>
        <v>0</v>
      </c>
      <c r="AD191" s="88">
        <f>AD189+AD190</f>
        <v>1238437.6400000001</v>
      </c>
      <c r="AE191" s="237">
        <f t="shared" si="548"/>
        <v>0</v>
      </c>
      <c r="AF191" s="108"/>
      <c r="AG191" s="108">
        <f>'izvršenje PO IZVORIMA-detaljno'!J191+'izvršenje PO IZVORIMA-detaljno'!P191</f>
        <v>0</v>
      </c>
      <c r="AH191" s="88">
        <f t="shared" si="642"/>
        <v>290550.75</v>
      </c>
      <c r="AI191" s="237">
        <f t="shared" si="549"/>
        <v>0</v>
      </c>
      <c r="AJ191" s="88">
        <f t="shared" ref="AJ191" si="645">AJ189+AJ190</f>
        <v>0</v>
      </c>
      <c r="AK191" s="88">
        <f t="shared" si="642"/>
        <v>0</v>
      </c>
      <c r="AL191" s="88">
        <f t="shared" si="642"/>
        <v>0</v>
      </c>
      <c r="AM191" s="237">
        <f t="shared" si="550"/>
        <v>0</v>
      </c>
      <c r="AN191" s="82"/>
      <c r="AO191" s="82">
        <f>'izvršenje PO IZVORIMA-detaljno'!AO191</f>
        <v>0</v>
      </c>
      <c r="AP191" s="88">
        <f t="shared" si="642"/>
        <v>0</v>
      </c>
      <c r="AQ191" s="237">
        <f t="shared" si="551"/>
        <v>0</v>
      </c>
      <c r="AR191" s="82">
        <f>'izvršenje PO IZVORIMA-detaljno'!AQ191</f>
        <v>0</v>
      </c>
      <c r="AS191" s="82">
        <f>'izvršenje PO IZVORIMA-detaljno'!AR191</f>
        <v>0</v>
      </c>
      <c r="AT191" s="88">
        <f t="shared" ref="AT191" si="646">AT189+AT190</f>
        <v>0</v>
      </c>
      <c r="AU191" s="237">
        <f t="shared" si="552"/>
        <v>0</v>
      </c>
      <c r="AV191" s="88">
        <f t="shared" ref="AV191:AX191" si="647">AV189+AV190</f>
        <v>0</v>
      </c>
      <c r="AW191" s="89">
        <f t="shared" si="647"/>
        <v>0</v>
      </c>
      <c r="AX191" s="1459">
        <f t="shared" si="647"/>
        <v>0</v>
      </c>
      <c r="AY191" s="89">
        <f t="shared" ref="AY191:AZ191" si="648">AY189+AY190</f>
        <v>0</v>
      </c>
      <c r="AZ191" s="113">
        <f t="shared" si="648"/>
        <v>0</v>
      </c>
      <c r="BA191" s="1459">
        <f t="shared" ref="BA191:BB191" si="649">BA189+BA190</f>
        <v>0</v>
      </c>
      <c r="BB191" s="89">
        <f t="shared" si="649"/>
        <v>0</v>
      </c>
      <c r="BC191" s="411">
        <f>AV191+AS191+AO191+AK191+AG191+AC191+Y191+V191+S191+O191+L191+I191</f>
        <v>0</v>
      </c>
      <c r="BD191" s="89">
        <f t="shared" ref="BD191" si="650">BD189+BD190</f>
        <v>1654706.54</v>
      </c>
      <c r="BE191" s="76">
        <v>4224</v>
      </c>
      <c r="BF191" s="525"/>
      <c r="BG191" s="484"/>
      <c r="BH191" s="484"/>
      <c r="BI191" s="527"/>
      <c r="BJ191" s="484"/>
      <c r="BK191" s="484"/>
      <c r="BL191" s="484"/>
      <c r="BM191" s="484"/>
    </row>
    <row r="192" spans="1:65" x14ac:dyDescent="0.25">
      <c r="A192" s="62">
        <v>422611</v>
      </c>
      <c r="B192" s="512" t="s">
        <v>153</v>
      </c>
      <c r="C192" s="75">
        <f t="shared" si="604"/>
        <v>0</v>
      </c>
      <c r="D192" s="96"/>
      <c r="E192" s="122">
        <f t="shared" si="605"/>
        <v>0</v>
      </c>
      <c r="F192" s="235">
        <f t="shared" si="470"/>
        <v>0</v>
      </c>
      <c r="G192" s="237">
        <f t="shared" si="471"/>
        <v>0</v>
      </c>
      <c r="H192" s="124"/>
      <c r="I192" s="124"/>
      <c r="J192" s="51"/>
      <c r="K192" s="1287">
        <f t="shared" si="620"/>
        <v>0</v>
      </c>
      <c r="L192" s="52"/>
      <c r="M192" s="51"/>
      <c r="N192" s="1419">
        <f>'izvršenje PO IZVORIMA-detaljno'!V192</f>
        <v>0</v>
      </c>
      <c r="O192" s="1314"/>
      <c r="P192" s="1326">
        <f>'izvršenje PO IZVORIMA-detaljno'!X192</f>
        <v>0</v>
      </c>
      <c r="Q192" s="1313">
        <f t="shared" si="545"/>
        <v>0</v>
      </c>
      <c r="R192" s="1314"/>
      <c r="S192" s="1314"/>
      <c r="T192" s="1326">
        <f>'izvršenje PO IZVORIMA-detaljno'!AA192</f>
        <v>0</v>
      </c>
      <c r="U192" s="1313">
        <f t="shared" si="546"/>
        <v>0</v>
      </c>
      <c r="V192" s="1314"/>
      <c r="W192" s="1315"/>
      <c r="X192" s="1307"/>
      <c r="Y192" s="1307"/>
      <c r="Z192" s="1315"/>
      <c r="AA192" s="1313">
        <f t="shared" si="547"/>
        <v>0</v>
      </c>
      <c r="AB192" s="1357"/>
      <c r="AC192" s="1357"/>
      <c r="AD192" s="1372">
        <f>'izvršenje PO IZVORIMA-detaljno'!H192+'izvršenje PO IZVORIMA-detaljno'!N192</f>
        <v>0</v>
      </c>
      <c r="AE192" s="1355">
        <f t="shared" si="548"/>
        <v>0</v>
      </c>
      <c r="AF192" s="1357"/>
      <c r="AG192" s="1357"/>
      <c r="AH192" s="1374">
        <f>'izvršenje PO IZVORIMA-detaljno'!K192+'izvršenje PO IZVORIMA-detaljno'!Q192</f>
        <v>0</v>
      </c>
      <c r="AI192" s="1355">
        <f t="shared" si="549"/>
        <v>0</v>
      </c>
      <c r="AJ192" s="1357"/>
      <c r="AK192" s="1357"/>
      <c r="AL192" s="1370"/>
      <c r="AM192" s="1355">
        <f t="shared" si="550"/>
        <v>0</v>
      </c>
      <c r="AN192" s="1357"/>
      <c r="AO192" s="1357"/>
      <c r="AP192" s="1370"/>
      <c r="AQ192" s="1355">
        <f t="shared" si="551"/>
        <v>0</v>
      </c>
      <c r="AR192" s="1357"/>
      <c r="AS192" s="1357"/>
      <c r="AT192" s="1370"/>
      <c r="AU192" s="1355">
        <f t="shared" si="552"/>
        <v>0</v>
      </c>
      <c r="AV192" s="1357"/>
      <c r="AW192" s="1358"/>
      <c r="AX192" s="1435"/>
      <c r="AY192" s="1401"/>
      <c r="AZ192" s="1444"/>
      <c r="BA192" s="180"/>
      <c r="BB192" s="178"/>
      <c r="BC192" s="57"/>
      <c r="BD192" s="126">
        <f>J192+M192+P192+T192+W192+Z192+AD192+AH192+AL192+AP192+AT192+AW192</f>
        <v>0</v>
      </c>
      <c r="BE192" s="62">
        <v>422611</v>
      </c>
      <c r="BG192" s="484"/>
      <c r="BH192" s="484"/>
      <c r="BI192" s="527"/>
    </row>
    <row r="193" spans="1:65" s="2" customFormat="1" ht="15.75" thickBot="1" x14ac:dyDescent="0.3">
      <c r="A193" s="47">
        <v>422621</v>
      </c>
      <c r="B193" s="513" t="s">
        <v>154</v>
      </c>
      <c r="C193" s="75">
        <f t="shared" si="604"/>
        <v>0</v>
      </c>
      <c r="D193" s="94"/>
      <c r="E193" s="122">
        <f t="shared" si="605"/>
        <v>0</v>
      </c>
      <c r="F193" s="242">
        <f t="shared" si="470"/>
        <v>0</v>
      </c>
      <c r="G193" s="243">
        <f t="shared" si="471"/>
        <v>0</v>
      </c>
      <c r="H193" s="125"/>
      <c r="I193" s="125"/>
      <c r="J193" s="60"/>
      <c r="K193" s="1288">
        <f t="shared" si="620"/>
        <v>0</v>
      </c>
      <c r="L193" s="59"/>
      <c r="M193" s="60"/>
      <c r="N193" s="1419">
        <f>'izvršenje PO IZVORIMA-detaljno'!V193</f>
        <v>0</v>
      </c>
      <c r="O193" s="1328"/>
      <c r="P193" s="1326">
        <f>'izvršenje PO IZVORIMA-detaljno'!X193</f>
        <v>0</v>
      </c>
      <c r="Q193" s="1316">
        <f t="shared" si="545"/>
        <v>0</v>
      </c>
      <c r="R193" s="1328"/>
      <c r="S193" s="1328"/>
      <c r="T193" s="1326">
        <f>'izvršenje PO IZVORIMA-detaljno'!AA193</f>
        <v>0</v>
      </c>
      <c r="U193" s="1316">
        <f t="shared" si="546"/>
        <v>0</v>
      </c>
      <c r="V193" s="1328"/>
      <c r="W193" s="1329"/>
      <c r="X193" s="1307"/>
      <c r="Y193" s="1307"/>
      <c r="Z193" s="1329"/>
      <c r="AA193" s="1316">
        <f t="shared" si="547"/>
        <v>0</v>
      </c>
      <c r="AB193" s="1380"/>
      <c r="AC193" s="1380"/>
      <c r="AD193" s="1372">
        <f>'izvršenje PO IZVORIMA-detaljno'!H193+'izvršenje PO IZVORIMA-detaljno'!N193</f>
        <v>0</v>
      </c>
      <c r="AE193" s="1359">
        <f t="shared" si="548"/>
        <v>0</v>
      </c>
      <c r="AF193" s="1380"/>
      <c r="AG193" s="1380"/>
      <c r="AH193" s="1374">
        <f>'izvršenje PO IZVORIMA-detaljno'!K193+'izvršenje PO IZVORIMA-detaljno'!Q193</f>
        <v>0</v>
      </c>
      <c r="AI193" s="1359">
        <f t="shared" si="549"/>
        <v>0</v>
      </c>
      <c r="AJ193" s="1380"/>
      <c r="AK193" s="1380"/>
      <c r="AL193" s="1381"/>
      <c r="AM193" s="1359">
        <f t="shared" si="550"/>
        <v>0</v>
      </c>
      <c r="AN193" s="1380"/>
      <c r="AO193" s="1380"/>
      <c r="AP193" s="1381"/>
      <c r="AQ193" s="1359">
        <f t="shared" si="551"/>
        <v>0</v>
      </c>
      <c r="AR193" s="1380"/>
      <c r="AS193" s="1380"/>
      <c r="AT193" s="1381"/>
      <c r="AU193" s="1359">
        <f t="shared" si="552"/>
        <v>0</v>
      </c>
      <c r="AV193" s="1380"/>
      <c r="AW193" s="1382"/>
      <c r="AX193" s="1437"/>
      <c r="AY193" s="1403"/>
      <c r="AZ193" s="1450"/>
      <c r="BA193" s="208"/>
      <c r="BB193" s="210"/>
      <c r="BC193" s="61"/>
      <c r="BD193" s="126">
        <f>J193+M193+P193+T193+W193+Z193+AD193+AH193+AL193+AP193+AT193+AW193</f>
        <v>0</v>
      </c>
      <c r="BE193" s="47">
        <v>422621</v>
      </c>
      <c r="BF193" s="254"/>
      <c r="BG193" s="489"/>
      <c r="BH193" s="489"/>
      <c r="BI193" s="529"/>
      <c r="BJ193" s="486"/>
      <c r="BK193" s="486"/>
      <c r="BL193" s="486"/>
      <c r="BM193" s="486"/>
    </row>
    <row r="194" spans="1:65" s="22" customFormat="1" ht="15.75" thickBot="1" x14ac:dyDescent="0.3">
      <c r="A194" s="76">
        <v>4226</v>
      </c>
      <c r="B194" s="505" t="s">
        <v>131</v>
      </c>
      <c r="C194" s="82">
        <v>0</v>
      </c>
      <c r="D194" s="82">
        <f t="shared" ref="D194:E194" si="651">D192+D193</f>
        <v>0</v>
      </c>
      <c r="E194" s="83">
        <f t="shared" si="651"/>
        <v>0</v>
      </c>
      <c r="F194" s="253">
        <f t="shared" si="470"/>
        <v>0</v>
      </c>
      <c r="G194" s="252">
        <f t="shared" si="471"/>
        <v>0</v>
      </c>
      <c r="H194" s="411">
        <f t="shared" ref="H194" si="652">H192+H193</f>
        <v>0</v>
      </c>
      <c r="I194" s="115">
        <f t="shared" ref="I194:AP194" si="653">I192+I193</f>
        <v>0</v>
      </c>
      <c r="J194" s="82">
        <f t="shared" si="653"/>
        <v>0</v>
      </c>
      <c r="K194" s="252">
        <f t="shared" si="620"/>
        <v>0</v>
      </c>
      <c r="L194" s="82">
        <f t="shared" si="653"/>
        <v>0</v>
      </c>
      <c r="M194" s="112">
        <f t="shared" si="653"/>
        <v>0</v>
      </c>
      <c r="N194" s="417">
        <f t="shared" ref="N194" si="654">N192+N193</f>
        <v>0</v>
      </c>
      <c r="O194" s="82">
        <f t="shared" si="653"/>
        <v>0</v>
      </c>
      <c r="P194" s="82">
        <f t="shared" si="653"/>
        <v>0</v>
      </c>
      <c r="Q194" s="252">
        <f t="shared" si="545"/>
        <v>0</v>
      </c>
      <c r="R194" s="82">
        <f t="shared" ref="R194" si="655">R192+R193</f>
        <v>0</v>
      </c>
      <c r="S194" s="82">
        <f t="shared" si="653"/>
        <v>0</v>
      </c>
      <c r="T194" s="82">
        <f t="shared" si="653"/>
        <v>0</v>
      </c>
      <c r="U194" s="252">
        <f t="shared" si="546"/>
        <v>0</v>
      </c>
      <c r="V194" s="82">
        <f t="shared" si="653"/>
        <v>0</v>
      </c>
      <c r="W194" s="82">
        <f t="shared" si="653"/>
        <v>0</v>
      </c>
      <c r="X194" s="82">
        <f>'izvršenje PO IZVORIMA-detaljno'!AH194+'izvršenje PO IZVORIMA-detaljno'!AK194+'izvršenje PO IZVORIMA-detaljno'!AA194</f>
        <v>0</v>
      </c>
      <c r="Y194" s="82">
        <f>'izvršenje PO IZVORIMA-detaljno'!AI194+'izvršenje PO IZVORIMA-detaljno'!AL194+'izvršenje PO IZVORIMA-detaljno'!AB194</f>
        <v>0</v>
      </c>
      <c r="Z194" s="112">
        <f t="shared" si="653"/>
        <v>0</v>
      </c>
      <c r="AA194" s="252">
        <f t="shared" si="547"/>
        <v>0</v>
      </c>
      <c r="AB194" s="417"/>
      <c r="AC194" s="417">
        <f>'izvršenje PO IZVORIMA-detaljno'!G194+'izvršenje PO IZVORIMA-detaljno'!M194</f>
        <v>0</v>
      </c>
      <c r="AD194" s="82">
        <f t="shared" si="653"/>
        <v>0</v>
      </c>
      <c r="AE194" s="252">
        <f t="shared" si="548"/>
        <v>0</v>
      </c>
      <c r="AF194" s="108"/>
      <c r="AG194" s="108">
        <f>'izvršenje PO IZVORIMA-detaljno'!J194+'izvršenje PO IZVORIMA-detaljno'!P194</f>
        <v>0</v>
      </c>
      <c r="AH194" s="82">
        <f t="shared" si="653"/>
        <v>0</v>
      </c>
      <c r="AI194" s="252">
        <f t="shared" si="549"/>
        <v>0</v>
      </c>
      <c r="AJ194" s="82">
        <f t="shared" ref="AJ194" si="656">AJ192+AJ193</f>
        <v>0</v>
      </c>
      <c r="AK194" s="82">
        <f t="shared" si="653"/>
        <v>0</v>
      </c>
      <c r="AL194" s="82">
        <f t="shared" si="653"/>
        <v>0</v>
      </c>
      <c r="AM194" s="252">
        <f t="shared" si="550"/>
        <v>0</v>
      </c>
      <c r="AN194" s="82"/>
      <c r="AO194" s="82">
        <f>'izvršenje PO IZVORIMA-detaljno'!AO194</f>
        <v>0</v>
      </c>
      <c r="AP194" s="82">
        <f t="shared" si="653"/>
        <v>0</v>
      </c>
      <c r="AQ194" s="252">
        <f t="shared" si="551"/>
        <v>0</v>
      </c>
      <c r="AR194" s="82">
        <f>'izvršenje PO IZVORIMA-detaljno'!AQ194</f>
        <v>0</v>
      </c>
      <c r="AS194" s="82">
        <f>'izvršenje PO IZVORIMA-detaljno'!AR194</f>
        <v>0</v>
      </c>
      <c r="AT194" s="82">
        <f t="shared" ref="AT194" si="657">AT192+AT193</f>
        <v>0</v>
      </c>
      <c r="AU194" s="252">
        <f t="shared" si="552"/>
        <v>0</v>
      </c>
      <c r="AV194" s="82">
        <f t="shared" ref="AV194:AX194" si="658">AV192+AV193</f>
        <v>0</v>
      </c>
      <c r="AW194" s="83">
        <f t="shared" si="658"/>
        <v>0</v>
      </c>
      <c r="AX194" s="407">
        <f t="shared" si="658"/>
        <v>0</v>
      </c>
      <c r="AY194" s="83">
        <f t="shared" ref="AY194:AZ194" si="659">AY192+AY193</f>
        <v>0</v>
      </c>
      <c r="AZ194" s="112">
        <f t="shared" si="659"/>
        <v>0</v>
      </c>
      <c r="BA194" s="407">
        <f t="shared" ref="BA194:BB194" si="660">BA192+BA193</f>
        <v>0</v>
      </c>
      <c r="BB194" s="83">
        <f t="shared" si="660"/>
        <v>0</v>
      </c>
      <c r="BC194" s="411">
        <f>AV194+AS194+AO194+AK194+AG194+AC194+Y194+V194+S194+O194+L194+I194</f>
        <v>0</v>
      </c>
      <c r="BD194" s="83">
        <f t="shared" ref="BD194" si="661">BD192+BD193</f>
        <v>0</v>
      </c>
      <c r="BE194" s="76">
        <v>4226</v>
      </c>
      <c r="BF194" s="522"/>
      <c r="BG194" s="484"/>
      <c r="BH194" s="484"/>
      <c r="BI194" s="527"/>
      <c r="BJ194" s="484"/>
      <c r="BK194" s="484"/>
      <c r="BL194" s="484"/>
      <c r="BM194" s="484"/>
    </row>
    <row r="195" spans="1:65" ht="15.75" thickBot="1" x14ac:dyDescent="0.3">
      <c r="A195" s="77">
        <v>422731</v>
      </c>
      <c r="B195" s="502" t="s">
        <v>129</v>
      </c>
      <c r="C195" s="75">
        <f t="shared" si="604"/>
        <v>0</v>
      </c>
      <c r="D195" s="71"/>
      <c r="E195" s="122">
        <f t="shared" si="605"/>
        <v>89579.930000000008</v>
      </c>
      <c r="F195" s="246">
        <f t="shared" si="470"/>
        <v>0</v>
      </c>
      <c r="G195" s="247">
        <f t="shared" si="471"/>
        <v>0</v>
      </c>
      <c r="H195" s="124"/>
      <c r="I195" s="124"/>
      <c r="J195" s="51"/>
      <c r="K195" s="1292">
        <f t="shared" si="620"/>
        <v>0</v>
      </c>
      <c r="L195" s="52"/>
      <c r="M195" s="51"/>
      <c r="N195" s="1419">
        <f>'izvršenje PO IZVORIMA-detaljno'!V195</f>
        <v>0</v>
      </c>
      <c r="O195" s="1314"/>
      <c r="P195" s="1326">
        <f>'izvršenje PO IZVORIMA-detaljno'!X195</f>
        <v>0</v>
      </c>
      <c r="Q195" s="1325">
        <f t="shared" si="545"/>
        <v>0</v>
      </c>
      <c r="R195" s="1314"/>
      <c r="S195" s="1314"/>
      <c r="T195" s="1326">
        <f>'izvršenje PO IZVORIMA-detaljno'!AA195</f>
        <v>4655.33</v>
      </c>
      <c r="U195" s="1325">
        <f t="shared" si="546"/>
        <v>0</v>
      </c>
      <c r="V195" s="1314"/>
      <c r="W195" s="1315"/>
      <c r="X195" s="1307"/>
      <c r="Y195" s="1307"/>
      <c r="Z195" s="1315"/>
      <c r="AA195" s="1325">
        <f t="shared" si="547"/>
        <v>0</v>
      </c>
      <c r="AB195" s="1357"/>
      <c r="AC195" s="1357"/>
      <c r="AD195" s="1372">
        <f>'izvršenje PO IZVORIMA-detaljno'!H195+'izvršenje PO IZVORIMA-detaljno'!N195</f>
        <v>84924.6</v>
      </c>
      <c r="AE195" s="1371">
        <f t="shared" si="548"/>
        <v>0</v>
      </c>
      <c r="AF195" s="1357"/>
      <c r="AG195" s="1357"/>
      <c r="AH195" s="1374">
        <f>'izvršenje PO IZVORIMA-detaljno'!K195+'izvršenje PO IZVORIMA-detaljno'!Q195</f>
        <v>0</v>
      </c>
      <c r="AI195" s="1371">
        <f t="shared" si="549"/>
        <v>0</v>
      </c>
      <c r="AJ195" s="1357"/>
      <c r="AK195" s="1357"/>
      <c r="AL195" s="1370"/>
      <c r="AM195" s="1371">
        <f t="shared" si="550"/>
        <v>0</v>
      </c>
      <c r="AN195" s="1357"/>
      <c r="AO195" s="1357"/>
      <c r="AP195" s="1370"/>
      <c r="AQ195" s="1371">
        <f t="shared" si="551"/>
        <v>0</v>
      </c>
      <c r="AR195" s="1357"/>
      <c r="AS195" s="1357"/>
      <c r="AT195" s="1370"/>
      <c r="AU195" s="1371">
        <f t="shared" si="552"/>
        <v>0</v>
      </c>
      <c r="AV195" s="1357"/>
      <c r="AW195" s="1358"/>
      <c r="AX195" s="1435"/>
      <c r="AY195" s="1401"/>
      <c r="AZ195" s="1444"/>
      <c r="BA195" s="180"/>
      <c r="BB195" s="178"/>
      <c r="BC195" s="57"/>
      <c r="BD195" s="126">
        <f>J195+M195+P195+T195+W195+Z195+AD195+AH195+AL195+AP195+AT195+AW195</f>
        <v>89579.930000000008</v>
      </c>
      <c r="BE195" s="77">
        <v>422731</v>
      </c>
      <c r="BG195" s="484"/>
      <c r="BH195" s="484"/>
      <c r="BI195" s="527"/>
    </row>
    <row r="196" spans="1:65" s="22" customFormat="1" ht="15.75" thickBot="1" x14ac:dyDescent="0.3">
      <c r="A196" s="76">
        <v>4227</v>
      </c>
      <c r="B196" s="505" t="s">
        <v>128</v>
      </c>
      <c r="C196" s="82">
        <v>0</v>
      </c>
      <c r="D196" s="82">
        <f t="shared" ref="D196:E196" si="662">D195</f>
        <v>0</v>
      </c>
      <c r="E196" s="83">
        <f t="shared" si="662"/>
        <v>89579.930000000008</v>
      </c>
      <c r="F196" s="253">
        <f t="shared" si="470"/>
        <v>0</v>
      </c>
      <c r="G196" s="252">
        <f t="shared" si="471"/>
        <v>0</v>
      </c>
      <c r="H196" s="411">
        <f t="shared" ref="H196" si="663">H195</f>
        <v>0</v>
      </c>
      <c r="I196" s="115">
        <f t="shared" ref="I196:AP196" si="664">I195</f>
        <v>0</v>
      </c>
      <c r="J196" s="82">
        <f t="shared" si="664"/>
        <v>0</v>
      </c>
      <c r="K196" s="252">
        <f t="shared" si="620"/>
        <v>0</v>
      </c>
      <c r="L196" s="82">
        <f t="shared" si="664"/>
        <v>0</v>
      </c>
      <c r="M196" s="112">
        <f t="shared" si="664"/>
        <v>0</v>
      </c>
      <c r="N196" s="417">
        <f t="shared" ref="N196" si="665">N195</f>
        <v>0</v>
      </c>
      <c r="O196" s="82">
        <f t="shared" si="664"/>
        <v>0</v>
      </c>
      <c r="P196" s="82">
        <f t="shared" si="664"/>
        <v>0</v>
      </c>
      <c r="Q196" s="252">
        <f t="shared" si="545"/>
        <v>0</v>
      </c>
      <c r="R196" s="82">
        <f t="shared" ref="R196" si="666">R195</f>
        <v>0</v>
      </c>
      <c r="S196" s="82">
        <f t="shared" si="664"/>
        <v>0</v>
      </c>
      <c r="T196" s="82">
        <f t="shared" si="664"/>
        <v>4655.33</v>
      </c>
      <c r="U196" s="252">
        <f t="shared" si="546"/>
        <v>0</v>
      </c>
      <c r="V196" s="82">
        <f t="shared" si="664"/>
        <v>0</v>
      </c>
      <c r="W196" s="82">
        <f t="shared" si="664"/>
        <v>0</v>
      </c>
      <c r="X196" s="82"/>
      <c r="Y196" s="82">
        <f>'izvršenje PO IZVORIMA-detaljno'!AI196+'izvršenje PO IZVORIMA-detaljno'!AL196+'izvršenje PO IZVORIMA-detaljno'!AB196</f>
        <v>0</v>
      </c>
      <c r="Z196" s="112">
        <f t="shared" si="664"/>
        <v>0</v>
      </c>
      <c r="AA196" s="252">
        <f t="shared" si="547"/>
        <v>0</v>
      </c>
      <c r="AB196" s="417"/>
      <c r="AC196" s="417">
        <f>'izvršenje PO IZVORIMA-detaljno'!G196+'izvršenje PO IZVORIMA-detaljno'!M196</f>
        <v>0</v>
      </c>
      <c r="AD196" s="82">
        <f t="shared" si="664"/>
        <v>84924.6</v>
      </c>
      <c r="AE196" s="252">
        <f t="shared" si="548"/>
        <v>0</v>
      </c>
      <c r="AF196" s="108"/>
      <c r="AG196" s="108">
        <f>'izvršenje PO IZVORIMA-detaljno'!J196+'izvršenje PO IZVORIMA-detaljno'!P196</f>
        <v>0</v>
      </c>
      <c r="AH196" s="82">
        <f t="shared" si="664"/>
        <v>0</v>
      </c>
      <c r="AI196" s="252">
        <f t="shared" si="549"/>
        <v>0</v>
      </c>
      <c r="AJ196" s="82">
        <f t="shared" ref="AJ196" si="667">AJ195</f>
        <v>0</v>
      </c>
      <c r="AK196" s="82">
        <f t="shared" si="664"/>
        <v>0</v>
      </c>
      <c r="AL196" s="82">
        <f t="shared" si="664"/>
        <v>0</v>
      </c>
      <c r="AM196" s="252">
        <f t="shared" si="550"/>
        <v>0</v>
      </c>
      <c r="AN196" s="82"/>
      <c r="AO196" s="82">
        <f>'izvršenje PO IZVORIMA-detaljno'!AO196</f>
        <v>0</v>
      </c>
      <c r="AP196" s="82">
        <f t="shared" si="664"/>
        <v>0</v>
      </c>
      <c r="AQ196" s="252">
        <f t="shared" si="551"/>
        <v>0</v>
      </c>
      <c r="AR196" s="82">
        <f>'izvršenje PO IZVORIMA-detaljno'!AQ196</f>
        <v>0</v>
      </c>
      <c r="AS196" s="82">
        <f>'izvršenje PO IZVORIMA-detaljno'!AR196</f>
        <v>0</v>
      </c>
      <c r="AT196" s="82">
        <f t="shared" ref="AT196" si="668">AT195</f>
        <v>0</v>
      </c>
      <c r="AU196" s="252">
        <f t="shared" si="552"/>
        <v>0</v>
      </c>
      <c r="AV196" s="82">
        <f t="shared" ref="AV196:AX196" si="669">AV195</f>
        <v>0</v>
      </c>
      <c r="AW196" s="83">
        <f t="shared" si="669"/>
        <v>0</v>
      </c>
      <c r="AX196" s="407">
        <f t="shared" si="669"/>
        <v>0</v>
      </c>
      <c r="AY196" s="83">
        <f t="shared" ref="AY196:AZ196" si="670">AY195</f>
        <v>0</v>
      </c>
      <c r="AZ196" s="112">
        <f t="shared" si="670"/>
        <v>0</v>
      </c>
      <c r="BA196" s="407">
        <f t="shared" ref="BA196:BB196" si="671">BA195</f>
        <v>0</v>
      </c>
      <c r="BB196" s="83">
        <f t="shared" si="671"/>
        <v>0</v>
      </c>
      <c r="BC196" s="411">
        <f>AV196+AS196+AO196+AK196+AG196+AC196+Y196+V196+S196+O196+L196+I196</f>
        <v>0</v>
      </c>
      <c r="BD196" s="83">
        <f t="shared" ref="BD196" si="672">BD195</f>
        <v>89579.930000000008</v>
      </c>
      <c r="BE196" s="76">
        <v>4227</v>
      </c>
      <c r="BF196" s="522"/>
      <c r="BG196" s="484"/>
      <c r="BH196" s="484"/>
      <c r="BI196" s="527"/>
      <c r="BJ196" s="484"/>
      <c r="BK196" s="484"/>
      <c r="BL196" s="484"/>
      <c r="BM196" s="484"/>
    </row>
    <row r="197" spans="1:65" s="22" customFormat="1" ht="15.75" thickBot="1" x14ac:dyDescent="0.3">
      <c r="A197" s="76">
        <v>422</v>
      </c>
      <c r="B197" s="505" t="s">
        <v>127</v>
      </c>
      <c r="C197" s="83">
        <f>C183+C185+C188+C191+C194+C196</f>
        <v>1027.31435397173</v>
      </c>
      <c r="D197" s="82">
        <f>BC197</f>
        <v>1971255</v>
      </c>
      <c r="E197" s="83">
        <f>E183+E185+E188+E191+E194+E196</f>
        <v>1961854.18</v>
      </c>
      <c r="F197" s="253">
        <f t="shared" si="470"/>
        <v>190969.21720359675</v>
      </c>
      <c r="G197" s="252">
        <f t="shared" si="471"/>
        <v>99.523104824084143</v>
      </c>
      <c r="H197" s="411">
        <f t="shared" ref="H197" si="673">H183+H185+H188+H191+H194+H196</f>
        <v>0</v>
      </c>
      <c r="I197" s="115">
        <f>'izvršenje PO IZVORIMA-detaljno'!D197</f>
        <v>1500</v>
      </c>
      <c r="J197" s="82">
        <f t="shared" ref="J197:AL197" si="674">J183+J185+J188+J191+J194+J196</f>
        <v>1128.1300000000001</v>
      </c>
      <c r="K197" s="252">
        <f t="shared" si="620"/>
        <v>75.208666666666673</v>
      </c>
      <c r="L197" s="82">
        <f t="shared" si="674"/>
        <v>0</v>
      </c>
      <c r="M197" s="112">
        <f t="shared" si="674"/>
        <v>0</v>
      </c>
      <c r="N197" s="417">
        <f>N183+N185+N188+N191+N194+N196</f>
        <v>894.72426836551858</v>
      </c>
      <c r="O197" s="82">
        <f>'izvršenje PO IZVORIMA-detaljno'!W197</f>
        <v>1416</v>
      </c>
      <c r="P197" s="82">
        <f>P183+P185+P188+P191+P194+P196</f>
        <v>1415.8899999999999</v>
      </c>
      <c r="Q197" s="252">
        <f t="shared" si="545"/>
        <v>99.992231638418076</v>
      </c>
      <c r="R197" s="82">
        <f>'izvršenje PO IZVORIMA-detaljno'!Y197</f>
        <v>0</v>
      </c>
      <c r="S197" s="82">
        <f>'izvršenje PO IZVORIMA-detaljno'!Z197</f>
        <v>146400</v>
      </c>
      <c r="T197" s="82">
        <f t="shared" si="674"/>
        <v>141247.88999999998</v>
      </c>
      <c r="U197" s="252">
        <f t="shared" si="546"/>
        <v>96.480799180327864</v>
      </c>
      <c r="V197" s="82">
        <f t="shared" si="674"/>
        <v>0</v>
      </c>
      <c r="W197" s="82">
        <f t="shared" si="674"/>
        <v>0</v>
      </c>
      <c r="X197" s="82"/>
      <c r="Y197" s="82">
        <f>'izvršenje PO IZVORIMA-detaljno'!AI197+'izvršenje PO IZVORIMA-detaljno'!AL197+'izvršenje PO IZVORIMA-detaljno'!AB197</f>
        <v>0</v>
      </c>
      <c r="Z197" s="112">
        <f t="shared" si="674"/>
        <v>0</v>
      </c>
      <c r="AA197" s="252">
        <f t="shared" si="547"/>
        <v>0</v>
      </c>
      <c r="AB197" s="417">
        <f t="shared" si="674"/>
        <v>0</v>
      </c>
      <c r="AC197" s="417">
        <f>'izvršenje PO IZVORIMA-detaljno'!G197+'izvršenje PO IZVORIMA-detaljno'!M197</f>
        <v>1521745</v>
      </c>
      <c r="AD197" s="82">
        <f>AD183+AD185+AD188+AD191+AD194+AD196</f>
        <v>1521738.0700000003</v>
      </c>
      <c r="AE197" s="252">
        <f t="shared" si="548"/>
        <v>99.999544601756554</v>
      </c>
      <c r="AF197" s="108"/>
      <c r="AG197" s="108">
        <f>'izvršenje PO IZVORIMA-detaljno'!J197+'izvršenje PO IZVORIMA-detaljno'!P197</f>
        <v>297000</v>
      </c>
      <c r="AH197" s="82">
        <f t="shared" si="674"/>
        <v>295260.75</v>
      </c>
      <c r="AI197" s="252">
        <f t="shared" si="549"/>
        <v>99.414393939393946</v>
      </c>
      <c r="AJ197" s="82">
        <f t="shared" ref="AJ197" si="675">AJ183+AJ185+AJ188+AJ191+AJ194+AJ196</f>
        <v>0</v>
      </c>
      <c r="AK197" s="82">
        <f t="shared" si="674"/>
        <v>0</v>
      </c>
      <c r="AL197" s="82">
        <f t="shared" si="674"/>
        <v>0</v>
      </c>
      <c r="AM197" s="252">
        <f t="shared" si="550"/>
        <v>0</v>
      </c>
      <c r="AN197" s="82">
        <f>AN183+AN185+AN188+AN191+AN194+AN196</f>
        <v>132.59008560621143</v>
      </c>
      <c r="AO197" s="82">
        <f>'izvršenje PO IZVORIMA-detaljno'!AO197</f>
        <v>2000</v>
      </c>
      <c r="AP197" s="82">
        <f>AP183+AP185+AP188+AP191+AP194+AP196</f>
        <v>1063.45</v>
      </c>
      <c r="AQ197" s="252">
        <f t="shared" si="551"/>
        <v>53.172499999999999</v>
      </c>
      <c r="AR197" s="82">
        <f>'izvršenje PO IZVORIMA-detaljno'!AQ197</f>
        <v>0</v>
      </c>
      <c r="AS197" s="82">
        <f>'izvršenje PO IZVORIMA-detaljno'!AR197</f>
        <v>1194</v>
      </c>
      <c r="AT197" s="82">
        <f t="shared" ref="AT197" si="676">AT183+AT185+AT188+AT191+AT194+AT196</f>
        <v>0</v>
      </c>
      <c r="AU197" s="252">
        <f t="shared" si="552"/>
        <v>0</v>
      </c>
      <c r="AV197" s="82">
        <f t="shared" ref="AV197:AX197" si="677">AV183+AV185+AV188+AV191+AV194+AV196</f>
        <v>0</v>
      </c>
      <c r="AW197" s="83">
        <f t="shared" si="677"/>
        <v>0</v>
      </c>
      <c r="AX197" s="407">
        <f t="shared" si="677"/>
        <v>0</v>
      </c>
      <c r="AY197" s="83">
        <f t="shared" ref="AY197:AZ197" si="678">AY183+AY185+AY188+AY191+AY194+AY196</f>
        <v>0</v>
      </c>
      <c r="AZ197" s="112">
        <f t="shared" si="678"/>
        <v>0</v>
      </c>
      <c r="BA197" s="407">
        <f t="shared" ref="BA197:BB197" si="679">BA183+BA185+BA188+BA191+BA194+BA196</f>
        <v>0</v>
      </c>
      <c r="BB197" s="83">
        <f t="shared" si="679"/>
        <v>0</v>
      </c>
      <c r="BC197" s="411">
        <f>AV197+AS197+AO197+AK197+AG197+AC197+Y197+V197+S197+O197+L197+I197</f>
        <v>1971255</v>
      </c>
      <c r="BD197" s="83">
        <f>BD183+BD185+BD188+BD191+BD194+BD196</f>
        <v>1961854.18</v>
      </c>
      <c r="BE197" s="76">
        <v>422</v>
      </c>
      <c r="BF197" s="522"/>
      <c r="BG197" s="484"/>
      <c r="BH197" s="484"/>
      <c r="BI197" s="527"/>
      <c r="BJ197" s="484"/>
      <c r="BK197" s="484"/>
      <c r="BL197" s="484"/>
      <c r="BM197" s="484"/>
    </row>
    <row r="198" spans="1:65" ht="15.75" thickBot="1" x14ac:dyDescent="0.3">
      <c r="A198" s="77">
        <v>424111</v>
      </c>
      <c r="B198" s="502" t="s">
        <v>126</v>
      </c>
      <c r="C198" s="75">
        <f t="shared" ref="C198:C203" si="680">H198+N198+R198+X198+AB198+AF198+AJ198+AN198+AR198+AX198</f>
        <v>1193.6279779680137</v>
      </c>
      <c r="D198" s="72">
        <f>C197-E197</f>
        <v>-1960826.8656460282</v>
      </c>
      <c r="E198" s="122">
        <f t="shared" ref="E198:E201" si="681">BD198</f>
        <v>1236.57</v>
      </c>
      <c r="F198" s="246">
        <f t="shared" si="470"/>
        <v>103.59760518558629</v>
      </c>
      <c r="G198" s="247">
        <f t="shared" si="471"/>
        <v>-6.3063701424377949E-2</v>
      </c>
      <c r="H198" s="123">
        <f>'izvršenje PO IZVORIMA-detaljno'!C198</f>
        <v>597.25263786581718</v>
      </c>
      <c r="I198" s="124"/>
      <c r="J198" s="176">
        <f>'izvršenje PO IZVORIMA-detaljno'!E198</f>
        <v>651.01</v>
      </c>
      <c r="K198" s="1292">
        <f t="shared" si="620"/>
        <v>0</v>
      </c>
      <c r="L198" s="52"/>
      <c r="M198" s="51"/>
      <c r="N198" s="1419">
        <f>'izvršenje PO IZVORIMA-detaljno'!V198</f>
        <v>0</v>
      </c>
      <c r="O198" s="1314"/>
      <c r="P198" s="1326">
        <f>'izvršenje PO IZVORIMA-detaljno'!X198</f>
        <v>330.32</v>
      </c>
      <c r="Q198" s="1325">
        <f t="shared" si="545"/>
        <v>0</v>
      </c>
      <c r="R198" s="1314"/>
      <c r="S198" s="1314"/>
      <c r="T198" s="1326">
        <f>'izvršenje PO IZVORIMA-detaljno'!AA198</f>
        <v>0</v>
      </c>
      <c r="U198" s="1325">
        <f t="shared" si="546"/>
        <v>0</v>
      </c>
      <c r="V198" s="1314"/>
      <c r="W198" s="1315"/>
      <c r="X198" s="1307"/>
      <c r="Y198" s="1307"/>
      <c r="Z198" s="1315"/>
      <c r="AA198" s="1325">
        <f t="shared" si="547"/>
        <v>0</v>
      </c>
      <c r="AB198" s="1357"/>
      <c r="AC198" s="1357"/>
      <c r="AD198" s="1372">
        <f>'izvršenje PO IZVORIMA-detaljno'!H198+'izvršenje PO IZVORIMA-detaljno'!N198</f>
        <v>0</v>
      </c>
      <c r="AE198" s="1371">
        <f t="shared" si="548"/>
        <v>0</v>
      </c>
      <c r="AF198" s="1357"/>
      <c r="AG198" s="1357"/>
      <c r="AH198" s="1374">
        <f>'izvršenje PO IZVORIMA-detaljno'!K198+'izvršenje PO IZVORIMA-detaljno'!Q198</f>
        <v>0</v>
      </c>
      <c r="AI198" s="1371">
        <f t="shared" si="549"/>
        <v>0</v>
      </c>
      <c r="AJ198" s="1357"/>
      <c r="AK198" s="1357"/>
      <c r="AL198" s="1370"/>
      <c r="AM198" s="1371">
        <f t="shared" si="550"/>
        <v>0</v>
      </c>
      <c r="AN198" s="1372">
        <f>'izvršenje PO IZVORIMA-detaljno'!AN198</f>
        <v>596.37534010219656</v>
      </c>
      <c r="AO198" s="1357"/>
      <c r="AP198" s="1372">
        <f>'izvršenje PO IZVORIMA-detaljno'!AP198</f>
        <v>255.23999999999995</v>
      </c>
      <c r="AQ198" s="1371">
        <f t="shared" si="551"/>
        <v>0</v>
      </c>
      <c r="AR198" s="1357"/>
      <c r="AS198" s="1357"/>
      <c r="AT198" s="1370"/>
      <c r="AU198" s="1371">
        <f t="shared" si="552"/>
        <v>0</v>
      </c>
      <c r="AV198" s="1357"/>
      <c r="AW198" s="1358"/>
      <c r="AX198" s="1435"/>
      <c r="AY198" s="1401"/>
      <c r="AZ198" s="1444"/>
      <c r="BA198" s="180"/>
      <c r="BB198" s="178"/>
      <c r="BC198" s="57"/>
      <c r="BD198" s="126">
        <f>J198+M198+P198+T198+W198+Z198+AD198+AH198+AL198+AP198+AT198+AW198</f>
        <v>1236.57</v>
      </c>
      <c r="BE198" s="77">
        <v>424111</v>
      </c>
      <c r="BG198" s="484"/>
      <c r="BH198" s="484"/>
      <c r="BI198" s="527"/>
    </row>
    <row r="199" spans="1:65" s="22" customFormat="1" ht="15.75" thickBot="1" x14ac:dyDescent="0.3">
      <c r="A199" s="76">
        <v>424</v>
      </c>
      <c r="B199" s="505" t="s">
        <v>125</v>
      </c>
      <c r="C199" s="82">
        <f>SUM(C198)</f>
        <v>1193.6279779680137</v>
      </c>
      <c r="D199" s="82">
        <f>BC199</f>
        <v>2158</v>
      </c>
      <c r="E199" s="83">
        <f t="shared" ref="E199" si="682">E198</f>
        <v>1236.57</v>
      </c>
      <c r="F199" s="253">
        <f t="shared" si="470"/>
        <v>103.59760518558629</v>
      </c>
      <c r="G199" s="252">
        <f t="shared" si="471"/>
        <v>57.301668211306769</v>
      </c>
      <c r="H199" s="411">
        <f>SUM(H198)</f>
        <v>597.25263786581718</v>
      </c>
      <c r="I199" s="115">
        <f>'izvršenje PO IZVORIMA-detaljno'!D199</f>
        <v>1327</v>
      </c>
      <c r="J199" s="82">
        <f>SUM(J198)</f>
        <v>651.01</v>
      </c>
      <c r="K199" s="252">
        <f t="shared" si="620"/>
        <v>49.058779201205724</v>
      </c>
      <c r="L199" s="82">
        <f t="shared" ref="L199:AL199" si="683">L198</f>
        <v>0</v>
      </c>
      <c r="M199" s="112">
        <f t="shared" si="683"/>
        <v>0</v>
      </c>
      <c r="N199" s="417">
        <f>SUM(N198)</f>
        <v>0</v>
      </c>
      <c r="O199" s="82">
        <f>'izvršenje PO IZVORIMA-detaljno'!W199</f>
        <v>331</v>
      </c>
      <c r="P199" s="82">
        <f t="shared" si="683"/>
        <v>330.32</v>
      </c>
      <c r="Q199" s="252">
        <f t="shared" ref="Q199:Q213" si="684">IF(O199&lt;&gt;0,P199/O199*100,0)</f>
        <v>99.794561933534737</v>
      </c>
      <c r="R199" s="82">
        <f t="shared" ref="R199" si="685">R198</f>
        <v>0</v>
      </c>
      <c r="S199" s="82">
        <f t="shared" si="683"/>
        <v>0</v>
      </c>
      <c r="T199" s="82">
        <f t="shared" si="683"/>
        <v>0</v>
      </c>
      <c r="U199" s="252">
        <f t="shared" ref="U199:U213" si="686">IF(S199&lt;&gt;0,T199/S199*100,0)</f>
        <v>0</v>
      </c>
      <c r="V199" s="82">
        <f t="shared" si="683"/>
        <v>0</v>
      </c>
      <c r="W199" s="82">
        <f t="shared" si="683"/>
        <v>0</v>
      </c>
      <c r="X199" s="82"/>
      <c r="Y199" s="82">
        <f>'izvršenje PO IZVORIMA-detaljno'!AI199+'izvršenje PO IZVORIMA-detaljno'!AL199+'izvršenje PO IZVORIMA-detaljno'!AB199</f>
        <v>0</v>
      </c>
      <c r="Z199" s="112">
        <f t="shared" si="683"/>
        <v>0</v>
      </c>
      <c r="AA199" s="252">
        <f t="shared" ref="AA199:AA213" si="687">IF(Y199&lt;&gt;0,Z199/Y199*100,0)</f>
        <v>0</v>
      </c>
      <c r="AB199" s="417">
        <f>'izvršenje PO IZVORIMA-detaljno'!F199+'izvršenje PO IZVORIMA-detaljno'!L199</f>
        <v>0</v>
      </c>
      <c r="AC199" s="417">
        <f>'izvršenje PO IZVORIMA-detaljno'!G199+'izvršenje PO IZVORIMA-detaljno'!M199</f>
        <v>0</v>
      </c>
      <c r="AD199" s="82">
        <f t="shared" si="683"/>
        <v>0</v>
      </c>
      <c r="AE199" s="252">
        <f t="shared" ref="AE199:AE213" si="688">IF(AC199&lt;&gt;0,AD199/AC199*100,0)</f>
        <v>0</v>
      </c>
      <c r="AF199" s="108"/>
      <c r="AG199" s="108">
        <f>'izvršenje PO IZVORIMA-detaljno'!J199+'izvršenje PO IZVORIMA-detaljno'!P199</f>
        <v>0</v>
      </c>
      <c r="AH199" s="82">
        <f t="shared" si="683"/>
        <v>0</v>
      </c>
      <c r="AI199" s="252">
        <f t="shared" ref="AI199:AI213" si="689">IF(AG199&lt;&gt;0,AH199/AG199*100,0)</f>
        <v>0</v>
      </c>
      <c r="AJ199" s="82">
        <f t="shared" ref="AJ199" si="690">AJ198</f>
        <v>0</v>
      </c>
      <c r="AK199" s="82">
        <f t="shared" si="683"/>
        <v>0</v>
      </c>
      <c r="AL199" s="82">
        <f t="shared" si="683"/>
        <v>0</v>
      </c>
      <c r="AM199" s="252">
        <f t="shared" ref="AM199:AM213" si="691">IF(AK199&lt;&gt;0,AL199/AK199*100,0)</f>
        <v>0</v>
      </c>
      <c r="AN199" s="82">
        <f>SUM(AN198)</f>
        <v>596.37534010219656</v>
      </c>
      <c r="AO199" s="82">
        <f>'izvršenje PO IZVORIMA-detaljno'!AO199</f>
        <v>500</v>
      </c>
      <c r="AP199" s="82">
        <f>AP198</f>
        <v>255.23999999999995</v>
      </c>
      <c r="AQ199" s="252">
        <f t="shared" ref="AQ199:AQ213" si="692">IF(AO199&lt;&gt;0,AP199/AO199*100,0)</f>
        <v>51.047999999999995</v>
      </c>
      <c r="AR199" s="82">
        <f>'izvršenje PO IZVORIMA-detaljno'!AQ199</f>
        <v>0</v>
      </c>
      <c r="AS199" s="82">
        <f>'izvršenje PO IZVORIMA-detaljno'!AR199</f>
        <v>0</v>
      </c>
      <c r="AT199" s="82">
        <f t="shared" ref="AT199" si="693">AT198</f>
        <v>0</v>
      </c>
      <c r="AU199" s="252">
        <f t="shared" ref="AU199:AU213" si="694">IF(AS199&lt;&gt;0,AT199/AS199*100,0)</f>
        <v>0</v>
      </c>
      <c r="AV199" s="82">
        <f t="shared" ref="AV199:AX199" si="695">AV198</f>
        <v>0</v>
      </c>
      <c r="AW199" s="83">
        <f t="shared" si="695"/>
        <v>0</v>
      </c>
      <c r="AX199" s="407">
        <f t="shared" si="695"/>
        <v>0</v>
      </c>
      <c r="AY199" s="83">
        <f t="shared" ref="AY199:AZ199" si="696">AY198</f>
        <v>0</v>
      </c>
      <c r="AZ199" s="112">
        <f t="shared" si="696"/>
        <v>0</v>
      </c>
      <c r="BA199" s="407">
        <f t="shared" ref="BA199:BB199" si="697">BA198</f>
        <v>0</v>
      </c>
      <c r="BB199" s="83">
        <f t="shared" si="697"/>
        <v>0</v>
      </c>
      <c r="BC199" s="411">
        <f>AV199+AS199+AO199+AK199+AG199+AC199+Y199+V199+S199+O199+L199+I199</f>
        <v>2158</v>
      </c>
      <c r="BD199" s="83">
        <f t="shared" ref="BD199" si="698">BD198</f>
        <v>1236.57</v>
      </c>
      <c r="BE199" s="76">
        <v>424</v>
      </c>
      <c r="BF199" s="522"/>
      <c r="BG199" s="484"/>
      <c r="BH199" s="484"/>
      <c r="BI199" s="527"/>
      <c r="BJ199" s="484"/>
      <c r="BK199" s="484"/>
      <c r="BL199" s="484"/>
      <c r="BM199" s="484"/>
    </row>
    <row r="200" spans="1:65" s="6" customFormat="1" x14ac:dyDescent="0.25">
      <c r="A200" s="62">
        <v>426211</v>
      </c>
      <c r="B200" s="498" t="s">
        <v>122</v>
      </c>
      <c r="C200" s="75">
        <f t="shared" si="680"/>
        <v>0</v>
      </c>
      <c r="D200" s="69"/>
      <c r="E200" s="122">
        <f t="shared" si="681"/>
        <v>0</v>
      </c>
      <c r="F200" s="240">
        <f t="shared" si="470"/>
        <v>0</v>
      </c>
      <c r="G200" s="241">
        <f t="shared" si="471"/>
        <v>0</v>
      </c>
      <c r="H200" s="124"/>
      <c r="I200" s="124"/>
      <c r="J200" s="51"/>
      <c r="K200" s="1286">
        <f t="shared" si="620"/>
        <v>0</v>
      </c>
      <c r="L200" s="52"/>
      <c r="M200" s="51"/>
      <c r="N200" s="1314"/>
      <c r="O200" s="1314"/>
      <c r="P200" s="1315"/>
      <c r="Q200" s="1309">
        <f t="shared" si="684"/>
        <v>0</v>
      </c>
      <c r="R200" s="1314"/>
      <c r="S200" s="1314"/>
      <c r="T200" s="1326">
        <f>'izvršenje PO IZVORIMA-detaljno'!AA200</f>
        <v>0</v>
      </c>
      <c r="U200" s="1309">
        <f t="shared" si="686"/>
        <v>0</v>
      </c>
      <c r="V200" s="1314"/>
      <c r="W200" s="1315"/>
      <c r="X200" s="1307"/>
      <c r="Y200" s="1307"/>
      <c r="Z200" s="1315"/>
      <c r="AA200" s="1309">
        <f t="shared" si="687"/>
        <v>0</v>
      </c>
      <c r="AB200" s="1357"/>
      <c r="AC200" s="1357"/>
      <c r="AD200" s="1372">
        <f>'izvršenje PO IZVORIMA-detaljno'!H200+'izvršenje PO IZVORIMA-detaljno'!N200</f>
        <v>0</v>
      </c>
      <c r="AE200" s="1350">
        <f t="shared" si="688"/>
        <v>0</v>
      </c>
      <c r="AF200" s="1357"/>
      <c r="AG200" s="1357"/>
      <c r="AH200" s="1374">
        <f>'izvršenje PO IZVORIMA-detaljno'!K200+'izvršenje PO IZVORIMA-detaljno'!Q200</f>
        <v>0</v>
      </c>
      <c r="AI200" s="1350">
        <f t="shared" si="689"/>
        <v>0</v>
      </c>
      <c r="AJ200" s="1357"/>
      <c r="AK200" s="1357"/>
      <c r="AL200" s="1370"/>
      <c r="AM200" s="1350">
        <f t="shared" si="691"/>
        <v>0</v>
      </c>
      <c r="AN200" s="1357"/>
      <c r="AO200" s="1357"/>
      <c r="AP200" s="1370"/>
      <c r="AQ200" s="1350">
        <f t="shared" si="692"/>
        <v>0</v>
      </c>
      <c r="AR200" s="1357"/>
      <c r="AS200" s="1357"/>
      <c r="AT200" s="1370"/>
      <c r="AU200" s="1350">
        <f t="shared" si="694"/>
        <v>0</v>
      </c>
      <c r="AV200" s="1357"/>
      <c r="AW200" s="1358"/>
      <c r="AX200" s="1435"/>
      <c r="AY200" s="1401"/>
      <c r="AZ200" s="1444"/>
      <c r="BA200" s="180"/>
      <c r="BB200" s="178"/>
      <c r="BC200" s="57"/>
      <c r="BD200" s="126">
        <f>J200+M200+P200+T200+W200+Z200+AD200+AH200+AL200+AP200+AT200+AW200</f>
        <v>0</v>
      </c>
      <c r="BE200" s="62">
        <v>426211</v>
      </c>
      <c r="BF200" s="518"/>
      <c r="BG200" s="493"/>
      <c r="BH200" s="493"/>
      <c r="BI200" s="530"/>
      <c r="BJ200" s="487"/>
      <c r="BK200" s="487"/>
      <c r="BL200" s="487"/>
      <c r="BM200" s="487"/>
    </row>
    <row r="201" spans="1:65" s="2" customFormat="1" ht="15.75" thickBot="1" x14ac:dyDescent="0.3">
      <c r="A201" s="47">
        <v>426321</v>
      </c>
      <c r="B201" s="500" t="s">
        <v>123</v>
      </c>
      <c r="C201" s="75">
        <f t="shared" si="680"/>
        <v>0</v>
      </c>
      <c r="D201" s="4"/>
      <c r="E201" s="122">
        <f t="shared" si="681"/>
        <v>0</v>
      </c>
      <c r="F201" s="242">
        <f t="shared" si="470"/>
        <v>0</v>
      </c>
      <c r="G201" s="243">
        <f t="shared" si="471"/>
        <v>0</v>
      </c>
      <c r="H201" s="125"/>
      <c r="I201" s="125"/>
      <c r="J201" s="60"/>
      <c r="K201" s="1288">
        <f t="shared" si="620"/>
        <v>0</v>
      </c>
      <c r="L201" s="59"/>
      <c r="M201" s="60"/>
      <c r="N201" s="1328"/>
      <c r="O201" s="1328"/>
      <c r="P201" s="1329"/>
      <c r="Q201" s="1316">
        <f t="shared" si="684"/>
        <v>0</v>
      </c>
      <c r="R201" s="1328"/>
      <c r="S201" s="1328"/>
      <c r="T201" s="1326">
        <f>'izvršenje PO IZVORIMA-detaljno'!AA201</f>
        <v>0</v>
      </c>
      <c r="U201" s="1316">
        <f t="shared" si="686"/>
        <v>0</v>
      </c>
      <c r="V201" s="1328"/>
      <c r="W201" s="1329"/>
      <c r="X201" s="1307"/>
      <c r="Y201" s="1307"/>
      <c r="Z201" s="1329"/>
      <c r="AA201" s="1316">
        <f t="shared" si="687"/>
        <v>0</v>
      </c>
      <c r="AB201" s="1380"/>
      <c r="AC201" s="1380"/>
      <c r="AD201" s="1372">
        <f>'izvršenje PO IZVORIMA-detaljno'!H201+'izvršenje PO IZVORIMA-detaljno'!N201</f>
        <v>0</v>
      </c>
      <c r="AE201" s="1359">
        <f t="shared" si="688"/>
        <v>0</v>
      </c>
      <c r="AF201" s="1380"/>
      <c r="AG201" s="1380"/>
      <c r="AH201" s="1374">
        <f>'izvršenje PO IZVORIMA-detaljno'!K201+'izvršenje PO IZVORIMA-detaljno'!Q201</f>
        <v>0</v>
      </c>
      <c r="AI201" s="1359">
        <f t="shared" si="689"/>
        <v>0</v>
      </c>
      <c r="AJ201" s="1380"/>
      <c r="AK201" s="1380"/>
      <c r="AL201" s="1381"/>
      <c r="AM201" s="1359">
        <f t="shared" si="691"/>
        <v>0</v>
      </c>
      <c r="AN201" s="1380"/>
      <c r="AO201" s="1380"/>
      <c r="AP201" s="1381"/>
      <c r="AQ201" s="1359">
        <f t="shared" si="692"/>
        <v>0</v>
      </c>
      <c r="AR201" s="1380"/>
      <c r="AS201" s="1380"/>
      <c r="AT201" s="1381"/>
      <c r="AU201" s="1359">
        <f t="shared" si="694"/>
        <v>0</v>
      </c>
      <c r="AV201" s="1380"/>
      <c r="AW201" s="1382"/>
      <c r="AX201" s="1437"/>
      <c r="AY201" s="1403"/>
      <c r="AZ201" s="1450"/>
      <c r="BA201" s="208"/>
      <c r="BB201" s="210"/>
      <c r="BC201" s="61"/>
      <c r="BD201" s="126">
        <f>J201+M201+P201+T201+W201+Z201+AD201+AH201+AL201+AP201+AT201+AW201</f>
        <v>0</v>
      </c>
      <c r="BE201" s="47">
        <v>426321</v>
      </c>
      <c r="BF201" s="254"/>
      <c r="BG201" s="489"/>
      <c r="BH201" s="489"/>
      <c r="BI201" s="529"/>
      <c r="BJ201" s="486"/>
      <c r="BK201" s="486"/>
      <c r="BL201" s="486"/>
      <c r="BM201" s="486"/>
    </row>
    <row r="202" spans="1:65" s="1539" customFormat="1" ht="15.75" thickBot="1" x14ac:dyDescent="0.3">
      <c r="A202" s="76">
        <v>426</v>
      </c>
      <c r="B202" s="505" t="s">
        <v>124</v>
      </c>
      <c r="C202" s="82">
        <v>0</v>
      </c>
      <c r="D202" s="82">
        <f>BC200</f>
        <v>0</v>
      </c>
      <c r="E202" s="83">
        <f t="shared" ref="E202" si="699">E200+E201</f>
        <v>0</v>
      </c>
      <c r="F202" s="253">
        <f t="shared" si="470"/>
        <v>0</v>
      </c>
      <c r="G202" s="252">
        <f t="shared" si="471"/>
        <v>0</v>
      </c>
      <c r="H202" s="411">
        <f t="shared" ref="H202" si="700">H200+H201</f>
        <v>0</v>
      </c>
      <c r="I202" s="115">
        <f t="shared" ref="I202:AP202" si="701">I200+I201</f>
        <v>0</v>
      </c>
      <c r="J202" s="82">
        <f t="shared" si="701"/>
        <v>0</v>
      </c>
      <c r="K202" s="252">
        <f t="shared" si="620"/>
        <v>0</v>
      </c>
      <c r="L202" s="82">
        <f t="shared" si="701"/>
        <v>0</v>
      </c>
      <c r="M202" s="112">
        <f t="shared" si="701"/>
        <v>0</v>
      </c>
      <c r="N202" s="417">
        <f t="shared" ref="N202" si="702">N200+N201</f>
        <v>0</v>
      </c>
      <c r="O202" s="82">
        <f t="shared" si="701"/>
        <v>0</v>
      </c>
      <c r="P202" s="82">
        <f t="shared" si="701"/>
        <v>0</v>
      </c>
      <c r="Q202" s="252">
        <f t="shared" si="684"/>
        <v>0</v>
      </c>
      <c r="R202" s="82">
        <f t="shared" ref="R202" si="703">R200+R201</f>
        <v>0</v>
      </c>
      <c r="S202" s="82">
        <f t="shared" si="701"/>
        <v>0</v>
      </c>
      <c r="T202" s="82">
        <f t="shared" si="701"/>
        <v>0</v>
      </c>
      <c r="U202" s="252">
        <f t="shared" si="686"/>
        <v>0</v>
      </c>
      <c r="V202" s="82">
        <f t="shared" si="701"/>
        <v>0</v>
      </c>
      <c r="W202" s="82">
        <f t="shared" si="701"/>
        <v>0</v>
      </c>
      <c r="X202" s="82"/>
      <c r="Y202" s="82">
        <f>'izvršenje PO IZVORIMA-detaljno'!AI202+'izvršenje PO IZVORIMA-detaljno'!AL202+'izvršenje PO IZVORIMA-detaljno'!AB202</f>
        <v>0</v>
      </c>
      <c r="Z202" s="112">
        <f t="shared" si="701"/>
        <v>0</v>
      </c>
      <c r="AA202" s="252">
        <f t="shared" si="687"/>
        <v>0</v>
      </c>
      <c r="AB202" s="417">
        <f>'izvršenje PO IZVORIMA-detaljno'!F202+'izvršenje PO IZVORIMA-detaljno'!L202</f>
        <v>0</v>
      </c>
      <c r="AC202" s="417">
        <f>'izvršenje PO IZVORIMA-detaljno'!G202+'izvršenje PO IZVORIMA-detaljno'!M202</f>
        <v>0</v>
      </c>
      <c r="AD202" s="82">
        <f t="shared" si="701"/>
        <v>0</v>
      </c>
      <c r="AE202" s="252">
        <f t="shared" si="688"/>
        <v>0</v>
      </c>
      <c r="AF202" s="108"/>
      <c r="AG202" s="108">
        <f>'izvršenje PO IZVORIMA-detaljno'!J202+'izvršenje PO IZVORIMA-detaljno'!P202</f>
        <v>0</v>
      </c>
      <c r="AH202" s="82">
        <f t="shared" si="701"/>
        <v>0</v>
      </c>
      <c r="AI202" s="252">
        <f t="shared" si="689"/>
        <v>0</v>
      </c>
      <c r="AJ202" s="82">
        <f t="shared" ref="AJ202" si="704">AJ200+AJ201</f>
        <v>0</v>
      </c>
      <c r="AK202" s="82">
        <f t="shared" si="701"/>
        <v>0</v>
      </c>
      <c r="AL202" s="82">
        <f t="shared" si="701"/>
        <v>0</v>
      </c>
      <c r="AM202" s="252">
        <f t="shared" si="691"/>
        <v>0</v>
      </c>
      <c r="AN202" s="82"/>
      <c r="AO202" s="82">
        <f>'izvršenje PO IZVORIMA-detaljno'!AO202</f>
        <v>0</v>
      </c>
      <c r="AP202" s="82">
        <f t="shared" si="701"/>
        <v>0</v>
      </c>
      <c r="AQ202" s="252">
        <f t="shared" si="692"/>
        <v>0</v>
      </c>
      <c r="AR202" s="82">
        <f>'izvršenje PO IZVORIMA-detaljno'!AQ202</f>
        <v>0</v>
      </c>
      <c r="AS202" s="82">
        <f>'izvršenje PO IZVORIMA-detaljno'!AR202</f>
        <v>0</v>
      </c>
      <c r="AT202" s="82">
        <f t="shared" ref="AT202" si="705">AT200+AT201</f>
        <v>0</v>
      </c>
      <c r="AU202" s="252">
        <f t="shared" si="694"/>
        <v>0</v>
      </c>
      <c r="AV202" s="82">
        <f t="shared" ref="AV202:AX202" si="706">AV200+AV201</f>
        <v>0</v>
      </c>
      <c r="AW202" s="83">
        <f t="shared" si="706"/>
        <v>0</v>
      </c>
      <c r="AX202" s="407">
        <f t="shared" si="706"/>
        <v>0</v>
      </c>
      <c r="AY202" s="83">
        <f t="shared" ref="AY202:AZ202" si="707">AY200+AY201</f>
        <v>0</v>
      </c>
      <c r="AZ202" s="112">
        <f t="shared" si="707"/>
        <v>0</v>
      </c>
      <c r="BA202" s="407">
        <f t="shared" ref="BA202:BB202" si="708">BA200+BA201</f>
        <v>0</v>
      </c>
      <c r="BB202" s="83">
        <f t="shared" si="708"/>
        <v>0</v>
      </c>
      <c r="BC202" s="411">
        <f>AV202+AS202+AO202+AK202+AG202+AC202+Y202+V202+S202+O202+L202+I202</f>
        <v>0</v>
      </c>
      <c r="BD202" s="83">
        <f t="shared" ref="BD202" si="709">BD200+BD201</f>
        <v>0</v>
      </c>
      <c r="BE202" s="76">
        <v>426</v>
      </c>
      <c r="BF202" s="522"/>
      <c r="BG202" s="493"/>
      <c r="BH202" s="493"/>
      <c r="BI202" s="530"/>
      <c r="BJ202" s="493"/>
      <c r="BK202" s="493"/>
      <c r="BL202" s="493"/>
      <c r="BM202" s="493"/>
    </row>
    <row r="203" spans="1:65" s="2" customFormat="1" ht="15.75" thickBot="1" x14ac:dyDescent="0.3">
      <c r="A203" s="77">
        <v>451111</v>
      </c>
      <c r="B203" s="502" t="s">
        <v>184</v>
      </c>
      <c r="C203" s="75">
        <f t="shared" si="680"/>
        <v>2108748.0284026805</v>
      </c>
      <c r="D203" s="71"/>
      <c r="E203" s="122">
        <f>BD203</f>
        <v>0</v>
      </c>
      <c r="F203" s="246">
        <f t="shared" si="470"/>
        <v>0</v>
      </c>
      <c r="G203" s="247">
        <f t="shared" si="471"/>
        <v>0</v>
      </c>
      <c r="H203" s="125"/>
      <c r="I203" s="125"/>
      <c r="J203" s="60"/>
      <c r="K203" s="1292">
        <f t="shared" si="620"/>
        <v>0</v>
      </c>
      <c r="L203" s="59"/>
      <c r="M203" s="60"/>
      <c r="N203" s="1333">
        <f>'izvršenje PO IZVORIMA-detaljno'!V203</f>
        <v>67594.947242683658</v>
      </c>
      <c r="O203" s="1328"/>
      <c r="P203" s="1330">
        <f>'izvršenje PO IZVORIMA-detaljno'!X203</f>
        <v>0</v>
      </c>
      <c r="Q203" s="1325">
        <f t="shared" si="684"/>
        <v>0</v>
      </c>
      <c r="R203" s="1330">
        <f>'izvršenje PO IZVORIMA-detaljno'!Y203</f>
        <v>109805.62877430486</v>
      </c>
      <c r="S203" s="1328"/>
      <c r="T203" s="1330">
        <f>'izvršenje PO IZVORIMA-detaljno'!AA203</f>
        <v>0</v>
      </c>
      <c r="U203" s="1325">
        <f t="shared" si="686"/>
        <v>0</v>
      </c>
      <c r="V203" s="1328"/>
      <c r="W203" s="1329"/>
      <c r="X203" s="1307"/>
      <c r="Y203" s="1307"/>
      <c r="Z203" s="1329"/>
      <c r="AA203" s="1325">
        <f t="shared" si="687"/>
        <v>0</v>
      </c>
      <c r="AB203" s="1428">
        <f>'izvršenje PO IZVORIMA-detaljno'!F203+'izvršenje PO IZVORIMA-detaljno'!L203</f>
        <v>1931347.4523856922</v>
      </c>
      <c r="AC203" s="1380"/>
      <c r="AD203" s="1372">
        <f>'izvršenje PO IZVORIMA-detaljno'!H203+'izvršenje PO IZVORIMA-detaljno'!N203</f>
        <v>0</v>
      </c>
      <c r="AE203" s="1371">
        <f t="shared" si="688"/>
        <v>0</v>
      </c>
      <c r="AF203" s="1380"/>
      <c r="AG203" s="1380"/>
      <c r="AH203" s="1381"/>
      <c r="AI203" s="1371">
        <f t="shared" si="689"/>
        <v>0</v>
      </c>
      <c r="AJ203" s="1380"/>
      <c r="AK203" s="1380"/>
      <c r="AL203" s="1381"/>
      <c r="AM203" s="1371">
        <f t="shared" si="691"/>
        <v>0</v>
      </c>
      <c r="AN203" s="1380"/>
      <c r="AO203" s="1380"/>
      <c r="AP203" s="1381"/>
      <c r="AQ203" s="1371">
        <f t="shared" si="692"/>
        <v>0</v>
      </c>
      <c r="AR203" s="1380"/>
      <c r="AS203" s="1380"/>
      <c r="AT203" s="1381"/>
      <c r="AU203" s="1371">
        <f t="shared" si="694"/>
        <v>0</v>
      </c>
      <c r="AV203" s="1380"/>
      <c r="AW203" s="1382"/>
      <c r="AX203" s="1437"/>
      <c r="AY203" s="1403"/>
      <c r="AZ203" s="1450"/>
      <c r="BA203" s="208"/>
      <c r="BB203" s="210"/>
      <c r="BC203" s="61"/>
      <c r="BD203" s="126">
        <f>J203+M203+P203+T203+W203+Z203+AD203+AH203+AL203+AP203+AT203+AW203</f>
        <v>0</v>
      </c>
      <c r="BE203" s="77">
        <v>451111</v>
      </c>
      <c r="BF203" s="254"/>
      <c r="BG203" s="489"/>
      <c r="BH203" s="489"/>
      <c r="BI203" s="529"/>
      <c r="BJ203" s="486"/>
      <c r="BK203" s="486"/>
      <c r="BL203" s="486"/>
      <c r="BM203" s="486"/>
    </row>
    <row r="204" spans="1:65" s="24" customFormat="1" ht="15.75" thickBot="1" x14ac:dyDescent="0.3">
      <c r="A204" s="76">
        <v>451</v>
      </c>
      <c r="B204" s="505" t="s">
        <v>184</v>
      </c>
      <c r="C204" s="82">
        <f>SUM(C203)</f>
        <v>2108748.0284026805</v>
      </c>
      <c r="D204" s="82">
        <f>BC204</f>
        <v>0</v>
      </c>
      <c r="E204" s="83">
        <f>E203</f>
        <v>0</v>
      </c>
      <c r="F204" s="253">
        <f t="shared" si="470"/>
        <v>0</v>
      </c>
      <c r="G204" s="252">
        <f t="shared" si="471"/>
        <v>0</v>
      </c>
      <c r="H204" s="411">
        <f t="shared" ref="H204" si="710">H203</f>
        <v>0</v>
      </c>
      <c r="I204" s="115">
        <f t="shared" ref="I204:AP204" si="711">I203</f>
        <v>0</v>
      </c>
      <c r="J204" s="82">
        <f t="shared" si="711"/>
        <v>0</v>
      </c>
      <c r="K204" s="252">
        <f t="shared" si="620"/>
        <v>0</v>
      </c>
      <c r="L204" s="82">
        <f t="shared" si="711"/>
        <v>0</v>
      </c>
      <c r="M204" s="112">
        <f t="shared" si="711"/>
        <v>0</v>
      </c>
      <c r="N204" s="417">
        <f>SUM(N203)</f>
        <v>67594.947242683658</v>
      </c>
      <c r="O204" s="82">
        <f>'izvršenje PO IZVORIMA-detaljno'!W204</f>
        <v>0</v>
      </c>
      <c r="P204" s="82">
        <f t="shared" si="711"/>
        <v>0</v>
      </c>
      <c r="Q204" s="252">
        <f t="shared" si="684"/>
        <v>0</v>
      </c>
      <c r="R204" s="82">
        <f>'izvršenje PO IZVORIMA-detaljno'!Y204</f>
        <v>109805.62877430486</v>
      </c>
      <c r="S204" s="82">
        <f>'izvršenje PO IZVORIMA-detaljno'!Z204</f>
        <v>0</v>
      </c>
      <c r="T204" s="82">
        <f t="shared" si="711"/>
        <v>0</v>
      </c>
      <c r="U204" s="252">
        <f t="shared" si="686"/>
        <v>0</v>
      </c>
      <c r="V204" s="82">
        <f t="shared" si="711"/>
        <v>0</v>
      </c>
      <c r="W204" s="82">
        <f t="shared" si="711"/>
        <v>0</v>
      </c>
      <c r="X204" s="82">
        <f>'izvršenje PO IZVORIMA-detaljno'!AH204+'izvršenje PO IZVORIMA-detaljno'!AK204+'izvršenje PO IZVORIMA-detaljno'!AA204</f>
        <v>0</v>
      </c>
      <c r="Y204" s="82">
        <f>'izvršenje PO IZVORIMA-detaljno'!AI204+'izvršenje PO IZVORIMA-detaljno'!AL204+'izvršenje PO IZVORIMA-detaljno'!AB204</f>
        <v>0</v>
      </c>
      <c r="Z204" s="112">
        <f t="shared" si="711"/>
        <v>0</v>
      </c>
      <c r="AA204" s="252">
        <f t="shared" si="687"/>
        <v>0</v>
      </c>
      <c r="AB204" s="417">
        <f>SUM(AB203)</f>
        <v>1931347.4523856922</v>
      </c>
      <c r="AC204" s="417">
        <f>'izvršenje PO IZVORIMA-detaljno'!G204+'izvršenje PO IZVORIMA-detaljno'!M204</f>
        <v>0</v>
      </c>
      <c r="AD204" s="82">
        <f t="shared" si="711"/>
        <v>0</v>
      </c>
      <c r="AE204" s="252">
        <f t="shared" si="688"/>
        <v>0</v>
      </c>
      <c r="AF204" s="108"/>
      <c r="AG204" s="108">
        <f>'izvršenje PO IZVORIMA-detaljno'!J204+'izvršenje PO IZVORIMA-detaljno'!P204</f>
        <v>0</v>
      </c>
      <c r="AH204" s="82">
        <f t="shared" si="711"/>
        <v>0</v>
      </c>
      <c r="AI204" s="252">
        <f t="shared" si="689"/>
        <v>0</v>
      </c>
      <c r="AJ204" s="82">
        <f t="shared" ref="AJ204" si="712">AJ203</f>
        <v>0</v>
      </c>
      <c r="AK204" s="82">
        <f t="shared" si="711"/>
        <v>0</v>
      </c>
      <c r="AL204" s="82">
        <f t="shared" si="711"/>
        <v>0</v>
      </c>
      <c r="AM204" s="252">
        <f t="shared" si="691"/>
        <v>0</v>
      </c>
      <c r="AN204" s="82"/>
      <c r="AO204" s="82">
        <f>'izvršenje PO IZVORIMA-detaljno'!AO204</f>
        <v>0</v>
      </c>
      <c r="AP204" s="82">
        <f t="shared" si="711"/>
        <v>0</v>
      </c>
      <c r="AQ204" s="252">
        <f t="shared" si="692"/>
        <v>0</v>
      </c>
      <c r="AR204" s="82">
        <f>'izvršenje PO IZVORIMA-detaljno'!AQ204</f>
        <v>0</v>
      </c>
      <c r="AS204" s="82">
        <f>'izvršenje PO IZVORIMA-detaljno'!AR204</f>
        <v>0</v>
      </c>
      <c r="AT204" s="82">
        <f t="shared" ref="AT204" si="713">AT203</f>
        <v>0</v>
      </c>
      <c r="AU204" s="252">
        <f t="shared" si="694"/>
        <v>0</v>
      </c>
      <c r="AV204" s="82">
        <f t="shared" ref="AV204:AX204" si="714">AV203</f>
        <v>0</v>
      </c>
      <c r="AW204" s="83">
        <f t="shared" si="714"/>
        <v>0</v>
      </c>
      <c r="AX204" s="407">
        <f t="shared" si="714"/>
        <v>0</v>
      </c>
      <c r="AY204" s="83">
        <f t="shared" ref="AY204:AZ204" si="715">AY203</f>
        <v>0</v>
      </c>
      <c r="AZ204" s="112">
        <f t="shared" si="715"/>
        <v>0</v>
      </c>
      <c r="BA204" s="407">
        <f t="shared" ref="BA204:BB204" si="716">BA203</f>
        <v>0</v>
      </c>
      <c r="BB204" s="83">
        <f t="shared" si="716"/>
        <v>0</v>
      </c>
      <c r="BC204" s="411">
        <f>AV204+AS204+AO204+AK204+AG204+AC204+Y204+V204+S204+O204+L204+I204</f>
        <v>0</v>
      </c>
      <c r="BD204" s="83">
        <f>BD203</f>
        <v>0</v>
      </c>
      <c r="BE204" s="76">
        <v>451</v>
      </c>
      <c r="BF204" s="522"/>
      <c r="BG204" s="489"/>
      <c r="BH204" s="489"/>
      <c r="BI204" s="529"/>
      <c r="BJ204" s="489"/>
      <c r="BK204" s="489"/>
      <c r="BL204" s="489"/>
      <c r="BM204" s="489"/>
    </row>
    <row r="205" spans="1:65" s="22" customFormat="1" ht="15.75" thickBot="1" x14ac:dyDescent="0.3">
      <c r="A205" s="76">
        <v>4</v>
      </c>
      <c r="B205" s="505" t="s">
        <v>120</v>
      </c>
      <c r="C205" s="83">
        <f>C197+C199+C202+C204+C179</f>
        <v>2179856.089986064</v>
      </c>
      <c r="D205" s="82">
        <f>D197+D199+D202+D204+D179</f>
        <v>1973613</v>
      </c>
      <c r="E205" s="83">
        <f>E197+E199+E202+E204+E179</f>
        <v>1963285.75</v>
      </c>
      <c r="F205" s="253">
        <f t="shared" si="470"/>
        <v>90.064924882841751</v>
      </c>
      <c r="G205" s="252">
        <f t="shared" si="471"/>
        <v>99.476733787221704</v>
      </c>
      <c r="H205" s="411">
        <f t="shared" ref="H205" si="717">H197+H199+H202+H204+H179</f>
        <v>597.25263786581718</v>
      </c>
      <c r="I205" s="115">
        <f>I197+I199+I202+I204+I179</f>
        <v>2827</v>
      </c>
      <c r="J205" s="115">
        <f>J197+J199+J202+J204+J179</f>
        <v>1779.14</v>
      </c>
      <c r="K205" s="252">
        <f t="shared" si="620"/>
        <v>62.933852140077832</v>
      </c>
      <c r="L205" s="115">
        <f t="shared" ref="L205:BB205" si="718">L197+L199+L202+L204+L179</f>
        <v>0</v>
      </c>
      <c r="M205" s="1488">
        <f t="shared" si="718"/>
        <v>0</v>
      </c>
      <c r="N205" s="417">
        <f t="shared" ref="N205" si="719">N197+N199+N202+N204+N179</f>
        <v>68489.671511049179</v>
      </c>
      <c r="O205" s="115">
        <f t="shared" si="718"/>
        <v>1747</v>
      </c>
      <c r="P205" s="115">
        <f>P197+P199+P202+P204+P179</f>
        <v>1746.2099999999998</v>
      </c>
      <c r="Q205" s="252">
        <f t="shared" si="684"/>
        <v>99.954779622209486</v>
      </c>
      <c r="R205" s="115">
        <f>R197+R199+R202+R204+R179</f>
        <v>109805.62877430486</v>
      </c>
      <c r="S205" s="115">
        <f>S197+S199+S202+S204+S179</f>
        <v>146400</v>
      </c>
      <c r="T205" s="115">
        <f t="shared" si="718"/>
        <v>141247.88999999998</v>
      </c>
      <c r="U205" s="252">
        <f t="shared" si="686"/>
        <v>96.480799180327864</v>
      </c>
      <c r="V205" s="115">
        <f t="shared" si="718"/>
        <v>0</v>
      </c>
      <c r="W205" s="115">
        <f t="shared" si="718"/>
        <v>0</v>
      </c>
      <c r="X205" s="115">
        <f t="shared" ref="X205" si="720">X197+X199+X202+X204+X179</f>
        <v>0</v>
      </c>
      <c r="Y205" s="115">
        <f t="shared" si="718"/>
        <v>0</v>
      </c>
      <c r="Z205" s="115">
        <f t="shared" si="718"/>
        <v>0</v>
      </c>
      <c r="AA205" s="252">
        <f t="shared" si="687"/>
        <v>0</v>
      </c>
      <c r="AB205" s="417">
        <f t="shared" ref="AB205" si="721">AB197+AB199+AB202+AB204+AB179</f>
        <v>1931347.4523856922</v>
      </c>
      <c r="AC205" s="115">
        <f>AC197+AC199+AC202+AC204+AC179</f>
        <v>1521745</v>
      </c>
      <c r="AD205" s="115">
        <f>AD197+AD199+AD202+AD204+AD179</f>
        <v>1521738.0700000003</v>
      </c>
      <c r="AE205" s="252">
        <f t="shared" si="688"/>
        <v>99.999544601756554</v>
      </c>
      <c r="AF205" s="115">
        <f t="shared" si="718"/>
        <v>68887.11925144335</v>
      </c>
      <c r="AG205" s="115">
        <f t="shared" si="718"/>
        <v>297200</v>
      </c>
      <c r="AH205" s="115">
        <f t="shared" si="718"/>
        <v>295455.75</v>
      </c>
      <c r="AI205" s="252">
        <f t="shared" si="689"/>
        <v>99.413105652759086</v>
      </c>
      <c r="AJ205" s="115">
        <f t="shared" ref="AJ205" si="722">AJ197+AJ199+AJ202+AJ204+AJ179</f>
        <v>0</v>
      </c>
      <c r="AK205" s="115">
        <f t="shared" si="718"/>
        <v>0</v>
      </c>
      <c r="AL205" s="115">
        <f t="shared" si="718"/>
        <v>0</v>
      </c>
      <c r="AM205" s="252">
        <f t="shared" si="691"/>
        <v>0</v>
      </c>
      <c r="AN205" s="115">
        <f t="shared" ref="AN205" si="723">AN197+AN199+AN202+AN204+AN179</f>
        <v>728.96542570840802</v>
      </c>
      <c r="AO205" s="115">
        <f t="shared" si="718"/>
        <v>2500</v>
      </c>
      <c r="AP205" s="115">
        <f>AP197+AP199+AP202+AP204+AP179</f>
        <v>1318.69</v>
      </c>
      <c r="AQ205" s="252">
        <f t="shared" si="692"/>
        <v>52.747600000000006</v>
      </c>
      <c r="AR205" s="115">
        <f t="shared" ref="AR205" si="724">AR197+AR199+AR202+AR204+AR179</f>
        <v>0</v>
      </c>
      <c r="AS205" s="115">
        <f t="shared" si="718"/>
        <v>1194</v>
      </c>
      <c r="AT205" s="115">
        <f t="shared" si="718"/>
        <v>0</v>
      </c>
      <c r="AU205" s="252">
        <f t="shared" si="694"/>
        <v>0</v>
      </c>
      <c r="AV205" s="115">
        <f t="shared" si="718"/>
        <v>0</v>
      </c>
      <c r="AW205" s="411">
        <f t="shared" si="718"/>
        <v>0</v>
      </c>
      <c r="AX205" s="417">
        <f t="shared" ref="AX205" si="725">AX197+AX199+AX202+AX204+AX179</f>
        <v>0</v>
      </c>
      <c r="AY205" s="115">
        <f t="shared" si="718"/>
        <v>0</v>
      </c>
      <c r="AZ205" s="1488">
        <f t="shared" si="718"/>
        <v>0</v>
      </c>
      <c r="BA205" s="417">
        <f>BA197+BA199+BA202+BA204+BA179</f>
        <v>0</v>
      </c>
      <c r="BB205" s="411">
        <f t="shared" si="718"/>
        <v>0</v>
      </c>
      <c r="BC205" s="115">
        <f>BC197+BC199+BC202+BC204+BC179</f>
        <v>1973613</v>
      </c>
      <c r="BD205" s="115">
        <f>BD197+BD199+BD202+BD204+BD179</f>
        <v>1963285.75</v>
      </c>
      <c r="BE205" s="76">
        <v>4</v>
      </c>
      <c r="BF205" s="522"/>
      <c r="BG205" s="484"/>
      <c r="BH205" s="484"/>
      <c r="BI205" s="527"/>
      <c r="BJ205" s="484"/>
      <c r="BK205" s="484"/>
      <c r="BL205" s="484"/>
      <c r="BM205" s="484"/>
    </row>
    <row r="206" spans="1:65" s="1624" customFormat="1" ht="15.75" thickBot="1" x14ac:dyDescent="0.3">
      <c r="A206" s="1619"/>
      <c r="B206" s="1620" t="s">
        <v>119</v>
      </c>
      <c r="C206" s="1594">
        <f>C205+C176</f>
        <v>4225007.2241024617</v>
      </c>
      <c r="D206" s="1594">
        <f>D205+D176</f>
        <v>4980801</v>
      </c>
      <c r="E206" s="1601">
        <f t="shared" ref="E206" si="726">E205+E176</f>
        <v>4387882.21</v>
      </c>
      <c r="F206" s="1595">
        <f t="shared" ref="F206:F210" si="727">IF(C206&lt;&gt;0,E206/C206*100,0)</f>
        <v>103.85502266051483</v>
      </c>
      <c r="G206" s="1596">
        <f t="shared" ref="G206:G213" si="728">IF(D206&lt;&gt;0,E206/D206*100,0)</f>
        <v>88.095914894010022</v>
      </c>
      <c r="H206" s="1597">
        <f t="shared" ref="H206" si="729">H205+H176</f>
        <v>893128.45178843976</v>
      </c>
      <c r="I206" s="1598">
        <f>I205+I176</f>
        <v>1133558</v>
      </c>
      <c r="J206" s="1598">
        <f t="shared" ref="J206:BD206" si="730">J205+J176</f>
        <v>1041246.0200000003</v>
      </c>
      <c r="K206" s="1596">
        <f t="shared" si="620"/>
        <v>91.856439635201752</v>
      </c>
      <c r="L206" s="1598">
        <f t="shared" si="730"/>
        <v>0</v>
      </c>
      <c r="M206" s="1621">
        <f t="shared" si="730"/>
        <v>0</v>
      </c>
      <c r="N206" s="1600">
        <f t="shared" ref="N206" si="731">N205+N176</f>
        <v>161942.68100072996</v>
      </c>
      <c r="O206" s="1598">
        <f t="shared" si="730"/>
        <v>115178</v>
      </c>
      <c r="P206" s="1598">
        <f t="shared" si="730"/>
        <v>115177.31999999999</v>
      </c>
      <c r="Q206" s="1596">
        <f t="shared" si="684"/>
        <v>99.999409609474014</v>
      </c>
      <c r="R206" s="1598">
        <f>R205+R176</f>
        <v>114977.64018846638</v>
      </c>
      <c r="S206" s="1598">
        <f>S205+S176</f>
        <v>165535</v>
      </c>
      <c r="T206" s="1598">
        <f t="shared" si="730"/>
        <v>160423.87999999998</v>
      </c>
      <c r="U206" s="1596">
        <f t="shared" si="686"/>
        <v>96.912362944392399</v>
      </c>
      <c r="V206" s="1598">
        <f t="shared" si="730"/>
        <v>0</v>
      </c>
      <c r="W206" s="1598">
        <f t="shared" si="730"/>
        <v>0</v>
      </c>
      <c r="X206" s="1598">
        <f>X205+X176</f>
        <v>589.28926936093967</v>
      </c>
      <c r="Y206" s="1598">
        <f t="shared" si="730"/>
        <v>5160</v>
      </c>
      <c r="Z206" s="1598">
        <f t="shared" si="730"/>
        <v>2837.79</v>
      </c>
      <c r="AA206" s="1596">
        <f t="shared" si="687"/>
        <v>54.995930232558145</v>
      </c>
      <c r="AB206" s="1600">
        <f>AB205+AB176</f>
        <v>1974445.4389806886</v>
      </c>
      <c r="AC206" s="1598">
        <f t="shared" si="730"/>
        <v>1545978</v>
      </c>
      <c r="AD206" s="1598">
        <f t="shared" si="730"/>
        <v>1584807.2600000002</v>
      </c>
      <c r="AE206" s="1596">
        <f t="shared" si="688"/>
        <v>102.51163082527697</v>
      </c>
      <c r="AF206" s="1598">
        <f>AF205+AF176</f>
        <v>1054283.5569712655</v>
      </c>
      <c r="AG206" s="1598">
        <f t="shared" si="730"/>
        <v>1881868</v>
      </c>
      <c r="AH206" s="1598">
        <f t="shared" si="730"/>
        <v>1413040.32</v>
      </c>
      <c r="AI206" s="1596">
        <f t="shared" si="689"/>
        <v>75.087111317053058</v>
      </c>
      <c r="AJ206" s="1598">
        <f t="shared" ref="AJ206" si="732">AJ205+AJ176</f>
        <v>5688.4995686508719</v>
      </c>
      <c r="AK206" s="1598">
        <f t="shared" si="730"/>
        <v>101272</v>
      </c>
      <c r="AL206" s="1598">
        <f t="shared" si="730"/>
        <v>49604.58</v>
      </c>
      <c r="AM206" s="1596">
        <f t="shared" si="691"/>
        <v>48.981534876372542</v>
      </c>
      <c r="AN206" s="1598">
        <f t="shared" ref="AN206" si="733">AN205+AN176</f>
        <v>18878.752405600902</v>
      </c>
      <c r="AO206" s="1598">
        <f t="shared" si="730"/>
        <v>30527</v>
      </c>
      <c r="AP206" s="1598">
        <f t="shared" si="730"/>
        <v>20517.34</v>
      </c>
      <c r="AQ206" s="1596">
        <f t="shared" si="692"/>
        <v>67.210469420512993</v>
      </c>
      <c r="AR206" s="1598">
        <f t="shared" ref="AR206" si="734">AR205+AR176</f>
        <v>0</v>
      </c>
      <c r="AS206" s="1598">
        <f t="shared" si="730"/>
        <v>1725</v>
      </c>
      <c r="AT206" s="1598">
        <f t="shared" si="730"/>
        <v>227.7</v>
      </c>
      <c r="AU206" s="1596">
        <f t="shared" si="694"/>
        <v>13.200000000000001</v>
      </c>
      <c r="AV206" s="1598">
        <f t="shared" si="730"/>
        <v>0</v>
      </c>
      <c r="AW206" s="1597">
        <f t="shared" si="730"/>
        <v>0</v>
      </c>
      <c r="AX206" s="1600">
        <f t="shared" ref="AX206" si="735">AX205+AX176</f>
        <v>1072.9139292587431</v>
      </c>
      <c r="AY206" s="1598">
        <f t="shared" si="730"/>
        <v>0</v>
      </c>
      <c r="AZ206" s="1621">
        <f t="shared" si="730"/>
        <v>0</v>
      </c>
      <c r="BA206" s="1600">
        <f t="shared" si="730"/>
        <v>0</v>
      </c>
      <c r="BB206" s="1597">
        <f t="shared" si="730"/>
        <v>0</v>
      </c>
      <c r="BC206" s="1598">
        <f>BC205+BC176</f>
        <v>4980801</v>
      </c>
      <c r="BD206" s="1598">
        <f t="shared" si="730"/>
        <v>4387882.21</v>
      </c>
      <c r="BE206" s="1619"/>
      <c r="BF206" s="1604"/>
      <c r="BG206" s="1622"/>
      <c r="BH206" s="1622"/>
      <c r="BI206" s="1623"/>
      <c r="BJ206" s="1622"/>
      <c r="BK206" s="1622"/>
      <c r="BL206" s="1622"/>
      <c r="BM206" s="1622"/>
    </row>
    <row r="207" spans="1:65" ht="15.75" thickBot="1" x14ac:dyDescent="0.3">
      <c r="A207" s="62"/>
      <c r="B207" s="502"/>
      <c r="C207" s="273"/>
      <c r="D207" s="71"/>
      <c r="E207" s="121"/>
      <c r="F207" s="246">
        <f t="shared" si="727"/>
        <v>0</v>
      </c>
      <c r="G207" s="247">
        <f t="shared" si="728"/>
        <v>0</v>
      </c>
      <c r="H207" s="178"/>
      <c r="I207" s="124"/>
      <c r="J207" s="51"/>
      <c r="K207" s="247">
        <f t="shared" si="620"/>
        <v>0</v>
      </c>
      <c r="L207" s="52"/>
      <c r="M207" s="51"/>
      <c r="N207" s="180"/>
      <c r="O207" s="53"/>
      <c r="P207" s="54"/>
      <c r="Q207" s="247">
        <f t="shared" si="684"/>
        <v>0</v>
      </c>
      <c r="R207" s="180"/>
      <c r="S207" s="53"/>
      <c r="T207" s="54"/>
      <c r="U207" s="247">
        <f t="shared" si="686"/>
        <v>0</v>
      </c>
      <c r="V207" s="53"/>
      <c r="W207" s="54"/>
      <c r="X207" s="180"/>
      <c r="Y207" s="53"/>
      <c r="Z207" s="54"/>
      <c r="AA207" s="247">
        <f t="shared" si="687"/>
        <v>0</v>
      </c>
      <c r="AB207" s="180"/>
      <c r="AC207" s="55"/>
      <c r="AD207" s="56"/>
      <c r="AE207" s="247">
        <f t="shared" si="688"/>
        <v>0</v>
      </c>
      <c r="AF207" s="180"/>
      <c r="AG207" s="55"/>
      <c r="AH207" s="56"/>
      <c r="AI207" s="247">
        <f t="shared" si="689"/>
        <v>0</v>
      </c>
      <c r="AJ207" s="180"/>
      <c r="AK207" s="55"/>
      <c r="AL207" s="56"/>
      <c r="AM207" s="247">
        <f t="shared" si="691"/>
        <v>0</v>
      </c>
      <c r="AN207" s="180"/>
      <c r="AO207" s="55"/>
      <c r="AP207" s="56"/>
      <c r="AQ207" s="247">
        <f t="shared" si="692"/>
        <v>0</v>
      </c>
      <c r="AR207" s="180"/>
      <c r="AS207" s="55"/>
      <c r="AT207" s="56"/>
      <c r="AU207" s="247">
        <f t="shared" si="694"/>
        <v>0</v>
      </c>
      <c r="AV207" s="55"/>
      <c r="AW207" s="57"/>
      <c r="AX207" s="180"/>
      <c r="AY207" s="194"/>
      <c r="AZ207" s="1345"/>
      <c r="BA207" s="180"/>
      <c r="BB207" s="178"/>
      <c r="BC207" s="57"/>
      <c r="BD207" s="57"/>
      <c r="BE207" s="62"/>
      <c r="BG207" s="484"/>
      <c r="BH207" s="484"/>
      <c r="BI207" s="527"/>
    </row>
    <row r="208" spans="1:65" ht="15.75" thickBot="1" x14ac:dyDescent="0.3">
      <c r="A208" s="99"/>
      <c r="B208" s="1516" t="s">
        <v>486</v>
      </c>
      <c r="C208" s="1517">
        <f>C35</f>
        <v>3920110.8500895882</v>
      </c>
      <c r="D208" s="1517">
        <f>D35</f>
        <v>5074649</v>
      </c>
      <c r="E208" s="1518">
        <f>E35</f>
        <v>5162360.45</v>
      </c>
      <c r="F208" s="1519">
        <f t="shared" si="727"/>
        <v>131.68914470574276</v>
      </c>
      <c r="G208" s="1520">
        <f>IF(D208&lt;&gt;0,E208/D208*100,0)</f>
        <v>101.7284239757272</v>
      </c>
      <c r="H208" s="1525">
        <f>H35</f>
        <v>890737.37076116516</v>
      </c>
      <c r="I208" s="1521">
        <f t="shared" ref="I208:AZ208" si="736">I35</f>
        <v>1133558</v>
      </c>
      <c r="J208" s="1517">
        <f t="shared" si="736"/>
        <v>1054392.9300000002</v>
      </c>
      <c r="K208" s="1520">
        <f t="shared" si="620"/>
        <v>93.01623119416918</v>
      </c>
      <c r="L208" s="1517">
        <f t="shared" si="736"/>
        <v>0</v>
      </c>
      <c r="M208" s="1517">
        <f t="shared" si="736"/>
        <v>0</v>
      </c>
      <c r="N208" s="1517">
        <f>N35</f>
        <v>169061.62319994689</v>
      </c>
      <c r="O208" s="1517">
        <f>O35</f>
        <v>115178</v>
      </c>
      <c r="P208" s="1517">
        <f t="shared" si="736"/>
        <v>115177.99999999999</v>
      </c>
      <c r="Q208" s="1520">
        <f t="shared" si="684"/>
        <v>99.999999999999986</v>
      </c>
      <c r="R208" s="1517">
        <f t="shared" ref="R208" si="737">R35</f>
        <v>99542.106310969539</v>
      </c>
      <c r="S208" s="1517">
        <f t="shared" si="736"/>
        <v>165535</v>
      </c>
      <c r="T208" s="1517">
        <f t="shared" si="736"/>
        <v>180801.96999999997</v>
      </c>
      <c r="U208" s="1520">
        <f t="shared" si="686"/>
        <v>109.22280484489684</v>
      </c>
      <c r="V208" s="1517">
        <f t="shared" si="736"/>
        <v>0</v>
      </c>
      <c r="W208" s="1517">
        <f t="shared" si="736"/>
        <v>0</v>
      </c>
      <c r="X208" s="1517">
        <f t="shared" ref="X208" si="738">X35</f>
        <v>589.28926936093967</v>
      </c>
      <c r="Y208" s="1517">
        <f t="shared" si="736"/>
        <v>5160</v>
      </c>
      <c r="Z208" s="1522">
        <f t="shared" si="736"/>
        <v>2837.79</v>
      </c>
      <c r="AA208" s="1520">
        <f t="shared" si="687"/>
        <v>54.995930232558145</v>
      </c>
      <c r="AB208" s="1523">
        <f t="shared" ref="AB208" si="739">AB35</f>
        <v>1559145.6460282698</v>
      </c>
      <c r="AC208" s="1523">
        <f t="shared" si="736"/>
        <v>179875</v>
      </c>
      <c r="AD208" s="1517">
        <f t="shared" si="736"/>
        <v>944335.94000000006</v>
      </c>
      <c r="AE208" s="1520">
        <f t="shared" si="688"/>
        <v>524.99565809590001</v>
      </c>
      <c r="AF208" s="1517">
        <f t="shared" ref="AF208" si="740">AF35</f>
        <v>1156714.6101267503</v>
      </c>
      <c r="AG208" s="1517">
        <f t="shared" si="736"/>
        <v>1881868</v>
      </c>
      <c r="AH208" s="1517">
        <f t="shared" si="736"/>
        <v>1130527.06</v>
      </c>
      <c r="AI208" s="1520">
        <f t="shared" si="689"/>
        <v>60.074726813995461</v>
      </c>
      <c r="AJ208" s="1517">
        <f t="shared" ref="AJ208" si="741">AJ35</f>
        <v>21184.264383834361</v>
      </c>
      <c r="AK208" s="1517">
        <f t="shared" si="736"/>
        <v>101272</v>
      </c>
      <c r="AL208" s="1517">
        <f t="shared" si="736"/>
        <v>79520.800000000003</v>
      </c>
      <c r="AM208" s="1520">
        <f t="shared" si="691"/>
        <v>78.522000157990362</v>
      </c>
      <c r="AN208" s="1517">
        <f t="shared" ref="AN208" si="742">AN35</f>
        <v>21824.125024885525</v>
      </c>
      <c r="AO208" s="1517">
        <f t="shared" si="736"/>
        <v>30527</v>
      </c>
      <c r="AP208" s="1517">
        <f t="shared" si="736"/>
        <v>19523.099999999999</v>
      </c>
      <c r="AQ208" s="1520">
        <f t="shared" si="692"/>
        <v>63.953549316998057</v>
      </c>
      <c r="AR208" s="1517">
        <f t="shared" ref="AR208" si="743">AR35</f>
        <v>238.90105514632688</v>
      </c>
      <c r="AS208" s="1517">
        <f t="shared" si="736"/>
        <v>1725</v>
      </c>
      <c r="AT208" s="1517">
        <f t="shared" si="736"/>
        <v>250</v>
      </c>
      <c r="AU208" s="1520">
        <f t="shared" si="694"/>
        <v>14.492753623188406</v>
      </c>
      <c r="AV208" s="1517">
        <f t="shared" si="736"/>
        <v>0</v>
      </c>
      <c r="AW208" s="1518">
        <f t="shared" si="736"/>
        <v>0</v>
      </c>
      <c r="AX208" s="1524">
        <f t="shared" ref="AX208" si="744">AX35</f>
        <v>1072.9139292587429</v>
      </c>
      <c r="AY208" s="1518">
        <f t="shared" si="736"/>
        <v>0</v>
      </c>
      <c r="AZ208" s="1522">
        <f t="shared" si="736"/>
        <v>0</v>
      </c>
      <c r="BA208" s="1524">
        <f t="shared" ref="BA208:BB208" si="745">BA35</f>
        <v>1459951</v>
      </c>
      <c r="BB208" s="1518">
        <f t="shared" si="745"/>
        <v>1634992.86</v>
      </c>
      <c r="BC208" s="1525">
        <f>BC35</f>
        <v>5074649</v>
      </c>
      <c r="BD208" s="1518">
        <f>BD35</f>
        <v>5162360.45</v>
      </c>
      <c r="BE208" s="99"/>
      <c r="BF208" s="522"/>
      <c r="BG208" s="484"/>
      <c r="BH208" s="484"/>
      <c r="BI208" s="527"/>
    </row>
    <row r="209" spans="1:65" s="2" customFormat="1" ht="15.75" thickBot="1" x14ac:dyDescent="0.3">
      <c r="A209" s="99"/>
      <c r="B209" s="1526" t="str">
        <f>B206</f>
        <v>R A S H O D I    UKUPNO</v>
      </c>
      <c r="C209" s="1527">
        <f>C206</f>
        <v>4225007.2241024617</v>
      </c>
      <c r="D209" s="1527">
        <f>D205+D176</f>
        <v>4980801</v>
      </c>
      <c r="E209" s="1528">
        <f t="shared" ref="E209" si="746">E206</f>
        <v>4387882.21</v>
      </c>
      <c r="F209" s="1534">
        <f t="shared" si="727"/>
        <v>103.85502266051483</v>
      </c>
      <c r="G209" s="1535">
        <f>IF(D209&lt;&gt;0,E209/D209*100,0)</f>
        <v>88.095914894010022</v>
      </c>
      <c r="H209" s="1533">
        <f t="shared" ref="H209" si="747">H206</f>
        <v>893128.45178843976</v>
      </c>
      <c r="I209" s="1529">
        <f t="shared" ref="I209:AO209" si="748">I206</f>
        <v>1133558</v>
      </c>
      <c r="J209" s="1527">
        <f t="shared" si="748"/>
        <v>1041246.0200000003</v>
      </c>
      <c r="K209" s="1535">
        <f t="shared" si="620"/>
        <v>91.856439635201752</v>
      </c>
      <c r="L209" s="1527">
        <f t="shared" si="748"/>
        <v>0</v>
      </c>
      <c r="M209" s="1527">
        <f t="shared" si="748"/>
        <v>0</v>
      </c>
      <c r="N209" s="1527">
        <f t="shared" ref="N209" si="749">N206</f>
        <v>161942.68100072996</v>
      </c>
      <c r="O209" s="1527">
        <f t="shared" si="748"/>
        <v>115178</v>
      </c>
      <c r="P209" s="1527">
        <f>P206</f>
        <v>115177.31999999999</v>
      </c>
      <c r="Q209" s="1535">
        <f t="shared" si="684"/>
        <v>99.999409609474014</v>
      </c>
      <c r="R209" s="1527">
        <f t="shared" ref="R209" si="750">R206</f>
        <v>114977.64018846638</v>
      </c>
      <c r="S209" s="1527">
        <f t="shared" si="748"/>
        <v>165535</v>
      </c>
      <c r="T209" s="1527">
        <f t="shared" si="748"/>
        <v>160423.87999999998</v>
      </c>
      <c r="U209" s="1535">
        <f t="shared" si="686"/>
        <v>96.912362944392399</v>
      </c>
      <c r="V209" s="1527">
        <f t="shared" si="748"/>
        <v>0</v>
      </c>
      <c r="W209" s="1527">
        <f t="shared" si="748"/>
        <v>0</v>
      </c>
      <c r="X209" s="1527">
        <f t="shared" ref="X209" si="751">X206</f>
        <v>589.28926936093967</v>
      </c>
      <c r="Y209" s="1527">
        <f t="shared" si="748"/>
        <v>5160</v>
      </c>
      <c r="Z209" s="1530">
        <f t="shared" si="748"/>
        <v>2837.79</v>
      </c>
      <c r="AA209" s="1535">
        <f t="shared" si="687"/>
        <v>54.995930232558145</v>
      </c>
      <c r="AB209" s="1531">
        <f t="shared" ref="AB209" si="752">AB206</f>
        <v>1974445.4389806886</v>
      </c>
      <c r="AC209" s="1531">
        <f t="shared" si="748"/>
        <v>1545978</v>
      </c>
      <c r="AD209" s="1527">
        <f>AD206</f>
        <v>1584807.2600000002</v>
      </c>
      <c r="AE209" s="1535">
        <f t="shared" si="688"/>
        <v>102.51163082527697</v>
      </c>
      <c r="AF209" s="1527">
        <f t="shared" ref="AF209" si="753">AF206</f>
        <v>1054283.5569712655</v>
      </c>
      <c r="AG209" s="1527">
        <f t="shared" si="748"/>
        <v>1881868</v>
      </c>
      <c r="AH209" s="1527">
        <f t="shared" si="748"/>
        <v>1413040.32</v>
      </c>
      <c r="AI209" s="1535">
        <f t="shared" si="689"/>
        <v>75.087111317053058</v>
      </c>
      <c r="AJ209" s="1527">
        <f t="shared" ref="AJ209" si="754">AJ206</f>
        <v>5688.4995686508719</v>
      </c>
      <c r="AK209" s="1527">
        <f t="shared" si="748"/>
        <v>101272</v>
      </c>
      <c r="AL209" s="1527">
        <f t="shared" si="748"/>
        <v>49604.58</v>
      </c>
      <c r="AM209" s="1535">
        <f t="shared" si="691"/>
        <v>48.981534876372542</v>
      </c>
      <c r="AN209" s="1527">
        <f t="shared" ref="AN209" si="755">AN206</f>
        <v>18878.752405600902</v>
      </c>
      <c r="AO209" s="1527">
        <f t="shared" si="748"/>
        <v>30527</v>
      </c>
      <c r="AP209" s="1527">
        <f>AP206</f>
        <v>20517.34</v>
      </c>
      <c r="AQ209" s="1535">
        <f t="shared" si="692"/>
        <v>67.210469420512993</v>
      </c>
      <c r="AR209" s="1527">
        <f t="shared" ref="AR209" si="756">AR206</f>
        <v>0</v>
      </c>
      <c r="AS209" s="1527">
        <f t="shared" ref="AS209:AT209" si="757">AS206</f>
        <v>1725</v>
      </c>
      <c r="AT209" s="1527">
        <f t="shared" si="757"/>
        <v>227.7</v>
      </c>
      <c r="AU209" s="1535">
        <f t="shared" si="694"/>
        <v>13.200000000000001</v>
      </c>
      <c r="AV209" s="1527">
        <f t="shared" ref="AV209:AX209" si="758">AV206</f>
        <v>0</v>
      </c>
      <c r="AW209" s="1528">
        <f t="shared" si="758"/>
        <v>0</v>
      </c>
      <c r="AX209" s="1532">
        <f t="shared" si="758"/>
        <v>1072.9139292587431</v>
      </c>
      <c r="AY209" s="1528">
        <f t="shared" ref="AY209:AZ209" si="759">AY206</f>
        <v>0</v>
      </c>
      <c r="AZ209" s="1530">
        <f t="shared" si="759"/>
        <v>0</v>
      </c>
      <c r="BA209" s="1532">
        <f t="shared" ref="BA209:BB209" si="760">BA206</f>
        <v>0</v>
      </c>
      <c r="BB209" s="1528">
        <f t="shared" si="760"/>
        <v>0</v>
      </c>
      <c r="BC209" s="1533">
        <f>BC206</f>
        <v>4980801</v>
      </c>
      <c r="BD209" s="1528">
        <f>BD206</f>
        <v>4387882.21</v>
      </c>
      <c r="BE209" s="99"/>
      <c r="BF209" s="522"/>
      <c r="BG209" s="489"/>
      <c r="BH209" s="489"/>
      <c r="BI209" s="529"/>
      <c r="BJ209" s="486"/>
      <c r="BK209" s="486"/>
      <c r="BL209" s="486"/>
      <c r="BM209" s="486"/>
    </row>
    <row r="210" spans="1:65" s="24" customFormat="1" ht="15.75" thickBot="1" x14ac:dyDescent="0.3">
      <c r="A210" s="1536"/>
      <c r="B210" s="1515" t="s">
        <v>121</v>
      </c>
      <c r="C210" s="82">
        <f>C208-C209</f>
        <v>-304896.37401287351</v>
      </c>
      <c r="D210" s="82">
        <f>D208-D209</f>
        <v>93848</v>
      </c>
      <c r="E210" s="83">
        <f>E208-E209</f>
        <v>774478.24000000022</v>
      </c>
      <c r="F210" s="253">
        <f t="shared" si="727"/>
        <v>-254.01359478525637</v>
      </c>
      <c r="G210" s="252">
        <f t="shared" si="728"/>
        <v>825.24746398431535</v>
      </c>
      <c r="H210" s="411">
        <f>H208-H209</f>
        <v>-2391.0810272746021</v>
      </c>
      <c r="I210" s="115">
        <f t="shared" ref="I210:AP210" si="761">I208-I209</f>
        <v>0</v>
      </c>
      <c r="J210" s="82">
        <f>J208-J209</f>
        <v>13146.909999999916</v>
      </c>
      <c r="K210" s="252">
        <f t="shared" si="620"/>
        <v>0</v>
      </c>
      <c r="L210" s="82">
        <f t="shared" si="761"/>
        <v>0</v>
      </c>
      <c r="M210" s="82">
        <f t="shared" si="761"/>
        <v>0</v>
      </c>
      <c r="N210" s="82">
        <f>N208-N209</f>
        <v>7118.9421992169227</v>
      </c>
      <c r="O210" s="82">
        <f>O208-O209</f>
        <v>0</v>
      </c>
      <c r="P210" s="82">
        <f t="shared" si="761"/>
        <v>0.67999999999301508</v>
      </c>
      <c r="Q210" s="252">
        <f t="shared" si="684"/>
        <v>0</v>
      </c>
      <c r="R210" s="82">
        <f>R208-R209</f>
        <v>-15435.53387749684</v>
      </c>
      <c r="S210" s="82">
        <f>S208-S209</f>
        <v>0</v>
      </c>
      <c r="T210" s="82">
        <f t="shared" si="761"/>
        <v>20378.089999999997</v>
      </c>
      <c r="U210" s="252">
        <f t="shared" si="686"/>
        <v>0</v>
      </c>
      <c r="V210" s="82">
        <f t="shared" si="761"/>
        <v>0</v>
      </c>
      <c r="W210" s="82">
        <f t="shared" si="761"/>
        <v>0</v>
      </c>
      <c r="X210" s="82">
        <f t="shared" ref="X210" si="762">X208-X209</f>
        <v>0</v>
      </c>
      <c r="Y210" s="82">
        <f t="shared" si="761"/>
        <v>0</v>
      </c>
      <c r="Z210" s="112">
        <f t="shared" si="761"/>
        <v>0</v>
      </c>
      <c r="AA210" s="252">
        <f t="shared" si="687"/>
        <v>0</v>
      </c>
      <c r="AB210" s="417">
        <f t="shared" ref="AB210" si="763">AB208-AB209</f>
        <v>-415299.79295241879</v>
      </c>
      <c r="AC210" s="417">
        <f t="shared" si="761"/>
        <v>-1366103</v>
      </c>
      <c r="AD210" s="82">
        <f t="shared" si="761"/>
        <v>-640471.32000000018</v>
      </c>
      <c r="AE210" s="252">
        <f t="shared" si="688"/>
        <v>46.883091538485765</v>
      </c>
      <c r="AF210" s="82">
        <f t="shared" ref="AF210" si="764">AF208-AF209</f>
        <v>102431.05315548484</v>
      </c>
      <c r="AG210" s="82">
        <f t="shared" si="761"/>
        <v>0</v>
      </c>
      <c r="AH210" s="82">
        <f t="shared" si="761"/>
        <v>-282513.26</v>
      </c>
      <c r="AI210" s="252">
        <f t="shared" si="689"/>
        <v>0</v>
      </c>
      <c r="AJ210" s="82">
        <f t="shared" ref="AJ210" si="765">AJ208-AJ209</f>
        <v>15495.764815183489</v>
      </c>
      <c r="AK210" s="82">
        <f t="shared" si="761"/>
        <v>0</v>
      </c>
      <c r="AL210" s="82">
        <f t="shared" si="761"/>
        <v>29916.22</v>
      </c>
      <c r="AM210" s="252">
        <f t="shared" si="691"/>
        <v>0</v>
      </c>
      <c r="AN210" s="82">
        <f t="shared" ref="AN210" si="766">AN208-AN209</f>
        <v>2945.3726192846225</v>
      </c>
      <c r="AO210" s="82">
        <f t="shared" si="761"/>
        <v>0</v>
      </c>
      <c r="AP210" s="82">
        <f t="shared" si="761"/>
        <v>-994.2400000000016</v>
      </c>
      <c r="AQ210" s="252">
        <f t="shared" si="692"/>
        <v>0</v>
      </c>
      <c r="AR210" s="82">
        <f t="shared" ref="AR210" si="767">AR208-AR209</f>
        <v>238.90105514632688</v>
      </c>
      <c r="AS210" s="82">
        <f t="shared" ref="AS210:AT210" si="768">AS208-AS209</f>
        <v>0</v>
      </c>
      <c r="AT210" s="82">
        <f t="shared" si="768"/>
        <v>22.300000000000011</v>
      </c>
      <c r="AU210" s="252">
        <f t="shared" si="694"/>
        <v>0</v>
      </c>
      <c r="AV210" s="82">
        <f t="shared" ref="AV210:AX210" si="769">AV208-AV209</f>
        <v>0</v>
      </c>
      <c r="AW210" s="83">
        <f t="shared" si="769"/>
        <v>0</v>
      </c>
      <c r="AX210" s="407">
        <f t="shared" si="769"/>
        <v>0</v>
      </c>
      <c r="AY210" s="83">
        <f t="shared" ref="AY210:AZ210" si="770">AY208-AY209</f>
        <v>0</v>
      </c>
      <c r="AZ210" s="112">
        <f t="shared" si="770"/>
        <v>0</v>
      </c>
      <c r="BA210" s="407">
        <f t="shared" ref="BA210:BB210" si="771">BA208-BA209</f>
        <v>1459951</v>
      </c>
      <c r="BB210" s="83">
        <f t="shared" si="771"/>
        <v>1634992.86</v>
      </c>
      <c r="BC210" s="411">
        <f t="shared" ref="BC210" si="772">BC208-BC209</f>
        <v>93848</v>
      </c>
      <c r="BD210" s="83">
        <f t="shared" ref="BD210" si="773">BD208-BD209</f>
        <v>774478.24000000022</v>
      </c>
      <c r="BE210" s="1536"/>
      <c r="BF210" s="522"/>
      <c r="BG210" s="489"/>
      <c r="BH210" s="489"/>
      <c r="BI210" s="529"/>
      <c r="BJ210" s="489"/>
      <c r="BK210" s="489"/>
      <c r="BL210" s="489"/>
      <c r="BM210" s="489"/>
    </row>
    <row r="211" spans="1:65" s="22" customFormat="1" ht="15.75" thickBot="1" x14ac:dyDescent="0.3">
      <c r="A211" s="46"/>
      <c r="B211" s="503"/>
      <c r="C211" s="273"/>
      <c r="D211" s="273"/>
      <c r="E211" s="1537"/>
      <c r="F211" s="1538"/>
      <c r="G211" s="247">
        <f t="shared" si="728"/>
        <v>0</v>
      </c>
      <c r="H211" s="178"/>
      <c r="I211" s="178"/>
      <c r="J211" s="179"/>
      <c r="K211" s="247">
        <f t="shared" si="620"/>
        <v>0</v>
      </c>
      <c r="L211" s="180"/>
      <c r="M211" s="179"/>
      <c r="N211" s="180"/>
      <c r="O211" s="180"/>
      <c r="P211" s="179"/>
      <c r="Q211" s="247">
        <f t="shared" si="684"/>
        <v>0</v>
      </c>
      <c r="R211" s="180"/>
      <c r="S211" s="180"/>
      <c r="T211" s="179"/>
      <c r="U211" s="247">
        <f t="shared" si="686"/>
        <v>0</v>
      </c>
      <c r="V211" s="180"/>
      <c r="W211" s="179"/>
      <c r="X211" s="180"/>
      <c r="Y211" s="180"/>
      <c r="Z211" s="179"/>
      <c r="AA211" s="247">
        <f t="shared" si="687"/>
        <v>0</v>
      </c>
      <c r="AB211" s="180"/>
      <c r="AC211" s="180"/>
      <c r="AD211" s="179"/>
      <c r="AE211" s="247">
        <f t="shared" si="688"/>
        <v>0</v>
      </c>
      <c r="AF211" s="180"/>
      <c r="AG211" s="180"/>
      <c r="AH211" s="179"/>
      <c r="AI211" s="247">
        <f t="shared" si="689"/>
        <v>0</v>
      </c>
      <c r="AJ211" s="180"/>
      <c r="AK211" s="180"/>
      <c r="AL211" s="179"/>
      <c r="AM211" s="247">
        <f t="shared" si="691"/>
        <v>0</v>
      </c>
      <c r="AN211" s="180"/>
      <c r="AO211" s="180"/>
      <c r="AP211" s="179"/>
      <c r="AQ211" s="247">
        <f t="shared" si="692"/>
        <v>0</v>
      </c>
      <c r="AR211" s="180"/>
      <c r="AS211" s="180"/>
      <c r="AT211" s="179"/>
      <c r="AU211" s="247">
        <f t="shared" si="694"/>
        <v>0</v>
      </c>
      <c r="AV211" s="180"/>
      <c r="AW211" s="178"/>
      <c r="AX211" s="180"/>
      <c r="AY211" s="178"/>
      <c r="AZ211" s="179"/>
      <c r="BA211" s="180"/>
      <c r="BB211" s="178"/>
      <c r="BC211" s="178"/>
      <c r="BD211" s="178"/>
      <c r="BE211" s="46"/>
      <c r="BF211" s="518"/>
      <c r="BG211" s="484"/>
      <c r="BH211" s="484"/>
      <c r="BI211" s="527"/>
      <c r="BJ211" s="484"/>
      <c r="BK211" s="484"/>
      <c r="BL211" s="484"/>
      <c r="BM211" s="484"/>
    </row>
    <row r="212" spans="1:65" s="1607" customFormat="1" ht="15.75" thickBot="1" x14ac:dyDescent="0.3">
      <c r="A212" s="1619">
        <v>92211</v>
      </c>
      <c r="B212" s="1620" t="s">
        <v>139</v>
      </c>
      <c r="C212" s="1594">
        <v>302846.51</v>
      </c>
      <c r="D212" s="1594"/>
      <c r="E212" s="1601">
        <v>-2049.8200000000002</v>
      </c>
      <c r="F212" s="1595">
        <f>IF(C212&lt;&gt;0,E212/C212*100,0)</f>
        <v>-0.6768511217117873</v>
      </c>
      <c r="G212" s="1596">
        <f t="shared" si="728"/>
        <v>0</v>
      </c>
      <c r="H212" s="1625"/>
      <c r="I212" s="1625"/>
      <c r="J212" s="1626"/>
      <c r="K212" s="1596">
        <f t="shared" si="620"/>
        <v>0</v>
      </c>
      <c r="L212" s="1627"/>
      <c r="M212" s="1626"/>
      <c r="N212" s="1627"/>
      <c r="O212" s="1627"/>
      <c r="P212" s="1626"/>
      <c r="Q212" s="1596">
        <f t="shared" si="684"/>
        <v>0</v>
      </c>
      <c r="R212" s="1627"/>
      <c r="S212" s="1627"/>
      <c r="T212" s="1626"/>
      <c r="U212" s="1596">
        <f t="shared" si="686"/>
        <v>0</v>
      </c>
      <c r="V212" s="1627"/>
      <c r="W212" s="1626"/>
      <c r="X212" s="1627"/>
      <c r="Y212" s="1627"/>
      <c r="Z212" s="1626"/>
      <c r="AA212" s="1596">
        <f t="shared" si="687"/>
        <v>0</v>
      </c>
      <c r="AB212" s="1627"/>
      <c r="AC212" s="1627"/>
      <c r="AD212" s="1626"/>
      <c r="AE212" s="1596">
        <f t="shared" si="688"/>
        <v>0</v>
      </c>
      <c r="AF212" s="1627"/>
      <c r="AG212" s="1627"/>
      <c r="AH212" s="1626"/>
      <c r="AI212" s="1596">
        <f t="shared" si="689"/>
        <v>0</v>
      </c>
      <c r="AJ212" s="1627"/>
      <c r="AK212" s="1627"/>
      <c r="AL212" s="1626"/>
      <c r="AM212" s="1596">
        <f t="shared" si="691"/>
        <v>0</v>
      </c>
      <c r="AN212" s="1627"/>
      <c r="AO212" s="1627"/>
      <c r="AP212" s="1626"/>
      <c r="AQ212" s="1596">
        <f t="shared" si="692"/>
        <v>0</v>
      </c>
      <c r="AR212" s="1627"/>
      <c r="AS212" s="1627"/>
      <c r="AT212" s="1626"/>
      <c r="AU212" s="1596">
        <f t="shared" si="694"/>
        <v>0</v>
      </c>
      <c r="AV212" s="1627"/>
      <c r="AW212" s="1625"/>
      <c r="AX212" s="1627"/>
      <c r="AY212" s="1625"/>
      <c r="AZ212" s="1626"/>
      <c r="BA212" s="1627"/>
      <c r="BB212" s="1625"/>
      <c r="BC212" s="1625"/>
      <c r="BD212" s="1625"/>
      <c r="BE212" s="1628">
        <v>92211</v>
      </c>
      <c r="BF212" s="1629"/>
      <c r="BG212" s="1605"/>
      <c r="BH212" s="1605"/>
      <c r="BI212" s="1606"/>
      <c r="BJ212" s="1605"/>
      <c r="BK212" s="1605"/>
      <c r="BL212" s="1605"/>
      <c r="BM212" s="1605"/>
    </row>
    <row r="213" spans="1:65" s="1647" customFormat="1" ht="15.75" thickBot="1" x14ac:dyDescent="0.3">
      <c r="A213" s="1630"/>
      <c r="B213" s="1631" t="s">
        <v>140</v>
      </c>
      <c r="C213" s="1632">
        <f>C210+C212</f>
        <v>-2049.8640128734987</v>
      </c>
      <c r="D213" s="1632"/>
      <c r="E213" s="1633">
        <f>E210+E212</f>
        <v>772428.42000000027</v>
      </c>
      <c r="F213" s="1634">
        <f>IF(C213&lt;&gt;0,E213/C213*100,0)</f>
        <v>-37681.93476001417</v>
      </c>
      <c r="G213" s="1635">
        <f t="shared" si="728"/>
        <v>0</v>
      </c>
      <c r="H213" s="1636">
        <f t="shared" ref="H213" si="774">H210+H212</f>
        <v>-2391.0810272746021</v>
      </c>
      <c r="I213" s="1637">
        <f t="shared" ref="I213:AP213" si="775">I210+I212</f>
        <v>0</v>
      </c>
      <c r="J213" s="1638">
        <f t="shared" si="775"/>
        <v>13146.909999999916</v>
      </c>
      <c r="K213" s="1635">
        <f t="shared" si="620"/>
        <v>0</v>
      </c>
      <c r="L213" s="1638">
        <f t="shared" si="775"/>
        <v>0</v>
      </c>
      <c r="M213" s="1638">
        <f t="shared" si="775"/>
        <v>0</v>
      </c>
      <c r="N213" s="1638">
        <f t="shared" ref="N213" si="776">N210+N212</f>
        <v>7118.9421992169227</v>
      </c>
      <c r="O213" s="1638">
        <f t="shared" si="775"/>
        <v>0</v>
      </c>
      <c r="P213" s="1638">
        <f t="shared" si="775"/>
        <v>0.67999999999301508</v>
      </c>
      <c r="Q213" s="1635">
        <f t="shared" si="684"/>
        <v>0</v>
      </c>
      <c r="R213" s="1638">
        <f t="shared" ref="R213" si="777">R210+R212</f>
        <v>-15435.53387749684</v>
      </c>
      <c r="S213" s="1638">
        <f t="shared" si="775"/>
        <v>0</v>
      </c>
      <c r="T213" s="1638">
        <f>T210+T212</f>
        <v>20378.089999999997</v>
      </c>
      <c r="U213" s="1635">
        <f t="shared" si="686"/>
        <v>0</v>
      </c>
      <c r="V213" s="1638">
        <f t="shared" si="775"/>
        <v>0</v>
      </c>
      <c r="W213" s="1638">
        <f t="shared" si="775"/>
        <v>0</v>
      </c>
      <c r="X213" s="1638">
        <f t="shared" ref="X213" si="778">X210+X212</f>
        <v>0</v>
      </c>
      <c r="Y213" s="1638">
        <f t="shared" si="775"/>
        <v>0</v>
      </c>
      <c r="Z213" s="1639">
        <f t="shared" si="775"/>
        <v>0</v>
      </c>
      <c r="AA213" s="1635">
        <f t="shared" si="687"/>
        <v>0</v>
      </c>
      <c r="AB213" s="1640">
        <f t="shared" ref="AB213" si="779">AB210+AB212</f>
        <v>-415299.79295241879</v>
      </c>
      <c r="AC213" s="1640">
        <f t="shared" si="775"/>
        <v>-1366103</v>
      </c>
      <c r="AD213" s="1638">
        <f t="shared" si="775"/>
        <v>-640471.32000000018</v>
      </c>
      <c r="AE213" s="1635">
        <f t="shared" si="688"/>
        <v>46.883091538485765</v>
      </c>
      <c r="AF213" s="1638">
        <f t="shared" ref="AF213" si="780">AF210+AF212</f>
        <v>102431.05315548484</v>
      </c>
      <c r="AG213" s="1638">
        <f t="shared" si="775"/>
        <v>0</v>
      </c>
      <c r="AH213" s="1638">
        <f t="shared" si="775"/>
        <v>-282513.26</v>
      </c>
      <c r="AI213" s="1635">
        <f t="shared" si="689"/>
        <v>0</v>
      </c>
      <c r="AJ213" s="1638">
        <f t="shared" ref="AJ213" si="781">AJ210+AJ212</f>
        <v>15495.764815183489</v>
      </c>
      <c r="AK213" s="1638">
        <f t="shared" si="775"/>
        <v>0</v>
      </c>
      <c r="AL213" s="1638">
        <f t="shared" si="775"/>
        <v>29916.22</v>
      </c>
      <c r="AM213" s="1635">
        <f t="shared" si="691"/>
        <v>0</v>
      </c>
      <c r="AN213" s="1638">
        <f t="shared" ref="AN213" si="782">AN210+AN212</f>
        <v>2945.3726192846225</v>
      </c>
      <c r="AO213" s="1638">
        <f t="shared" si="775"/>
        <v>0</v>
      </c>
      <c r="AP213" s="1638">
        <f t="shared" si="775"/>
        <v>-994.2400000000016</v>
      </c>
      <c r="AQ213" s="1635">
        <f t="shared" si="692"/>
        <v>0</v>
      </c>
      <c r="AR213" s="1638">
        <f t="shared" ref="AR213" si="783">AR210+AR212</f>
        <v>238.90105514632688</v>
      </c>
      <c r="AS213" s="1638">
        <f t="shared" ref="AS213:AT213" si="784">AS210+AS212</f>
        <v>0</v>
      </c>
      <c r="AT213" s="1638">
        <f t="shared" si="784"/>
        <v>22.300000000000011</v>
      </c>
      <c r="AU213" s="1635">
        <f t="shared" si="694"/>
        <v>0</v>
      </c>
      <c r="AV213" s="1638">
        <f t="shared" ref="AV213:AX213" si="785">AV210+AV212</f>
        <v>0</v>
      </c>
      <c r="AW213" s="1641">
        <f t="shared" si="785"/>
        <v>0</v>
      </c>
      <c r="AX213" s="1642">
        <f t="shared" si="785"/>
        <v>0</v>
      </c>
      <c r="AY213" s="1641">
        <f t="shared" ref="AY213:AZ213" si="786">AY210+AY212</f>
        <v>0</v>
      </c>
      <c r="AZ213" s="1639">
        <f t="shared" si="786"/>
        <v>0</v>
      </c>
      <c r="BA213" s="1642">
        <f t="shared" ref="BA213:BB213" si="787">BA210+BA212</f>
        <v>1459951</v>
      </c>
      <c r="BB213" s="1641">
        <f t="shared" si="787"/>
        <v>1634992.86</v>
      </c>
      <c r="BC213" s="1636">
        <f>BC210+BC212</f>
        <v>93848</v>
      </c>
      <c r="BD213" s="1641">
        <f>BD210+BD212</f>
        <v>774478.24000000022</v>
      </c>
      <c r="BE213" s="1643"/>
      <c r="BF213" s="1644"/>
      <c r="BG213" s="1645"/>
      <c r="BH213" s="1645"/>
      <c r="BI213" s="1646"/>
      <c r="BJ213" s="1645"/>
      <c r="BK213" s="1645"/>
      <c r="BL213" s="1645"/>
      <c r="BM213" s="1645"/>
    </row>
    <row r="214" spans="1:65" s="22" customFormat="1" ht="15.75" thickBot="1" x14ac:dyDescent="0.3">
      <c r="A214" s="20"/>
      <c r="B214" s="515"/>
      <c r="C214" s="11"/>
      <c r="D214" s="233"/>
      <c r="E214" s="11"/>
      <c r="F214" s="21"/>
      <c r="G214" s="11"/>
      <c r="H214" s="335"/>
      <c r="I214" s="50"/>
      <c r="J214" s="50"/>
      <c r="K214" s="11"/>
      <c r="L214" s="50"/>
      <c r="M214" s="50"/>
      <c r="N214" s="50"/>
      <c r="O214" s="50"/>
      <c r="P214" s="50"/>
      <c r="Q214" s="11"/>
      <c r="R214" s="50"/>
      <c r="S214" s="50"/>
      <c r="T214" s="50"/>
      <c r="U214" s="11"/>
      <c r="V214" s="50"/>
      <c r="W214" s="50"/>
      <c r="X214" s="50"/>
      <c r="Y214" s="50"/>
      <c r="Z214" s="50" t="s">
        <v>421</v>
      </c>
      <c r="AA214" s="11"/>
      <c r="AB214" s="50"/>
      <c r="AC214" s="50"/>
      <c r="AD214" s="234"/>
      <c r="AE214" s="11"/>
      <c r="AF214" s="50"/>
      <c r="AG214" s="50"/>
      <c r="AH214" s="50"/>
      <c r="AI214" s="11"/>
      <c r="AJ214" s="50"/>
      <c r="AK214" s="50"/>
      <c r="AL214" s="50"/>
      <c r="AM214" s="11"/>
      <c r="AN214" s="50"/>
      <c r="AO214" s="50"/>
      <c r="AP214" s="50"/>
      <c r="AQ214" s="11"/>
      <c r="AR214" s="50"/>
      <c r="AS214" s="50"/>
      <c r="AT214" s="50"/>
      <c r="AU214" s="11"/>
      <c r="AV214" s="50"/>
      <c r="AW214" s="50"/>
      <c r="AX214" s="50"/>
      <c r="AY214" s="50"/>
      <c r="AZ214" s="50"/>
      <c r="BA214" s="1461"/>
      <c r="BB214" s="335"/>
      <c r="BC214" s="193"/>
      <c r="BD214" s="50"/>
      <c r="BE214" s="20"/>
      <c r="BF214" s="518"/>
      <c r="BG214" s="484"/>
      <c r="BH214" s="484"/>
      <c r="BI214" s="527"/>
      <c r="BJ214" s="484"/>
      <c r="BK214" s="484"/>
      <c r="BL214" s="484"/>
      <c r="BM214" s="484"/>
    </row>
    <row r="215" spans="1:65" s="1539" customFormat="1" ht="15.75" thickBot="1" x14ac:dyDescent="0.3">
      <c r="A215" s="204">
        <v>544</v>
      </c>
      <c r="B215" s="1540"/>
      <c r="C215" s="1541"/>
      <c r="D215" s="1541">
        <v>93848</v>
      </c>
      <c r="E215" s="1541"/>
      <c r="F215" s="1542"/>
      <c r="G215" s="1571"/>
      <c r="H215" s="1568"/>
      <c r="I215" s="1541"/>
      <c r="J215" s="1541"/>
      <c r="K215" s="1542"/>
      <c r="L215" s="1541"/>
      <c r="M215" s="1541"/>
      <c r="N215" s="1541"/>
      <c r="O215" s="1541"/>
      <c r="P215" s="1541"/>
      <c r="Q215" s="1542"/>
      <c r="R215" s="1541"/>
      <c r="S215" s="1541"/>
      <c r="T215" s="1541"/>
      <c r="U215" s="1542"/>
      <c r="V215" s="1541"/>
      <c r="W215" s="1541"/>
      <c r="X215" s="1541"/>
      <c r="Y215" s="1541"/>
      <c r="Z215" s="1541"/>
      <c r="AA215" s="1542"/>
      <c r="AB215" s="1541"/>
      <c r="AC215" s="1541"/>
      <c r="AD215" s="1541"/>
      <c r="AE215" s="1542"/>
      <c r="AF215" s="1543"/>
      <c r="AG215" s="1543"/>
      <c r="AH215" s="1541"/>
      <c r="AI215" s="1542"/>
      <c r="AJ215" s="1541"/>
      <c r="AK215" s="1541"/>
      <c r="AL215" s="1541"/>
      <c r="AM215" s="1542"/>
      <c r="AN215" s="1541"/>
      <c r="AO215" s="1541"/>
      <c r="AP215" s="1541"/>
      <c r="AQ215" s="1542"/>
      <c r="AR215" s="1541"/>
      <c r="AS215" s="1541"/>
      <c r="AT215" s="1541"/>
      <c r="AU215" s="1542"/>
      <c r="AV215" s="1541"/>
      <c r="AW215" s="1541"/>
      <c r="AX215" s="1541"/>
      <c r="AY215" s="1541"/>
      <c r="AZ215" s="1541"/>
      <c r="BA215" s="1541"/>
      <c r="BB215" s="1541"/>
      <c r="BC215" s="1541"/>
      <c r="BD215" s="1541"/>
      <c r="BE215" s="1544">
        <v>544</v>
      </c>
      <c r="BF215" s="522"/>
      <c r="BG215" s="493"/>
      <c r="BH215" s="493"/>
      <c r="BI215" s="530"/>
      <c r="BJ215" s="493"/>
      <c r="BK215" s="493"/>
      <c r="BL215" s="493"/>
      <c r="BM215" s="493"/>
    </row>
    <row r="216" spans="1:65" s="24" customFormat="1" ht="16.5" thickTop="1" thickBot="1" x14ac:dyDescent="0.3">
      <c r="A216" s="195"/>
      <c r="B216" s="1545" t="s">
        <v>250</v>
      </c>
      <c r="C216" s="1546"/>
      <c r="D216" s="1546"/>
      <c r="E216" s="1546"/>
      <c r="F216" s="1547"/>
      <c r="G216" s="1572"/>
      <c r="H216" s="1569"/>
      <c r="I216" s="1548"/>
      <c r="J216" s="1548"/>
      <c r="K216" s="1547"/>
      <c r="L216" s="1548"/>
      <c r="M216" s="1548"/>
      <c r="N216" s="1548"/>
      <c r="O216" s="1548"/>
      <c r="P216" s="1549"/>
      <c r="Q216" s="1547"/>
      <c r="R216" s="1549"/>
      <c r="S216" s="1549">
        <f>'izvršenje PO IZVORIMA-detaljno'!Z217</f>
        <v>0</v>
      </c>
      <c r="T216" s="1549"/>
      <c r="U216" s="1547"/>
      <c r="V216" s="1548"/>
      <c r="W216" s="1548"/>
      <c r="X216" s="1550"/>
      <c r="Y216" s="1550"/>
      <c r="Z216" s="1548"/>
      <c r="AA216" s="1547"/>
      <c r="AB216" s="1549">
        <f>'izvršenje PO IZVORIMA-detaljno'!F217+'izvršenje PO IZVORIMA-detaljno'!L217</f>
        <v>0</v>
      </c>
      <c r="AC216" s="1549">
        <f>'izvršenje PO IZVORIMA-detaljno'!G217+'izvršenje PO IZVORIMA-detaljno'!M217</f>
        <v>93848</v>
      </c>
      <c r="AD216" s="1549"/>
      <c r="AE216" s="1547"/>
      <c r="AF216" s="1548"/>
      <c r="AG216" s="1548"/>
      <c r="AH216" s="1548"/>
      <c r="AI216" s="1547"/>
      <c r="AJ216" s="1548"/>
      <c r="AK216" s="1548"/>
      <c r="AL216" s="1548"/>
      <c r="AM216" s="1547"/>
      <c r="AN216" s="1548"/>
      <c r="AO216" s="1548"/>
      <c r="AP216" s="1548"/>
      <c r="AQ216" s="1547"/>
      <c r="AR216" s="1548"/>
      <c r="AS216" s="1548"/>
      <c r="AT216" s="1548"/>
      <c r="AU216" s="1547"/>
      <c r="AV216" s="1548"/>
      <c r="AW216" s="1548"/>
      <c r="AX216" s="1548"/>
      <c r="AY216" s="1548"/>
      <c r="AZ216" s="1548"/>
      <c r="BA216" s="1548"/>
      <c r="BB216" s="1548"/>
      <c r="BC216" s="1551"/>
      <c r="BD216" s="1550"/>
      <c r="BE216" s="1552"/>
      <c r="BF216" s="254"/>
      <c r="BG216" s="489"/>
      <c r="BH216" s="489"/>
      <c r="BI216" s="529"/>
      <c r="BJ216" s="489"/>
      <c r="BK216" s="489"/>
      <c r="BL216" s="489"/>
      <c r="BM216" s="489"/>
    </row>
    <row r="217" spans="1:65" s="24" customFormat="1" ht="16.5" thickTop="1" thickBot="1" x14ac:dyDescent="0.3">
      <c r="A217" s="1553">
        <v>544</v>
      </c>
      <c r="B217" s="1554" t="s">
        <v>251</v>
      </c>
      <c r="C217" s="1555"/>
      <c r="D217" s="1555">
        <f>SUM(D216)</f>
        <v>0</v>
      </c>
      <c r="E217" s="1555"/>
      <c r="F217" s="1556"/>
      <c r="G217" s="1573"/>
      <c r="H217" s="1570"/>
      <c r="I217" s="1555"/>
      <c r="J217" s="1555"/>
      <c r="K217" s="1556"/>
      <c r="L217" s="1555"/>
      <c r="M217" s="1555"/>
      <c r="N217" s="1555"/>
      <c r="O217" s="1555"/>
      <c r="P217" s="1555"/>
      <c r="Q217" s="1556"/>
      <c r="R217" s="1555" t="s">
        <v>250</v>
      </c>
      <c r="S217" s="1555" t="s">
        <v>250</v>
      </c>
      <c r="T217" s="1555"/>
      <c r="U217" s="1556"/>
      <c r="V217" s="1555"/>
      <c r="W217" s="1555"/>
      <c r="X217" s="1555"/>
      <c r="Y217" s="1555"/>
      <c r="Z217" s="1555"/>
      <c r="AA217" s="1556"/>
      <c r="AB217" s="1555" t="s">
        <v>250</v>
      </c>
      <c r="AC217" s="1555">
        <f>AC209+AC216</f>
        <v>1639826</v>
      </c>
      <c r="AD217" s="1555"/>
      <c r="AE217" s="1556"/>
      <c r="AF217" s="1557"/>
      <c r="AG217" s="1557"/>
      <c r="AH217" s="1555"/>
      <c r="AI217" s="1556"/>
      <c r="AJ217" s="1555"/>
      <c r="AK217" s="1555"/>
      <c r="AL217" s="1555"/>
      <c r="AM217" s="1556"/>
      <c r="AN217" s="1555"/>
      <c r="AO217" s="1555"/>
      <c r="AP217" s="1555"/>
      <c r="AQ217" s="1556"/>
      <c r="AR217" s="1555"/>
      <c r="AS217" s="1555"/>
      <c r="AT217" s="1555"/>
      <c r="AU217" s="1556"/>
      <c r="AV217" s="1555"/>
      <c r="AW217" s="1555"/>
      <c r="AX217" s="1555"/>
      <c r="AY217" s="1555"/>
      <c r="AZ217" s="1555"/>
      <c r="BA217" s="1555"/>
      <c r="BB217" s="1555"/>
      <c r="BC217" s="1555">
        <f>SUM(BC216)</f>
        <v>0</v>
      </c>
      <c r="BD217" s="1555"/>
      <c r="BE217" s="1558">
        <v>544</v>
      </c>
      <c r="BF217" s="522"/>
      <c r="BG217" s="489"/>
      <c r="BH217" s="489"/>
      <c r="BI217" s="529"/>
      <c r="BJ217" s="489"/>
      <c r="BK217" s="489"/>
      <c r="BL217" s="489"/>
      <c r="BM217" s="489"/>
    </row>
    <row r="218" spans="1:65" s="22" customFormat="1" x14ac:dyDescent="0.25">
      <c r="A218" s="20"/>
      <c r="B218" s="516"/>
      <c r="C218" s="11"/>
      <c r="D218" s="11"/>
      <c r="E218" s="11"/>
      <c r="F218" s="21"/>
      <c r="G218" s="11"/>
      <c r="H218" s="50"/>
      <c r="I218" s="50"/>
      <c r="J218" s="50"/>
      <c r="K218" s="11"/>
      <c r="L218" s="50"/>
      <c r="M218" s="50"/>
      <c r="N218" s="50"/>
      <c r="O218" s="50"/>
      <c r="P218" s="50"/>
      <c r="Q218" s="11"/>
      <c r="R218" s="50"/>
      <c r="S218" s="50"/>
      <c r="T218" s="50"/>
      <c r="U218" s="11"/>
      <c r="V218" s="50"/>
      <c r="W218" s="50"/>
      <c r="X218" s="50"/>
      <c r="Y218" s="50"/>
      <c r="Z218" s="50"/>
      <c r="AA218" s="11"/>
      <c r="AB218" s="50"/>
      <c r="AC218" s="193" t="s">
        <v>422</v>
      </c>
      <c r="AD218" s="50"/>
      <c r="AE218" s="11"/>
      <c r="AF218" s="50"/>
      <c r="AG218" s="50"/>
      <c r="AH218" s="50"/>
      <c r="AI218" s="11"/>
      <c r="AJ218" s="50"/>
      <c r="AK218" s="50"/>
      <c r="AL218" s="50"/>
      <c r="AM218" s="11"/>
      <c r="AN218" s="50"/>
      <c r="AO218" s="50"/>
      <c r="AP218" s="50"/>
      <c r="AQ218" s="11"/>
      <c r="AR218" s="50"/>
      <c r="AS218" s="50"/>
      <c r="AT218" s="50"/>
      <c r="AU218" s="11"/>
      <c r="AV218" s="50"/>
      <c r="AW218" s="50"/>
      <c r="AX218" s="50"/>
      <c r="AY218" s="50"/>
      <c r="AZ218" s="50"/>
      <c r="BA218" s="50"/>
      <c r="BB218" s="50"/>
      <c r="BC218" s="50"/>
      <c r="BD218" s="50"/>
      <c r="BE218" s="20"/>
      <c r="BF218" s="518"/>
      <c r="BG218" s="484"/>
      <c r="BH218" s="484"/>
      <c r="BI218" s="527"/>
      <c r="BJ218" s="484"/>
      <c r="BK218" s="484"/>
      <c r="BL218" s="484"/>
      <c r="BM218" s="484"/>
    </row>
    <row r="219" spans="1:65" s="22" customFormat="1" x14ac:dyDescent="0.25">
      <c r="A219" s="20"/>
      <c r="B219" s="515"/>
      <c r="C219" s="11"/>
      <c r="D219" s="11"/>
      <c r="E219" s="11"/>
      <c r="F219" s="21"/>
      <c r="G219" s="11"/>
      <c r="H219" s="50"/>
      <c r="I219" s="50"/>
      <c r="J219" s="50"/>
      <c r="K219" s="11"/>
      <c r="L219" s="50"/>
      <c r="M219" s="50"/>
      <c r="N219" s="50"/>
      <c r="O219" s="50"/>
      <c r="P219" s="50"/>
      <c r="Q219" s="11"/>
      <c r="R219" s="50"/>
      <c r="S219" s="50"/>
      <c r="T219" s="50"/>
      <c r="U219" s="11"/>
      <c r="V219" s="50"/>
      <c r="W219" s="50"/>
      <c r="X219" s="50"/>
      <c r="Y219" s="50"/>
      <c r="Z219" s="50"/>
      <c r="AA219" s="11"/>
      <c r="AB219" s="50"/>
      <c r="AC219" s="50"/>
      <c r="AD219" s="50"/>
      <c r="AE219" s="11"/>
      <c r="AF219" s="50"/>
      <c r="AG219" s="50"/>
      <c r="AH219" s="50"/>
      <c r="AI219" s="11"/>
      <c r="AJ219" s="50"/>
      <c r="AK219" s="50"/>
      <c r="AL219" s="50"/>
      <c r="AM219" s="11"/>
      <c r="AN219" s="50"/>
      <c r="AO219" s="50"/>
      <c r="AP219" s="50"/>
      <c r="AQ219" s="11"/>
      <c r="AR219" s="50"/>
      <c r="AS219" s="50"/>
      <c r="AT219" s="50"/>
      <c r="AU219" s="11"/>
      <c r="AV219" s="50"/>
      <c r="AW219" s="50"/>
      <c r="AX219" s="50"/>
      <c r="AY219" s="50"/>
      <c r="AZ219" s="50"/>
      <c r="BA219" s="50"/>
      <c r="BB219" s="50"/>
      <c r="BC219" s="50"/>
      <c r="BD219" s="50"/>
      <c r="BE219" s="20"/>
      <c r="BF219" s="518"/>
      <c r="BG219" s="484"/>
      <c r="BH219" s="484"/>
      <c r="BI219" s="527"/>
      <c r="BJ219" s="484"/>
      <c r="BK219" s="484"/>
      <c r="BL219" s="484"/>
      <c r="BM219" s="484"/>
    </row>
    <row r="220" spans="1:65" s="22" customFormat="1" x14ac:dyDescent="0.25">
      <c r="A220" s="20"/>
      <c r="B220" s="16" t="s">
        <v>281</v>
      </c>
      <c r="C220" s="11"/>
      <c r="D220" s="11"/>
      <c r="E220" s="11"/>
      <c r="F220" s="21"/>
      <c r="G220" s="11"/>
      <c r="H220" s="50"/>
      <c r="I220" s="50"/>
      <c r="J220" s="50"/>
      <c r="K220" s="11"/>
      <c r="L220" s="50"/>
      <c r="M220" s="50"/>
      <c r="N220" s="50"/>
      <c r="O220" s="50"/>
      <c r="P220" s="50"/>
      <c r="Q220" s="11"/>
      <c r="R220" s="50"/>
      <c r="S220" s="50"/>
      <c r="T220" s="50"/>
      <c r="U220" s="11"/>
      <c r="V220" s="50"/>
      <c r="W220" s="50"/>
      <c r="X220" s="50"/>
      <c r="Y220" s="50"/>
      <c r="Z220" s="50"/>
      <c r="AA220" s="11"/>
      <c r="AB220" s="50"/>
      <c r="AC220" s="50"/>
      <c r="AD220" s="50"/>
      <c r="AE220" s="11"/>
      <c r="AF220" s="50"/>
      <c r="AG220" s="50"/>
      <c r="AH220" s="50"/>
      <c r="AI220" s="11"/>
      <c r="AJ220" s="50"/>
      <c r="AK220" s="50"/>
      <c r="AL220" s="50"/>
      <c r="AM220" s="11"/>
      <c r="AN220" s="50"/>
      <c r="AO220" s="50"/>
      <c r="AP220" s="50"/>
      <c r="AQ220" s="11"/>
      <c r="AR220" s="50"/>
      <c r="AS220" s="50"/>
      <c r="AT220" s="50"/>
      <c r="AU220" s="11"/>
      <c r="AV220" s="50"/>
      <c r="AW220" s="50"/>
      <c r="AX220" s="50"/>
      <c r="AY220" s="50"/>
      <c r="AZ220" s="50"/>
      <c r="BA220" s="50"/>
      <c r="BB220" s="50"/>
      <c r="BC220" s="50"/>
      <c r="BD220" s="50"/>
      <c r="BE220" s="20"/>
      <c r="BF220" s="518"/>
      <c r="BG220" s="484"/>
      <c r="BH220" s="484"/>
      <c r="BI220" s="527"/>
      <c r="BJ220" s="484"/>
      <c r="BK220" s="484"/>
      <c r="BL220" s="484"/>
      <c r="BM220" s="484"/>
    </row>
    <row r="221" spans="1:65" s="22" customFormat="1" x14ac:dyDescent="0.25">
      <c r="A221" s="20"/>
      <c r="B221" s="515"/>
      <c r="C221" s="11"/>
      <c r="D221" s="11"/>
      <c r="E221" s="11"/>
      <c r="F221" s="21"/>
      <c r="G221" s="11"/>
      <c r="H221" s="50"/>
      <c r="I221" s="50"/>
      <c r="J221" s="193"/>
      <c r="K221" s="11"/>
      <c r="L221" s="50"/>
      <c r="M221" s="50"/>
      <c r="N221" s="50"/>
      <c r="O221" s="50"/>
      <c r="P221" s="50"/>
      <c r="Q221" s="11"/>
      <c r="R221" s="50"/>
      <c r="S221" s="50"/>
      <c r="T221" s="50"/>
      <c r="U221" s="11"/>
      <c r="V221" s="50"/>
      <c r="W221" s="50"/>
      <c r="X221" s="50"/>
      <c r="Y221" s="50"/>
      <c r="Z221" s="50"/>
      <c r="AA221" s="11"/>
      <c r="AB221" s="50"/>
      <c r="AC221" s="50"/>
      <c r="AD221" s="50"/>
      <c r="AE221" s="11"/>
      <c r="AF221" s="50"/>
      <c r="AG221" s="50"/>
      <c r="AH221" s="50"/>
      <c r="AI221" s="11"/>
      <c r="AJ221" s="50"/>
      <c r="AK221" s="50"/>
      <c r="AL221" s="50"/>
      <c r="AM221" s="11"/>
      <c r="AN221" s="50"/>
      <c r="AO221" s="50"/>
      <c r="AP221" s="50"/>
      <c r="AQ221" s="11"/>
      <c r="AR221" s="50"/>
      <c r="AS221" s="50"/>
      <c r="AT221" s="50"/>
      <c r="AU221" s="11"/>
      <c r="AV221" s="50"/>
      <c r="AW221" s="50"/>
      <c r="AX221" s="50"/>
      <c r="AY221" s="50"/>
      <c r="AZ221" s="50"/>
      <c r="BA221" s="50"/>
      <c r="BB221" s="50"/>
      <c r="BC221" s="50"/>
      <c r="BD221" s="50"/>
      <c r="BE221" s="20"/>
      <c r="BF221" s="518"/>
      <c r="BG221" s="484"/>
      <c r="BH221" s="484"/>
      <c r="BI221" s="527"/>
      <c r="BJ221" s="484"/>
      <c r="BK221" s="484"/>
      <c r="BL221" s="484"/>
      <c r="BM221" s="484"/>
    </row>
    <row r="222" spans="1:65" s="22" customFormat="1" x14ac:dyDescent="0.25">
      <c r="A222" s="20"/>
      <c r="B222" s="515"/>
      <c r="C222" s="11"/>
      <c r="D222" s="11"/>
      <c r="E222" s="11"/>
      <c r="F222" s="21"/>
      <c r="G222" s="11"/>
      <c r="H222" s="50"/>
      <c r="I222" s="50"/>
      <c r="J222" s="50"/>
      <c r="K222" s="11"/>
      <c r="L222" s="50"/>
      <c r="M222" s="50"/>
      <c r="N222" s="50"/>
      <c r="O222" s="50"/>
      <c r="P222" s="50"/>
      <c r="Q222" s="11"/>
      <c r="R222" s="50"/>
      <c r="S222" s="50"/>
      <c r="T222" s="50"/>
      <c r="U222" s="11"/>
      <c r="V222" s="50"/>
      <c r="W222" s="50"/>
      <c r="X222" s="50"/>
      <c r="Y222" s="50"/>
      <c r="Z222" s="50"/>
      <c r="AA222" s="11"/>
      <c r="AB222" s="50"/>
      <c r="AC222" s="50"/>
      <c r="AD222" s="50"/>
      <c r="AE222" s="11"/>
      <c r="AF222" s="50"/>
      <c r="AG222" s="50"/>
      <c r="AH222" s="50"/>
      <c r="AI222" s="11"/>
      <c r="AJ222" s="50"/>
      <c r="AK222" s="50"/>
      <c r="AL222" s="50"/>
      <c r="AM222" s="11"/>
      <c r="AN222" s="50"/>
      <c r="AO222" s="50"/>
      <c r="AP222" s="50"/>
      <c r="AQ222" s="11"/>
      <c r="AR222" s="50"/>
      <c r="AS222" s="50"/>
      <c r="AT222" s="50"/>
      <c r="AU222" s="11"/>
      <c r="AV222" s="50"/>
      <c r="AW222" s="50"/>
      <c r="AX222" s="50"/>
      <c r="AY222" s="50"/>
      <c r="AZ222" s="50"/>
      <c r="BA222" s="50"/>
      <c r="BB222" s="50"/>
      <c r="BC222" s="50"/>
      <c r="BD222" s="50"/>
      <c r="BE222" s="20"/>
      <c r="BF222" s="518"/>
      <c r="BG222" s="484"/>
      <c r="BH222" s="484"/>
      <c r="BI222" s="527"/>
      <c r="BJ222" s="484"/>
      <c r="BK222" s="484"/>
      <c r="BL222" s="484"/>
      <c r="BM222" s="484"/>
    </row>
    <row r="223" spans="1:65" s="22" customFormat="1" x14ac:dyDescent="0.25">
      <c r="A223" s="20"/>
      <c r="B223" s="515"/>
      <c r="C223" s="11"/>
      <c r="D223" s="11"/>
      <c r="E223" s="11"/>
      <c r="F223" s="21"/>
      <c r="G223" s="11"/>
      <c r="H223" s="50"/>
      <c r="I223" s="50"/>
      <c r="J223" s="50"/>
      <c r="K223" s="11"/>
      <c r="L223" s="50"/>
      <c r="M223" s="50"/>
      <c r="N223" s="50"/>
      <c r="O223" s="50"/>
      <c r="P223" s="50"/>
      <c r="Q223" s="11"/>
      <c r="R223" s="50"/>
      <c r="S223" s="50"/>
      <c r="T223" s="50"/>
      <c r="U223" s="11"/>
      <c r="V223" s="50"/>
      <c r="W223" s="50"/>
      <c r="X223" s="50"/>
      <c r="Y223" s="50"/>
      <c r="Z223" s="50"/>
      <c r="AA223" s="11"/>
      <c r="AB223" s="50"/>
      <c r="AC223" s="50"/>
      <c r="AD223" s="50"/>
      <c r="AE223" s="11"/>
      <c r="AF223" s="50"/>
      <c r="AG223" s="50"/>
      <c r="AH223" s="50"/>
      <c r="AI223" s="11"/>
      <c r="AJ223" s="50"/>
      <c r="AK223" s="50"/>
      <c r="AL223" s="50"/>
      <c r="AM223" s="11"/>
      <c r="AN223" s="50"/>
      <c r="AO223" s="50"/>
      <c r="AP223" s="50"/>
      <c r="AQ223" s="11"/>
      <c r="AR223" s="50"/>
      <c r="AS223" s="50"/>
      <c r="AT223" s="50"/>
      <c r="AU223" s="11"/>
      <c r="AV223" s="50"/>
      <c r="AW223" s="50"/>
      <c r="AX223" s="50"/>
      <c r="AY223" s="50"/>
      <c r="AZ223" s="50"/>
      <c r="BA223" s="50"/>
      <c r="BB223" s="50"/>
      <c r="BC223" s="50"/>
      <c r="BD223" s="50"/>
      <c r="BE223" s="20"/>
      <c r="BF223" s="518"/>
      <c r="BG223" s="484"/>
      <c r="BH223" s="484"/>
      <c r="BI223" s="527"/>
      <c r="BJ223" s="484"/>
      <c r="BK223" s="484"/>
      <c r="BL223" s="484"/>
      <c r="BM223" s="484"/>
    </row>
    <row r="224" spans="1:65" s="22" customFormat="1" x14ac:dyDescent="0.25">
      <c r="A224" s="20"/>
      <c r="B224" s="515"/>
      <c r="C224" s="11"/>
      <c r="D224" s="11"/>
      <c r="E224" s="11"/>
      <c r="F224" s="21"/>
      <c r="G224" s="11"/>
      <c r="H224" s="50"/>
      <c r="I224" s="50"/>
      <c r="J224" s="50"/>
      <c r="K224" s="11"/>
      <c r="L224" s="50"/>
      <c r="M224" s="50"/>
      <c r="N224" s="50"/>
      <c r="O224" s="50"/>
      <c r="P224" s="50"/>
      <c r="Q224" s="11"/>
      <c r="R224" s="50"/>
      <c r="S224" s="50"/>
      <c r="T224" s="50"/>
      <c r="U224" s="11"/>
      <c r="V224" s="50"/>
      <c r="W224" s="50"/>
      <c r="X224" s="50"/>
      <c r="Y224" s="50"/>
      <c r="Z224" s="50"/>
      <c r="AA224" s="11"/>
      <c r="AB224" s="50"/>
      <c r="AC224" s="50"/>
      <c r="AD224" s="50"/>
      <c r="AE224" s="11"/>
      <c r="AF224" s="50"/>
      <c r="AG224" s="50"/>
      <c r="AH224" s="50"/>
      <c r="AI224" s="11"/>
      <c r="AJ224" s="50"/>
      <c r="AK224" s="50"/>
      <c r="AL224" s="50"/>
      <c r="AM224" s="11"/>
      <c r="AN224" s="50"/>
      <c r="AO224" s="50"/>
      <c r="AP224" s="50"/>
      <c r="AQ224" s="11"/>
      <c r="AR224" s="50"/>
      <c r="AS224" s="50"/>
      <c r="AT224" s="50"/>
      <c r="AU224" s="11"/>
      <c r="AV224" s="50"/>
      <c r="AW224" s="50"/>
      <c r="AX224" s="50"/>
      <c r="AY224" s="50"/>
      <c r="AZ224" s="50"/>
      <c r="BA224" s="50"/>
      <c r="BB224" s="50"/>
      <c r="BC224" s="50"/>
      <c r="BD224" s="50"/>
      <c r="BE224" s="20"/>
      <c r="BF224" s="518"/>
      <c r="BG224" s="484"/>
      <c r="BH224" s="484"/>
      <c r="BI224" s="527"/>
      <c r="BJ224" s="484"/>
      <c r="BK224" s="484"/>
      <c r="BL224" s="484"/>
      <c r="BM224" s="484"/>
    </row>
    <row r="225" spans="1:65" s="22" customFormat="1" x14ac:dyDescent="0.25">
      <c r="A225" s="20"/>
      <c r="B225" s="515"/>
      <c r="C225" s="11"/>
      <c r="D225" s="11"/>
      <c r="E225" s="11"/>
      <c r="F225" s="21"/>
      <c r="G225" s="11"/>
      <c r="H225" s="50"/>
      <c r="I225" s="50"/>
      <c r="J225" s="50"/>
      <c r="K225" s="11"/>
      <c r="L225" s="50"/>
      <c r="M225" s="50"/>
      <c r="N225" s="50"/>
      <c r="O225" s="50"/>
      <c r="P225" s="50"/>
      <c r="Q225" s="11"/>
      <c r="R225" s="50"/>
      <c r="S225" s="50"/>
      <c r="T225" s="50"/>
      <c r="U225" s="11"/>
      <c r="V225" s="50"/>
      <c r="W225" s="50"/>
      <c r="X225" s="50"/>
      <c r="Y225" s="50"/>
      <c r="Z225" s="50"/>
      <c r="AA225" s="11"/>
      <c r="AB225" s="50"/>
      <c r="AC225" s="50"/>
      <c r="AD225" s="50"/>
      <c r="AE225" s="11"/>
      <c r="AF225" s="50"/>
      <c r="AG225" s="50"/>
      <c r="AH225" s="50"/>
      <c r="AI225" s="11"/>
      <c r="AJ225" s="50"/>
      <c r="AK225" s="50"/>
      <c r="AL225" s="50"/>
      <c r="AM225" s="11"/>
      <c r="AN225" s="50"/>
      <c r="AO225" s="50"/>
      <c r="AP225" s="50"/>
      <c r="AQ225" s="11"/>
      <c r="AR225" s="50"/>
      <c r="AS225" s="50"/>
      <c r="AT225" s="50"/>
      <c r="AU225" s="11"/>
      <c r="AV225" s="50"/>
      <c r="AW225" s="50"/>
      <c r="AX225" s="50"/>
      <c r="AY225" s="50"/>
      <c r="AZ225" s="50"/>
      <c r="BA225" s="50"/>
      <c r="BB225" s="50"/>
      <c r="BC225" s="50"/>
      <c r="BD225" s="50"/>
      <c r="BE225" s="20"/>
      <c r="BF225" s="518"/>
      <c r="BG225" s="484"/>
      <c r="BH225" s="484"/>
      <c r="BI225" s="527"/>
      <c r="BJ225" s="484"/>
      <c r="BK225" s="484"/>
      <c r="BL225" s="484"/>
      <c r="BM225" s="484"/>
    </row>
    <row r="226" spans="1:65" s="22" customFormat="1" x14ac:dyDescent="0.25">
      <c r="A226" s="20"/>
      <c r="B226" s="515"/>
      <c r="C226" s="11"/>
      <c r="D226" s="11"/>
      <c r="E226" s="11"/>
      <c r="F226" s="21"/>
      <c r="G226" s="11"/>
      <c r="H226" s="50"/>
      <c r="I226" s="50"/>
      <c r="J226" s="50"/>
      <c r="K226" s="11"/>
      <c r="L226" s="50"/>
      <c r="M226" s="50"/>
      <c r="N226" s="50"/>
      <c r="O226" s="50"/>
      <c r="P226" s="50"/>
      <c r="Q226" s="11"/>
      <c r="R226" s="50"/>
      <c r="S226" s="50"/>
      <c r="T226" s="50"/>
      <c r="U226" s="11"/>
      <c r="V226" s="50"/>
      <c r="W226" s="50"/>
      <c r="X226" s="50"/>
      <c r="Y226" s="50"/>
      <c r="Z226" s="50"/>
      <c r="AA226" s="11"/>
      <c r="AB226" s="50"/>
      <c r="AC226" s="50"/>
      <c r="AD226" s="50"/>
      <c r="AE226" s="11"/>
      <c r="AF226" s="50"/>
      <c r="AG226" s="50"/>
      <c r="AH226" s="50"/>
      <c r="AI226" s="11"/>
      <c r="AJ226" s="50"/>
      <c r="AK226" s="50"/>
      <c r="AL226" s="50"/>
      <c r="AM226" s="11"/>
      <c r="AN226" s="50"/>
      <c r="AO226" s="50"/>
      <c r="AP226" s="50"/>
      <c r="AQ226" s="11"/>
      <c r="AR226" s="50"/>
      <c r="AS226" s="50"/>
      <c r="AT226" s="50"/>
      <c r="AU226" s="11"/>
      <c r="AV226" s="50"/>
      <c r="AW226" s="50"/>
      <c r="AX226" s="50"/>
      <c r="AY226" s="50"/>
      <c r="AZ226" s="50"/>
      <c r="BA226" s="50"/>
      <c r="BB226" s="50"/>
      <c r="BC226" s="50"/>
      <c r="BD226" s="50"/>
      <c r="BE226" s="20"/>
      <c r="BF226" s="518"/>
      <c r="BG226" s="484"/>
      <c r="BH226" s="484"/>
      <c r="BI226" s="527"/>
      <c r="BJ226" s="484"/>
      <c r="BK226" s="484"/>
      <c r="BL226" s="484"/>
      <c r="BM226" s="484"/>
    </row>
    <row r="227" spans="1:65" s="22" customFormat="1" x14ac:dyDescent="0.25">
      <c r="A227" s="20"/>
      <c r="B227" s="515"/>
      <c r="C227" s="11"/>
      <c r="D227" s="11"/>
      <c r="E227" s="11"/>
      <c r="F227" s="21"/>
      <c r="G227" s="11"/>
      <c r="H227" s="50"/>
      <c r="I227" s="50"/>
      <c r="J227" s="50"/>
      <c r="K227" s="11"/>
      <c r="L227" s="50"/>
      <c r="M227" s="50"/>
      <c r="N227" s="50"/>
      <c r="O227" s="50"/>
      <c r="P227" s="50"/>
      <c r="Q227" s="11"/>
      <c r="R227" s="50"/>
      <c r="S227" s="50"/>
      <c r="T227" s="50"/>
      <c r="U227" s="11"/>
      <c r="V227" s="50"/>
      <c r="W227" s="50"/>
      <c r="X227" s="50"/>
      <c r="Y227" s="50"/>
      <c r="Z227" s="50"/>
      <c r="AA227" s="11"/>
      <c r="AB227" s="50"/>
      <c r="AC227" s="50"/>
      <c r="AD227" s="50"/>
      <c r="AE227" s="11"/>
      <c r="AF227" s="50"/>
      <c r="AG227" s="50"/>
      <c r="AH227" s="50"/>
      <c r="AI227" s="11"/>
      <c r="AJ227" s="50"/>
      <c r="AK227" s="50"/>
      <c r="AL227" s="50"/>
      <c r="AM227" s="11"/>
      <c r="AN227" s="50"/>
      <c r="AO227" s="50"/>
      <c r="AP227" s="50"/>
      <c r="AQ227" s="11"/>
      <c r="AR227" s="50"/>
      <c r="AS227" s="50"/>
      <c r="AT227" s="50"/>
      <c r="AU227" s="11"/>
      <c r="AV227" s="50"/>
      <c r="AW227" s="50"/>
      <c r="AX227" s="50"/>
      <c r="AY227" s="50"/>
      <c r="AZ227" s="50"/>
      <c r="BA227" s="50"/>
      <c r="BB227" s="50"/>
      <c r="BC227" s="50"/>
      <c r="BD227" s="50"/>
      <c r="BE227" s="20"/>
      <c r="BF227" s="518"/>
      <c r="BG227" s="484"/>
      <c r="BH227" s="484"/>
      <c r="BI227" s="527"/>
      <c r="BJ227" s="484"/>
      <c r="BK227" s="484"/>
      <c r="BL227" s="484"/>
      <c r="BM227" s="484"/>
    </row>
    <row r="228" spans="1:65" s="22" customFormat="1" x14ac:dyDescent="0.25">
      <c r="A228" s="20"/>
      <c r="B228" s="515"/>
      <c r="C228" s="11"/>
      <c r="D228" s="11"/>
      <c r="E228" s="11"/>
      <c r="F228" s="21"/>
      <c r="G228" s="11"/>
      <c r="H228" s="50"/>
      <c r="I228" s="50"/>
      <c r="J228" s="50"/>
      <c r="K228" s="11"/>
      <c r="L228" s="50"/>
      <c r="M228" s="50"/>
      <c r="N228" s="50"/>
      <c r="O228" s="50"/>
      <c r="P228" s="50"/>
      <c r="Q228" s="11"/>
      <c r="R228" s="50"/>
      <c r="S228" s="50"/>
      <c r="T228" s="50"/>
      <c r="U228" s="11"/>
      <c r="V228" s="50"/>
      <c r="W228" s="50"/>
      <c r="X228" s="50"/>
      <c r="Y228" s="50"/>
      <c r="Z228" s="50"/>
      <c r="AA228" s="11"/>
      <c r="AB228" s="50"/>
      <c r="AC228" s="50"/>
      <c r="AD228" s="50"/>
      <c r="AE228" s="11"/>
      <c r="AF228" s="50"/>
      <c r="AG228" s="50"/>
      <c r="AH228" s="50"/>
      <c r="AI228" s="11"/>
      <c r="AJ228" s="50"/>
      <c r="AK228" s="50"/>
      <c r="AL228" s="50"/>
      <c r="AM228" s="11"/>
      <c r="AN228" s="50"/>
      <c r="AO228" s="50"/>
      <c r="AP228" s="50"/>
      <c r="AQ228" s="11"/>
      <c r="AR228" s="50"/>
      <c r="AS228" s="50"/>
      <c r="AT228" s="50"/>
      <c r="AU228" s="11"/>
      <c r="AV228" s="50"/>
      <c r="AW228" s="50"/>
      <c r="AX228" s="50"/>
      <c r="AY228" s="50"/>
      <c r="AZ228" s="50"/>
      <c r="BA228" s="50"/>
      <c r="BB228" s="50"/>
      <c r="BC228" s="50"/>
      <c r="BD228" s="50"/>
      <c r="BE228" s="20"/>
      <c r="BF228" s="518"/>
      <c r="BG228" s="484"/>
      <c r="BH228" s="484"/>
      <c r="BI228" s="527"/>
      <c r="BJ228" s="484"/>
      <c r="BK228" s="484"/>
      <c r="BL228" s="484"/>
      <c r="BM228" s="484"/>
    </row>
    <row r="229" spans="1:65" s="22" customFormat="1" x14ac:dyDescent="0.25">
      <c r="A229" s="20"/>
      <c r="B229" s="515"/>
      <c r="C229" s="11"/>
      <c r="D229" s="11"/>
      <c r="E229" s="11"/>
      <c r="F229" s="21"/>
      <c r="G229" s="11"/>
      <c r="H229" s="50"/>
      <c r="I229" s="50"/>
      <c r="J229" s="50"/>
      <c r="K229" s="11"/>
      <c r="L229" s="50"/>
      <c r="M229" s="50"/>
      <c r="N229" s="50"/>
      <c r="O229" s="50"/>
      <c r="P229" s="50"/>
      <c r="Q229" s="11"/>
      <c r="R229" s="50"/>
      <c r="S229" s="50"/>
      <c r="T229" s="50"/>
      <c r="U229" s="11"/>
      <c r="V229" s="50"/>
      <c r="W229" s="50"/>
      <c r="X229" s="50"/>
      <c r="Y229" s="50"/>
      <c r="Z229" s="50"/>
      <c r="AA229" s="11"/>
      <c r="AB229" s="50"/>
      <c r="AC229" s="50"/>
      <c r="AD229" s="50"/>
      <c r="AE229" s="11"/>
      <c r="AF229" s="50"/>
      <c r="AG229" s="50"/>
      <c r="AH229" s="50"/>
      <c r="AI229" s="11"/>
      <c r="AJ229" s="50"/>
      <c r="AK229" s="50"/>
      <c r="AL229" s="50"/>
      <c r="AM229" s="11"/>
      <c r="AN229" s="50"/>
      <c r="AO229" s="50"/>
      <c r="AP229" s="50"/>
      <c r="AQ229" s="11"/>
      <c r="AR229" s="50"/>
      <c r="AS229" s="50"/>
      <c r="AT229" s="50"/>
      <c r="AU229" s="11"/>
      <c r="AV229" s="50"/>
      <c r="AW229" s="50"/>
      <c r="AX229" s="50"/>
      <c r="AY229" s="50"/>
      <c r="AZ229" s="50"/>
      <c r="BA229" s="50"/>
      <c r="BB229" s="50"/>
      <c r="BC229" s="50"/>
      <c r="BD229" s="50"/>
      <c r="BE229" s="20"/>
      <c r="BF229" s="518"/>
      <c r="BG229" s="484"/>
      <c r="BH229" s="484"/>
      <c r="BI229" s="527"/>
      <c r="BJ229" s="484"/>
      <c r="BK229" s="484"/>
      <c r="BL229" s="484"/>
      <c r="BM229" s="484"/>
    </row>
    <row r="230" spans="1:65" s="22" customFormat="1" x14ac:dyDescent="0.25">
      <c r="A230" s="20"/>
      <c r="B230" s="515"/>
      <c r="C230" s="11"/>
      <c r="D230" s="11"/>
      <c r="E230" s="11"/>
      <c r="F230" s="21"/>
      <c r="G230" s="11"/>
      <c r="H230" s="50"/>
      <c r="I230" s="50"/>
      <c r="J230" s="50"/>
      <c r="K230" s="11"/>
      <c r="L230" s="50"/>
      <c r="M230" s="50"/>
      <c r="N230" s="50"/>
      <c r="O230" s="50"/>
      <c r="P230" s="50"/>
      <c r="Q230" s="11"/>
      <c r="R230" s="50"/>
      <c r="S230" s="50"/>
      <c r="T230" s="50"/>
      <c r="U230" s="11"/>
      <c r="V230" s="50"/>
      <c r="W230" s="50"/>
      <c r="X230" s="50"/>
      <c r="Y230" s="50"/>
      <c r="Z230" s="50"/>
      <c r="AA230" s="11"/>
      <c r="AB230" s="50"/>
      <c r="AC230" s="50"/>
      <c r="AD230" s="50"/>
      <c r="AE230" s="11"/>
      <c r="AF230" s="50"/>
      <c r="AG230" s="50"/>
      <c r="AH230" s="50"/>
      <c r="AI230" s="11"/>
      <c r="AJ230" s="50"/>
      <c r="AK230" s="50"/>
      <c r="AL230" s="50"/>
      <c r="AM230" s="11"/>
      <c r="AN230" s="50"/>
      <c r="AO230" s="50"/>
      <c r="AP230" s="50"/>
      <c r="AQ230" s="11"/>
      <c r="AR230" s="50"/>
      <c r="AS230" s="50"/>
      <c r="AT230" s="50"/>
      <c r="AU230" s="11"/>
      <c r="AV230" s="50"/>
      <c r="AW230" s="50"/>
      <c r="AX230" s="50"/>
      <c r="AY230" s="50"/>
      <c r="AZ230" s="50"/>
      <c r="BA230" s="50"/>
      <c r="BB230" s="50"/>
      <c r="BC230" s="50"/>
      <c r="BD230" s="50"/>
      <c r="BE230" s="20"/>
      <c r="BF230" s="518"/>
      <c r="BG230" s="484"/>
      <c r="BH230" s="484"/>
      <c r="BI230" s="527"/>
      <c r="BJ230" s="484"/>
      <c r="BK230" s="484"/>
      <c r="BL230" s="484"/>
      <c r="BM230" s="484"/>
    </row>
    <row r="231" spans="1:65" s="22" customFormat="1" x14ac:dyDescent="0.25">
      <c r="A231" s="20"/>
      <c r="B231" s="515"/>
      <c r="C231" s="11"/>
      <c r="D231" s="11"/>
      <c r="E231" s="11"/>
      <c r="F231" s="21"/>
      <c r="G231" s="11"/>
      <c r="H231" s="50"/>
      <c r="I231" s="50"/>
      <c r="J231" s="50"/>
      <c r="K231" s="11"/>
      <c r="L231" s="50"/>
      <c r="M231" s="50"/>
      <c r="N231" s="50"/>
      <c r="O231" s="50"/>
      <c r="P231" s="50"/>
      <c r="Q231" s="11"/>
      <c r="R231" s="50"/>
      <c r="S231" s="50"/>
      <c r="T231" s="50"/>
      <c r="U231" s="11"/>
      <c r="V231" s="50"/>
      <c r="W231" s="50"/>
      <c r="X231" s="50"/>
      <c r="Y231" s="50"/>
      <c r="Z231" s="50"/>
      <c r="AA231" s="11"/>
      <c r="AB231" s="50"/>
      <c r="AC231" s="50"/>
      <c r="AD231" s="50"/>
      <c r="AE231" s="11"/>
      <c r="AF231" s="50"/>
      <c r="AG231" s="50"/>
      <c r="AH231" s="50"/>
      <c r="AI231" s="11"/>
      <c r="AJ231" s="50"/>
      <c r="AK231" s="50"/>
      <c r="AL231" s="50"/>
      <c r="AM231" s="11"/>
      <c r="AN231" s="50"/>
      <c r="AO231" s="50"/>
      <c r="AP231" s="50"/>
      <c r="AQ231" s="11"/>
      <c r="AR231" s="50"/>
      <c r="AS231" s="50"/>
      <c r="AT231" s="50"/>
      <c r="AU231" s="11"/>
      <c r="AV231" s="50"/>
      <c r="AW231" s="50"/>
      <c r="AX231" s="50"/>
      <c r="AY231" s="50"/>
      <c r="AZ231" s="50"/>
      <c r="BA231" s="50"/>
      <c r="BB231" s="50"/>
      <c r="BC231" s="50"/>
      <c r="BD231" s="50"/>
      <c r="BE231" s="20"/>
      <c r="BF231" s="518"/>
      <c r="BG231" s="484"/>
      <c r="BH231" s="484"/>
      <c r="BI231" s="527"/>
      <c r="BJ231" s="484"/>
      <c r="BK231" s="484"/>
      <c r="BL231" s="484"/>
      <c r="BM231" s="484"/>
    </row>
    <row r="232" spans="1:65" s="22" customFormat="1" x14ac:dyDescent="0.25">
      <c r="A232" s="20"/>
      <c r="B232" s="515"/>
      <c r="C232" s="11"/>
      <c r="D232" s="11"/>
      <c r="E232" s="11"/>
      <c r="F232" s="21"/>
      <c r="G232" s="11"/>
      <c r="H232" s="50"/>
      <c r="I232" s="50"/>
      <c r="J232" s="50"/>
      <c r="K232" s="11"/>
      <c r="L232" s="50"/>
      <c r="M232" s="50"/>
      <c r="N232" s="50"/>
      <c r="O232" s="50"/>
      <c r="P232" s="50"/>
      <c r="Q232" s="11"/>
      <c r="R232" s="50"/>
      <c r="S232" s="50"/>
      <c r="T232" s="50"/>
      <c r="U232" s="11"/>
      <c r="V232" s="50"/>
      <c r="W232" s="50"/>
      <c r="X232" s="50"/>
      <c r="Y232" s="50"/>
      <c r="Z232" s="50"/>
      <c r="AA232" s="11"/>
      <c r="AB232" s="50"/>
      <c r="AC232" s="50"/>
      <c r="AD232" s="50"/>
      <c r="AE232" s="11"/>
      <c r="AF232" s="50"/>
      <c r="AG232" s="50"/>
      <c r="AH232" s="50"/>
      <c r="AI232" s="11"/>
      <c r="AJ232" s="50"/>
      <c r="AK232" s="50"/>
      <c r="AL232" s="50"/>
      <c r="AM232" s="11"/>
      <c r="AN232" s="50"/>
      <c r="AO232" s="50"/>
      <c r="AP232" s="50"/>
      <c r="AQ232" s="11"/>
      <c r="AR232" s="50"/>
      <c r="AS232" s="50"/>
      <c r="AT232" s="50"/>
      <c r="AU232" s="11"/>
      <c r="AV232" s="50"/>
      <c r="AW232" s="50"/>
      <c r="AX232" s="50"/>
      <c r="AY232" s="50"/>
      <c r="AZ232" s="50"/>
      <c r="BA232" s="50"/>
      <c r="BB232" s="50"/>
      <c r="BC232" s="50"/>
      <c r="BD232" s="50"/>
      <c r="BE232" s="20"/>
      <c r="BF232" s="518"/>
      <c r="BG232" s="484"/>
      <c r="BH232" s="484"/>
      <c r="BI232" s="527"/>
      <c r="BJ232" s="484"/>
      <c r="BK232" s="484"/>
      <c r="BL232" s="484"/>
      <c r="BM232" s="484"/>
    </row>
    <row r="233" spans="1:65" s="22" customFormat="1" x14ac:dyDescent="0.25">
      <c r="A233" s="20"/>
      <c r="B233" s="515"/>
      <c r="C233" s="11"/>
      <c r="D233" s="11"/>
      <c r="E233" s="11"/>
      <c r="F233" s="21"/>
      <c r="G233" s="11"/>
      <c r="H233" s="50"/>
      <c r="I233" s="50"/>
      <c r="J233" s="50"/>
      <c r="K233" s="11"/>
      <c r="L233" s="50"/>
      <c r="M233" s="50"/>
      <c r="N233" s="50"/>
      <c r="O233" s="50"/>
      <c r="P233" s="50"/>
      <c r="Q233" s="11"/>
      <c r="R233" s="50"/>
      <c r="S233" s="50"/>
      <c r="T233" s="50"/>
      <c r="U233" s="11"/>
      <c r="V233" s="50"/>
      <c r="W233" s="50"/>
      <c r="X233" s="50"/>
      <c r="Y233" s="50"/>
      <c r="Z233" s="50"/>
      <c r="AA233" s="11"/>
      <c r="AB233" s="50"/>
      <c r="AC233" s="50"/>
      <c r="AD233" s="50"/>
      <c r="AE233" s="11"/>
      <c r="AF233" s="50"/>
      <c r="AG233" s="50"/>
      <c r="AH233" s="50"/>
      <c r="AI233" s="11"/>
      <c r="AJ233" s="50"/>
      <c r="AK233" s="50"/>
      <c r="AL233" s="50"/>
      <c r="AM233" s="11"/>
      <c r="AN233" s="50"/>
      <c r="AO233" s="50"/>
      <c r="AP233" s="50"/>
      <c r="AQ233" s="11"/>
      <c r="AR233" s="50"/>
      <c r="AS233" s="50"/>
      <c r="AT233" s="50"/>
      <c r="AU233" s="11"/>
      <c r="AV233" s="50"/>
      <c r="AW233" s="50"/>
      <c r="AX233" s="50"/>
      <c r="AY233" s="50"/>
      <c r="AZ233" s="50"/>
      <c r="BA233" s="50"/>
      <c r="BB233" s="50"/>
      <c r="BC233" s="50"/>
      <c r="BD233" s="50"/>
      <c r="BE233" s="20"/>
      <c r="BF233" s="518"/>
      <c r="BG233" s="484"/>
      <c r="BH233" s="484"/>
      <c r="BI233" s="527"/>
      <c r="BJ233" s="484"/>
      <c r="BK233" s="484"/>
      <c r="BL233" s="484"/>
      <c r="BM233" s="484"/>
    </row>
    <row r="234" spans="1:65" s="22" customFormat="1" x14ac:dyDescent="0.25">
      <c r="A234" s="20"/>
      <c r="B234" s="515"/>
      <c r="C234" s="11"/>
      <c r="D234" s="11"/>
      <c r="E234" s="11"/>
      <c r="F234" s="21"/>
      <c r="G234" s="11"/>
      <c r="H234" s="50"/>
      <c r="I234" s="50"/>
      <c r="J234" s="50"/>
      <c r="K234" s="11"/>
      <c r="L234" s="50"/>
      <c r="M234" s="50"/>
      <c r="N234" s="50"/>
      <c r="O234" s="50"/>
      <c r="P234" s="50"/>
      <c r="Q234" s="11"/>
      <c r="R234" s="50"/>
      <c r="S234" s="50"/>
      <c r="T234" s="50"/>
      <c r="U234" s="11"/>
      <c r="V234" s="50"/>
      <c r="W234" s="50"/>
      <c r="X234" s="50"/>
      <c r="Y234" s="50"/>
      <c r="Z234" s="50"/>
      <c r="AA234" s="11"/>
      <c r="AB234" s="50"/>
      <c r="AC234" s="50"/>
      <c r="AD234" s="50"/>
      <c r="AE234" s="11"/>
      <c r="AF234" s="50"/>
      <c r="AG234" s="50"/>
      <c r="AH234" s="50"/>
      <c r="AI234" s="11"/>
      <c r="AJ234" s="50"/>
      <c r="AK234" s="50"/>
      <c r="AL234" s="50"/>
      <c r="AM234" s="11"/>
      <c r="AN234" s="50"/>
      <c r="AO234" s="50"/>
      <c r="AP234" s="50"/>
      <c r="AQ234" s="11"/>
      <c r="AR234" s="50"/>
      <c r="AS234" s="50"/>
      <c r="AT234" s="50"/>
      <c r="AU234" s="11"/>
      <c r="AV234" s="50"/>
      <c r="AW234" s="50"/>
      <c r="AX234" s="50"/>
      <c r="AY234" s="50"/>
      <c r="AZ234" s="50"/>
      <c r="BA234" s="50"/>
      <c r="BB234" s="50"/>
      <c r="BC234" s="50"/>
      <c r="BD234" s="50"/>
      <c r="BE234" s="20"/>
      <c r="BF234" s="518"/>
      <c r="BG234" s="484"/>
      <c r="BH234" s="484"/>
      <c r="BI234" s="527"/>
      <c r="BJ234" s="484"/>
      <c r="BK234" s="484"/>
      <c r="BL234" s="484"/>
      <c r="BM234" s="484"/>
    </row>
    <row r="235" spans="1:65" s="22" customFormat="1" x14ac:dyDescent="0.25">
      <c r="A235" s="20"/>
      <c r="B235" s="515"/>
      <c r="C235" s="11"/>
      <c r="D235" s="11"/>
      <c r="E235" s="11"/>
      <c r="F235" s="21"/>
      <c r="G235" s="11"/>
      <c r="H235" s="50"/>
      <c r="I235" s="50"/>
      <c r="J235" s="50"/>
      <c r="K235" s="11"/>
      <c r="L235" s="50"/>
      <c r="M235" s="50"/>
      <c r="N235" s="50"/>
      <c r="O235" s="50"/>
      <c r="P235" s="50"/>
      <c r="Q235" s="11"/>
      <c r="R235" s="50"/>
      <c r="S235" s="50"/>
      <c r="T235" s="50"/>
      <c r="U235" s="11"/>
      <c r="V235" s="50"/>
      <c r="W235" s="50"/>
      <c r="X235" s="50"/>
      <c r="Y235" s="50"/>
      <c r="Z235" s="50"/>
      <c r="AA235" s="11"/>
      <c r="AB235" s="50"/>
      <c r="AC235" s="50"/>
      <c r="AD235" s="50"/>
      <c r="AE235" s="11"/>
      <c r="AF235" s="50"/>
      <c r="AG235" s="50"/>
      <c r="AH235" s="50"/>
      <c r="AI235" s="11"/>
      <c r="AJ235" s="50"/>
      <c r="AK235" s="50"/>
      <c r="AL235" s="50"/>
      <c r="AM235" s="11"/>
      <c r="AN235" s="50"/>
      <c r="AO235" s="50"/>
      <c r="AP235" s="50"/>
      <c r="AQ235" s="11"/>
      <c r="AR235" s="50"/>
      <c r="AS235" s="50"/>
      <c r="AT235" s="50"/>
      <c r="AU235" s="11"/>
      <c r="AV235" s="50"/>
      <c r="AW235" s="50"/>
      <c r="AX235" s="50"/>
      <c r="AY235" s="50"/>
      <c r="AZ235" s="50"/>
      <c r="BA235" s="50"/>
      <c r="BB235" s="50"/>
      <c r="BC235" s="50"/>
      <c r="BD235" s="50"/>
      <c r="BE235" s="20"/>
      <c r="BF235" s="518"/>
      <c r="BG235" s="484"/>
      <c r="BH235" s="484"/>
      <c r="BI235" s="527"/>
      <c r="BJ235" s="484"/>
      <c r="BK235" s="484"/>
      <c r="BL235" s="484"/>
      <c r="BM235" s="484"/>
    </row>
    <row r="236" spans="1:65" s="22" customFormat="1" x14ac:dyDescent="0.25">
      <c r="A236" s="20"/>
      <c r="B236" s="515"/>
      <c r="C236" s="11"/>
      <c r="D236" s="11"/>
      <c r="E236" s="11"/>
      <c r="F236" s="21"/>
      <c r="G236" s="11"/>
      <c r="H236" s="50"/>
      <c r="I236" s="50"/>
      <c r="J236" s="50"/>
      <c r="K236" s="11"/>
      <c r="L236" s="50"/>
      <c r="M236" s="50"/>
      <c r="N236" s="50"/>
      <c r="O236" s="50"/>
      <c r="P236" s="50"/>
      <c r="Q236" s="11"/>
      <c r="R236" s="50"/>
      <c r="S236" s="50"/>
      <c r="T236" s="50"/>
      <c r="U236" s="11"/>
      <c r="V236" s="50"/>
      <c r="W236" s="50"/>
      <c r="X236" s="50"/>
      <c r="Y236" s="50"/>
      <c r="Z236" s="50"/>
      <c r="AA236" s="11"/>
      <c r="AB236" s="50"/>
      <c r="AC236" s="50"/>
      <c r="AD236" s="50"/>
      <c r="AE236" s="11"/>
      <c r="AF236" s="50"/>
      <c r="AG236" s="50"/>
      <c r="AH236" s="50"/>
      <c r="AI236" s="11"/>
      <c r="AJ236" s="50"/>
      <c r="AK236" s="50"/>
      <c r="AL236" s="50"/>
      <c r="AM236" s="11"/>
      <c r="AN236" s="50"/>
      <c r="AO236" s="50"/>
      <c r="AP236" s="50"/>
      <c r="AQ236" s="11"/>
      <c r="AR236" s="50"/>
      <c r="AS236" s="50"/>
      <c r="AT236" s="50"/>
      <c r="AU236" s="11"/>
      <c r="AV236" s="50"/>
      <c r="AW236" s="50"/>
      <c r="AX236" s="50"/>
      <c r="AY236" s="50"/>
      <c r="AZ236" s="50"/>
      <c r="BA236" s="50"/>
      <c r="BB236" s="50"/>
      <c r="BC236" s="50"/>
      <c r="BD236" s="50"/>
      <c r="BE236" s="20"/>
      <c r="BF236" s="518"/>
      <c r="BG236" s="484"/>
      <c r="BH236" s="484"/>
      <c r="BI236" s="527"/>
      <c r="BJ236" s="484"/>
      <c r="BK236" s="484"/>
      <c r="BL236" s="484"/>
      <c r="BM236" s="484"/>
    </row>
    <row r="237" spans="1:65" s="22" customFormat="1" x14ac:dyDescent="0.25">
      <c r="A237" s="20"/>
      <c r="B237" s="515"/>
      <c r="C237" s="11"/>
      <c r="D237" s="11"/>
      <c r="E237" s="11"/>
      <c r="F237" s="21"/>
      <c r="G237" s="11"/>
      <c r="H237" s="50"/>
      <c r="I237" s="50"/>
      <c r="J237" s="50"/>
      <c r="K237" s="11"/>
      <c r="L237" s="50"/>
      <c r="M237" s="50"/>
      <c r="N237" s="50"/>
      <c r="O237" s="50"/>
      <c r="P237" s="50"/>
      <c r="Q237" s="11"/>
      <c r="R237" s="50"/>
      <c r="S237" s="50"/>
      <c r="T237" s="50"/>
      <c r="U237" s="11"/>
      <c r="V237" s="50"/>
      <c r="W237" s="50"/>
      <c r="X237" s="50"/>
      <c r="Y237" s="50"/>
      <c r="Z237" s="50"/>
      <c r="AA237" s="11"/>
      <c r="AB237" s="50"/>
      <c r="AC237" s="50"/>
      <c r="AD237" s="50"/>
      <c r="AE237" s="11"/>
      <c r="AF237" s="50"/>
      <c r="AG237" s="50"/>
      <c r="AH237" s="50"/>
      <c r="AI237" s="11"/>
      <c r="AJ237" s="50"/>
      <c r="AK237" s="50"/>
      <c r="AL237" s="50"/>
      <c r="AM237" s="11"/>
      <c r="AN237" s="50"/>
      <c r="AO237" s="50"/>
      <c r="AP237" s="50"/>
      <c r="AQ237" s="11"/>
      <c r="AR237" s="50"/>
      <c r="AS237" s="50"/>
      <c r="AT237" s="50"/>
      <c r="AU237" s="11"/>
      <c r="AV237" s="50"/>
      <c r="AW237" s="50"/>
      <c r="AX237" s="50"/>
      <c r="AY237" s="50"/>
      <c r="AZ237" s="50"/>
      <c r="BA237" s="50"/>
      <c r="BB237" s="50"/>
      <c r="BC237" s="50"/>
      <c r="BD237" s="50"/>
      <c r="BE237" s="20"/>
      <c r="BF237" s="518"/>
      <c r="BG237" s="484"/>
      <c r="BH237" s="484"/>
      <c r="BI237" s="527"/>
      <c r="BJ237" s="484"/>
      <c r="BK237" s="484"/>
      <c r="BL237" s="484"/>
      <c r="BM237" s="484"/>
    </row>
    <row r="238" spans="1:65" s="22" customFormat="1" x14ac:dyDescent="0.25">
      <c r="A238" s="20"/>
      <c r="B238" s="515"/>
      <c r="C238" s="11"/>
      <c r="D238" s="11"/>
      <c r="E238" s="11"/>
      <c r="F238" s="21"/>
      <c r="G238" s="11"/>
      <c r="H238" s="50"/>
      <c r="I238" s="50"/>
      <c r="J238" s="50"/>
      <c r="K238" s="11"/>
      <c r="L238" s="50"/>
      <c r="M238" s="50"/>
      <c r="N238" s="50"/>
      <c r="O238" s="50"/>
      <c r="P238" s="50"/>
      <c r="Q238" s="11"/>
      <c r="R238" s="50"/>
      <c r="S238" s="50"/>
      <c r="T238" s="50"/>
      <c r="U238" s="11"/>
      <c r="V238" s="50"/>
      <c r="W238" s="50"/>
      <c r="X238" s="50"/>
      <c r="Y238" s="50"/>
      <c r="Z238" s="50"/>
      <c r="AA238" s="11"/>
      <c r="AB238" s="50"/>
      <c r="AC238" s="50"/>
      <c r="AD238" s="50"/>
      <c r="AE238" s="11"/>
      <c r="AF238" s="50"/>
      <c r="AG238" s="50"/>
      <c r="AH238" s="50"/>
      <c r="AI238" s="11"/>
      <c r="AJ238" s="50"/>
      <c r="AK238" s="50"/>
      <c r="AL238" s="50"/>
      <c r="AM238" s="11"/>
      <c r="AN238" s="50"/>
      <c r="AO238" s="50"/>
      <c r="AP238" s="50"/>
      <c r="AQ238" s="11"/>
      <c r="AR238" s="50"/>
      <c r="AS238" s="50"/>
      <c r="AT238" s="50"/>
      <c r="AU238" s="11"/>
      <c r="AV238" s="50"/>
      <c r="AW238" s="50"/>
      <c r="AX238" s="50"/>
      <c r="AY238" s="50"/>
      <c r="AZ238" s="50"/>
      <c r="BA238" s="50"/>
      <c r="BB238" s="50"/>
      <c r="BC238" s="50"/>
      <c r="BD238" s="50"/>
      <c r="BE238" s="20"/>
      <c r="BF238" s="518"/>
      <c r="BG238" s="484"/>
      <c r="BH238" s="484"/>
      <c r="BI238" s="527"/>
      <c r="BJ238" s="484"/>
      <c r="BK238" s="484"/>
      <c r="BL238" s="484"/>
      <c r="BM238" s="484"/>
    </row>
    <row r="239" spans="1:65" s="22" customFormat="1" x14ac:dyDescent="0.25">
      <c r="A239" s="20"/>
      <c r="B239" s="515"/>
      <c r="C239" s="11"/>
      <c r="D239" s="11"/>
      <c r="E239" s="11"/>
      <c r="F239" s="21"/>
      <c r="G239" s="11"/>
      <c r="H239" s="50"/>
      <c r="I239" s="50"/>
      <c r="J239" s="50"/>
      <c r="K239" s="11"/>
      <c r="L239" s="50"/>
      <c r="M239" s="50"/>
      <c r="N239" s="50"/>
      <c r="O239" s="50"/>
      <c r="P239" s="50"/>
      <c r="Q239" s="11"/>
      <c r="R239" s="50"/>
      <c r="S239" s="50"/>
      <c r="T239" s="50"/>
      <c r="U239" s="11"/>
      <c r="V239" s="50"/>
      <c r="W239" s="50"/>
      <c r="X239" s="50"/>
      <c r="Y239" s="50"/>
      <c r="Z239" s="50"/>
      <c r="AA239" s="11"/>
      <c r="AB239" s="50"/>
      <c r="AC239" s="50"/>
      <c r="AD239" s="50"/>
      <c r="AE239" s="11"/>
      <c r="AF239" s="50"/>
      <c r="AG239" s="50"/>
      <c r="AH239" s="50"/>
      <c r="AI239" s="11"/>
      <c r="AJ239" s="50"/>
      <c r="AK239" s="50"/>
      <c r="AL239" s="50"/>
      <c r="AM239" s="11"/>
      <c r="AN239" s="50"/>
      <c r="AO239" s="50"/>
      <c r="AP239" s="50"/>
      <c r="AQ239" s="11"/>
      <c r="AR239" s="50"/>
      <c r="AS239" s="50"/>
      <c r="AT239" s="50"/>
      <c r="AU239" s="11"/>
      <c r="AV239" s="50"/>
      <c r="AW239" s="50"/>
      <c r="AX239" s="50"/>
      <c r="AY239" s="50"/>
      <c r="AZ239" s="50"/>
      <c r="BA239" s="50"/>
      <c r="BB239" s="50"/>
      <c r="BC239" s="50"/>
      <c r="BD239" s="50"/>
      <c r="BE239" s="20"/>
      <c r="BF239" s="518"/>
      <c r="BG239" s="484"/>
      <c r="BH239" s="484"/>
      <c r="BI239" s="527"/>
      <c r="BJ239" s="484"/>
      <c r="BK239" s="484"/>
      <c r="BL239" s="484"/>
      <c r="BM239" s="484"/>
    </row>
    <row r="240" spans="1:65" s="22" customFormat="1" x14ac:dyDescent="0.25">
      <c r="A240" s="20"/>
      <c r="B240" s="515"/>
      <c r="C240" s="11"/>
      <c r="D240" s="11"/>
      <c r="E240" s="11"/>
      <c r="F240" s="21"/>
      <c r="G240" s="11"/>
      <c r="H240" s="50"/>
      <c r="I240" s="50"/>
      <c r="J240" s="50"/>
      <c r="K240" s="11"/>
      <c r="L240" s="50"/>
      <c r="M240" s="50"/>
      <c r="N240" s="50"/>
      <c r="O240" s="50"/>
      <c r="P240" s="50"/>
      <c r="Q240" s="11"/>
      <c r="R240" s="50"/>
      <c r="S240" s="50"/>
      <c r="T240" s="50"/>
      <c r="U240" s="11"/>
      <c r="V240" s="50"/>
      <c r="W240" s="50"/>
      <c r="X240" s="50"/>
      <c r="Y240" s="50"/>
      <c r="Z240" s="50"/>
      <c r="AA240" s="11"/>
      <c r="AB240" s="50"/>
      <c r="AC240" s="50"/>
      <c r="AD240" s="50"/>
      <c r="AE240" s="11"/>
      <c r="AF240" s="50"/>
      <c r="AG240" s="50"/>
      <c r="AH240" s="50"/>
      <c r="AI240" s="11"/>
      <c r="AJ240" s="50"/>
      <c r="AK240" s="50"/>
      <c r="AL240" s="50"/>
      <c r="AM240" s="11"/>
      <c r="AN240" s="50"/>
      <c r="AO240" s="50"/>
      <c r="AP240" s="50"/>
      <c r="AQ240" s="11"/>
      <c r="AR240" s="50"/>
      <c r="AS240" s="50"/>
      <c r="AT240" s="50"/>
      <c r="AU240" s="11"/>
      <c r="AV240" s="50"/>
      <c r="AW240" s="50"/>
      <c r="AX240" s="50"/>
      <c r="AY240" s="50"/>
      <c r="AZ240" s="50"/>
      <c r="BA240" s="50"/>
      <c r="BB240" s="50"/>
      <c r="BC240" s="50"/>
      <c r="BD240" s="50"/>
      <c r="BE240" s="20"/>
      <c r="BF240" s="518"/>
      <c r="BG240" s="484"/>
      <c r="BH240" s="484"/>
      <c r="BI240" s="527"/>
      <c r="BJ240" s="484"/>
      <c r="BK240" s="484"/>
      <c r="BL240" s="484"/>
      <c r="BM240" s="484"/>
    </row>
    <row r="241" spans="1:65" s="22" customFormat="1" x14ac:dyDescent="0.25">
      <c r="A241" s="20"/>
      <c r="B241" s="515"/>
      <c r="C241" s="11"/>
      <c r="D241" s="11"/>
      <c r="E241" s="11"/>
      <c r="F241" s="21"/>
      <c r="G241" s="11"/>
      <c r="H241" s="50"/>
      <c r="I241" s="50"/>
      <c r="J241" s="50"/>
      <c r="K241" s="11"/>
      <c r="L241" s="50"/>
      <c r="M241" s="50"/>
      <c r="N241" s="50"/>
      <c r="O241" s="50"/>
      <c r="P241" s="50"/>
      <c r="Q241" s="11"/>
      <c r="R241" s="50"/>
      <c r="S241" s="50"/>
      <c r="T241" s="50"/>
      <c r="U241" s="11"/>
      <c r="V241" s="50"/>
      <c r="W241" s="50"/>
      <c r="X241" s="50"/>
      <c r="Y241" s="50"/>
      <c r="Z241" s="50"/>
      <c r="AA241" s="11"/>
      <c r="AB241" s="50"/>
      <c r="AC241" s="50"/>
      <c r="AD241" s="50"/>
      <c r="AE241" s="11"/>
      <c r="AF241" s="50"/>
      <c r="AG241" s="50"/>
      <c r="AH241" s="50"/>
      <c r="AI241" s="11"/>
      <c r="AJ241" s="50"/>
      <c r="AK241" s="50"/>
      <c r="AL241" s="50"/>
      <c r="AM241" s="11"/>
      <c r="AN241" s="50"/>
      <c r="AO241" s="50"/>
      <c r="AP241" s="50"/>
      <c r="AQ241" s="11"/>
      <c r="AR241" s="50"/>
      <c r="AS241" s="50"/>
      <c r="AT241" s="50"/>
      <c r="AU241" s="11"/>
      <c r="AV241" s="50"/>
      <c r="AW241" s="50"/>
      <c r="AX241" s="50"/>
      <c r="AY241" s="50"/>
      <c r="AZ241" s="50"/>
      <c r="BA241" s="50"/>
      <c r="BB241" s="50"/>
      <c r="BC241" s="50"/>
      <c r="BD241" s="50"/>
      <c r="BE241" s="20"/>
      <c r="BF241" s="518"/>
      <c r="BG241" s="484"/>
      <c r="BH241" s="484"/>
      <c r="BI241" s="527"/>
      <c r="BJ241" s="484"/>
      <c r="BK241" s="484"/>
      <c r="BL241" s="484"/>
      <c r="BM241" s="484"/>
    </row>
    <row r="242" spans="1:65" s="22" customFormat="1" x14ac:dyDescent="0.25">
      <c r="A242" s="20"/>
      <c r="B242" s="515"/>
      <c r="C242" s="11"/>
      <c r="D242" s="11"/>
      <c r="E242" s="11"/>
      <c r="F242" s="21"/>
      <c r="G242" s="11"/>
      <c r="H242" s="50"/>
      <c r="I242" s="50"/>
      <c r="J242" s="50"/>
      <c r="K242" s="11"/>
      <c r="L242" s="50"/>
      <c r="M242" s="50"/>
      <c r="N242" s="50"/>
      <c r="O242" s="50"/>
      <c r="P242" s="50"/>
      <c r="Q242" s="11"/>
      <c r="R242" s="50"/>
      <c r="S242" s="50"/>
      <c r="T242" s="50"/>
      <c r="U242" s="11"/>
      <c r="V242" s="50"/>
      <c r="W242" s="50"/>
      <c r="X242" s="50"/>
      <c r="Y242" s="50"/>
      <c r="Z242" s="50"/>
      <c r="AA242" s="11"/>
      <c r="AB242" s="50"/>
      <c r="AC242" s="50"/>
      <c r="AD242" s="50"/>
      <c r="AE242" s="11"/>
      <c r="AF242" s="50"/>
      <c r="AG242" s="50"/>
      <c r="AH242" s="50"/>
      <c r="AI242" s="11"/>
      <c r="AJ242" s="50"/>
      <c r="AK242" s="50"/>
      <c r="AL242" s="50"/>
      <c r="AM242" s="11"/>
      <c r="AN242" s="50"/>
      <c r="AO242" s="50"/>
      <c r="AP242" s="50"/>
      <c r="AQ242" s="11"/>
      <c r="AR242" s="50"/>
      <c r="AS242" s="50"/>
      <c r="AT242" s="50"/>
      <c r="AU242" s="11"/>
      <c r="AV242" s="50"/>
      <c r="AW242" s="50"/>
      <c r="AX242" s="50"/>
      <c r="AY242" s="50"/>
      <c r="AZ242" s="50"/>
      <c r="BA242" s="50"/>
      <c r="BB242" s="50"/>
      <c r="BC242" s="50"/>
      <c r="BD242" s="50"/>
      <c r="BE242" s="20"/>
      <c r="BF242" s="518"/>
      <c r="BG242" s="484"/>
      <c r="BH242" s="484"/>
      <c r="BI242" s="527"/>
      <c r="BJ242" s="484"/>
      <c r="BK242" s="484"/>
      <c r="BL242" s="484"/>
      <c r="BM242" s="484"/>
    </row>
    <row r="243" spans="1:65" s="22" customFormat="1" x14ac:dyDescent="0.25">
      <c r="A243" s="20"/>
      <c r="B243" s="515"/>
      <c r="C243" s="11"/>
      <c r="D243" s="11"/>
      <c r="E243" s="11"/>
      <c r="F243" s="21"/>
      <c r="G243" s="11"/>
      <c r="H243" s="50"/>
      <c r="I243" s="50"/>
      <c r="J243" s="50"/>
      <c r="K243" s="11"/>
      <c r="L243" s="50"/>
      <c r="M243" s="50"/>
      <c r="N243" s="50"/>
      <c r="O243" s="50"/>
      <c r="P243" s="50"/>
      <c r="Q243" s="11"/>
      <c r="R243" s="50"/>
      <c r="S243" s="50"/>
      <c r="T243" s="50"/>
      <c r="U243" s="11"/>
      <c r="V243" s="50"/>
      <c r="W243" s="50"/>
      <c r="X243" s="50"/>
      <c r="Y243" s="50"/>
      <c r="Z243" s="50"/>
      <c r="AA243" s="11"/>
      <c r="AB243" s="50"/>
      <c r="AC243" s="50"/>
      <c r="AD243" s="50"/>
      <c r="AE243" s="11"/>
      <c r="AF243" s="50"/>
      <c r="AG243" s="50"/>
      <c r="AH243" s="50"/>
      <c r="AI243" s="11"/>
      <c r="AJ243" s="50"/>
      <c r="AK243" s="50"/>
      <c r="AL243" s="50"/>
      <c r="AM243" s="11"/>
      <c r="AN243" s="50"/>
      <c r="AO243" s="50"/>
      <c r="AP243" s="50"/>
      <c r="AQ243" s="11"/>
      <c r="AR243" s="50"/>
      <c r="AS243" s="50"/>
      <c r="AT243" s="50"/>
      <c r="AU243" s="11"/>
      <c r="AV243" s="50"/>
      <c r="AW243" s="50"/>
      <c r="AX243" s="50"/>
      <c r="AY243" s="50"/>
      <c r="AZ243" s="50"/>
      <c r="BA243" s="50"/>
      <c r="BB243" s="50"/>
      <c r="BC243" s="50"/>
      <c r="BD243" s="50"/>
      <c r="BE243" s="20"/>
      <c r="BF243" s="518"/>
      <c r="BG243" s="484"/>
      <c r="BH243" s="484"/>
      <c r="BI243" s="527"/>
      <c r="BJ243" s="484"/>
      <c r="BK243" s="484"/>
      <c r="BL243" s="484"/>
      <c r="BM243" s="484"/>
    </row>
    <row r="244" spans="1:65" s="22" customFormat="1" x14ac:dyDescent="0.25">
      <c r="A244" s="20"/>
      <c r="B244" s="515"/>
      <c r="C244" s="11"/>
      <c r="D244" s="11"/>
      <c r="E244" s="11"/>
      <c r="F244" s="21"/>
      <c r="G244" s="11"/>
      <c r="H244" s="50"/>
      <c r="I244" s="50"/>
      <c r="J244" s="50"/>
      <c r="K244" s="11"/>
      <c r="L244" s="50"/>
      <c r="M244" s="50"/>
      <c r="N244" s="50"/>
      <c r="O244" s="50"/>
      <c r="P244" s="50"/>
      <c r="Q244" s="11"/>
      <c r="R244" s="50"/>
      <c r="S244" s="50"/>
      <c r="T244" s="50"/>
      <c r="U244" s="11"/>
      <c r="V244" s="50"/>
      <c r="W244" s="50"/>
      <c r="X244" s="50"/>
      <c r="Y244" s="50"/>
      <c r="Z244" s="50"/>
      <c r="AA244" s="11"/>
      <c r="AB244" s="50"/>
      <c r="AC244" s="50"/>
      <c r="AD244" s="50"/>
      <c r="AE244" s="11"/>
      <c r="AF244" s="50"/>
      <c r="AG244" s="50"/>
      <c r="AH244" s="50"/>
      <c r="AI244" s="11"/>
      <c r="AJ244" s="50"/>
      <c r="AK244" s="50"/>
      <c r="AL244" s="50"/>
      <c r="AM244" s="11"/>
      <c r="AN244" s="50"/>
      <c r="AO244" s="50"/>
      <c r="AP244" s="50"/>
      <c r="AQ244" s="11"/>
      <c r="AR244" s="50"/>
      <c r="AS244" s="50"/>
      <c r="AT244" s="50"/>
      <c r="AU244" s="11"/>
      <c r="AV244" s="50"/>
      <c r="AW244" s="50"/>
      <c r="AX244" s="50"/>
      <c r="AY244" s="50"/>
      <c r="AZ244" s="50"/>
      <c r="BA244" s="50"/>
      <c r="BB244" s="50"/>
      <c r="BC244" s="50"/>
      <c r="BD244" s="50"/>
      <c r="BE244" s="20"/>
      <c r="BF244" s="518"/>
      <c r="BG244" s="484"/>
      <c r="BH244" s="484"/>
      <c r="BI244" s="527"/>
      <c r="BJ244" s="484"/>
      <c r="BK244" s="484"/>
      <c r="BL244" s="484"/>
      <c r="BM244" s="484"/>
    </row>
    <row r="245" spans="1:65" s="22" customFormat="1" x14ac:dyDescent="0.25">
      <c r="A245" s="20"/>
      <c r="B245" s="515"/>
      <c r="C245" s="11"/>
      <c r="D245" s="11"/>
      <c r="E245" s="11"/>
      <c r="F245" s="21"/>
      <c r="G245" s="11"/>
      <c r="H245" s="50"/>
      <c r="I245" s="50"/>
      <c r="J245" s="50"/>
      <c r="K245" s="11"/>
      <c r="L245" s="50"/>
      <c r="M245" s="50"/>
      <c r="N245" s="50"/>
      <c r="O245" s="50"/>
      <c r="P245" s="50"/>
      <c r="Q245" s="11"/>
      <c r="R245" s="50"/>
      <c r="S245" s="50"/>
      <c r="T245" s="50"/>
      <c r="U245" s="11"/>
      <c r="V245" s="50"/>
      <c r="W245" s="50"/>
      <c r="X245" s="50"/>
      <c r="Y245" s="50"/>
      <c r="Z245" s="50"/>
      <c r="AA245" s="11"/>
      <c r="AB245" s="50"/>
      <c r="AC245" s="50"/>
      <c r="AD245" s="50"/>
      <c r="AE245" s="11"/>
      <c r="AF245" s="50"/>
      <c r="AG245" s="50"/>
      <c r="AH245" s="50"/>
      <c r="AI245" s="11"/>
      <c r="AJ245" s="50"/>
      <c r="AK245" s="50"/>
      <c r="AL245" s="50"/>
      <c r="AM245" s="11"/>
      <c r="AN245" s="50"/>
      <c r="AO245" s="50"/>
      <c r="AP245" s="50"/>
      <c r="AQ245" s="11"/>
      <c r="AR245" s="50"/>
      <c r="AS245" s="50"/>
      <c r="AT245" s="50"/>
      <c r="AU245" s="11"/>
      <c r="AV245" s="50"/>
      <c r="AW245" s="50"/>
      <c r="AX245" s="50"/>
      <c r="AY245" s="50"/>
      <c r="AZ245" s="50"/>
      <c r="BA245" s="50"/>
      <c r="BB245" s="50"/>
      <c r="BC245" s="50"/>
      <c r="BD245" s="50"/>
      <c r="BE245" s="20"/>
      <c r="BF245" s="518"/>
      <c r="BG245" s="484"/>
      <c r="BH245" s="484"/>
      <c r="BI245" s="527"/>
      <c r="BJ245" s="484"/>
      <c r="BK245" s="484"/>
      <c r="BL245" s="484"/>
      <c r="BM245" s="484"/>
    </row>
    <row r="246" spans="1:65" s="22" customFormat="1" x14ac:dyDescent="0.25">
      <c r="A246" s="20"/>
      <c r="B246" s="515"/>
      <c r="C246" s="11"/>
      <c r="D246" s="11"/>
      <c r="E246" s="11"/>
      <c r="F246" s="21"/>
      <c r="G246" s="11"/>
      <c r="H246" s="50"/>
      <c r="I246" s="50"/>
      <c r="J246" s="50"/>
      <c r="K246" s="11"/>
      <c r="L246" s="50"/>
      <c r="M246" s="50"/>
      <c r="N246" s="50"/>
      <c r="O246" s="50"/>
      <c r="P246" s="50"/>
      <c r="Q246" s="11"/>
      <c r="R246" s="50"/>
      <c r="S246" s="50"/>
      <c r="T246" s="50"/>
      <c r="U246" s="11"/>
      <c r="V246" s="50"/>
      <c r="W246" s="50"/>
      <c r="X246" s="50"/>
      <c r="Y246" s="50"/>
      <c r="Z246" s="50"/>
      <c r="AA246" s="11"/>
      <c r="AB246" s="50"/>
      <c r="AC246" s="50"/>
      <c r="AD246" s="50"/>
      <c r="AE246" s="11"/>
      <c r="AF246" s="50"/>
      <c r="AG246" s="50"/>
      <c r="AH246" s="50"/>
      <c r="AI246" s="11"/>
      <c r="AJ246" s="50"/>
      <c r="AK246" s="50"/>
      <c r="AL246" s="50"/>
      <c r="AM246" s="11"/>
      <c r="AN246" s="50"/>
      <c r="AO246" s="50"/>
      <c r="AP246" s="50"/>
      <c r="AQ246" s="11"/>
      <c r="AR246" s="50"/>
      <c r="AS246" s="50"/>
      <c r="AT246" s="50"/>
      <c r="AU246" s="11"/>
      <c r="AV246" s="50"/>
      <c r="AW246" s="50"/>
      <c r="AX246" s="50"/>
      <c r="AY246" s="50"/>
      <c r="AZ246" s="50"/>
      <c r="BA246" s="50"/>
      <c r="BB246" s="50"/>
      <c r="BC246" s="50"/>
      <c r="BD246" s="50"/>
      <c r="BE246" s="20"/>
      <c r="BF246" s="518"/>
      <c r="BG246" s="484"/>
      <c r="BH246" s="484"/>
      <c r="BI246" s="527"/>
      <c r="BJ246" s="484"/>
      <c r="BK246" s="484"/>
      <c r="BL246" s="484"/>
      <c r="BM246" s="484"/>
    </row>
    <row r="247" spans="1:65" s="22" customFormat="1" x14ac:dyDescent="0.25">
      <c r="A247" s="20"/>
      <c r="B247" s="515"/>
      <c r="C247" s="11"/>
      <c r="D247" s="11"/>
      <c r="E247" s="11"/>
      <c r="F247" s="21"/>
      <c r="G247" s="11"/>
      <c r="H247" s="50"/>
      <c r="I247" s="50"/>
      <c r="J247" s="50"/>
      <c r="K247" s="11"/>
      <c r="L247" s="50"/>
      <c r="M247" s="50"/>
      <c r="N247" s="50"/>
      <c r="O247" s="50"/>
      <c r="P247" s="50"/>
      <c r="Q247" s="11"/>
      <c r="R247" s="50"/>
      <c r="S247" s="50"/>
      <c r="T247" s="50"/>
      <c r="U247" s="11"/>
      <c r="V247" s="50"/>
      <c r="W247" s="50"/>
      <c r="X247" s="50"/>
      <c r="Y247" s="50"/>
      <c r="Z247" s="50"/>
      <c r="AA247" s="11"/>
      <c r="AB247" s="50"/>
      <c r="AC247" s="50"/>
      <c r="AD247" s="50"/>
      <c r="AE247" s="11"/>
      <c r="AF247" s="50"/>
      <c r="AG247" s="50"/>
      <c r="AH247" s="50"/>
      <c r="AI247" s="11"/>
      <c r="AJ247" s="50"/>
      <c r="AK247" s="50"/>
      <c r="AL247" s="50"/>
      <c r="AM247" s="11"/>
      <c r="AN247" s="50"/>
      <c r="AO247" s="50"/>
      <c r="AP247" s="50"/>
      <c r="AQ247" s="11"/>
      <c r="AR247" s="50"/>
      <c r="AS247" s="50"/>
      <c r="AT247" s="50"/>
      <c r="AU247" s="11"/>
      <c r="AV247" s="50"/>
      <c r="AW247" s="50"/>
      <c r="AX247" s="50"/>
      <c r="AY247" s="50"/>
      <c r="AZ247" s="50"/>
      <c r="BA247" s="50"/>
      <c r="BB247" s="50"/>
      <c r="BC247" s="50"/>
      <c r="BD247" s="50"/>
      <c r="BE247" s="20"/>
      <c r="BF247" s="518"/>
      <c r="BG247" s="484"/>
      <c r="BH247" s="484"/>
      <c r="BI247" s="527"/>
      <c r="BJ247" s="484"/>
      <c r="BK247" s="484"/>
      <c r="BL247" s="484"/>
      <c r="BM247" s="484"/>
    </row>
    <row r="248" spans="1:65" s="22" customFormat="1" x14ac:dyDescent="0.25">
      <c r="A248" s="20"/>
      <c r="B248" s="515"/>
      <c r="C248" s="11"/>
      <c r="D248" s="11"/>
      <c r="E248" s="11"/>
      <c r="F248" s="21"/>
      <c r="G248" s="11"/>
      <c r="H248" s="50"/>
      <c r="I248" s="50"/>
      <c r="J248" s="50"/>
      <c r="K248" s="11"/>
      <c r="L248" s="50"/>
      <c r="M248" s="50"/>
      <c r="N248" s="50"/>
      <c r="O248" s="50"/>
      <c r="P248" s="50"/>
      <c r="Q248" s="11"/>
      <c r="R248" s="50"/>
      <c r="S248" s="50"/>
      <c r="T248" s="50"/>
      <c r="U248" s="11"/>
      <c r="V248" s="50"/>
      <c r="W248" s="50"/>
      <c r="X248" s="50"/>
      <c r="Y248" s="50"/>
      <c r="Z248" s="50"/>
      <c r="AA248" s="11"/>
      <c r="AB248" s="50"/>
      <c r="AC248" s="50"/>
      <c r="AD248" s="50"/>
      <c r="AE248" s="11"/>
      <c r="AF248" s="50"/>
      <c r="AG248" s="50"/>
      <c r="AH248" s="50"/>
      <c r="AI248" s="11"/>
      <c r="AJ248" s="50"/>
      <c r="AK248" s="50"/>
      <c r="AL248" s="50"/>
      <c r="AM248" s="11"/>
      <c r="AN248" s="50"/>
      <c r="AO248" s="50"/>
      <c r="AP248" s="50"/>
      <c r="AQ248" s="11"/>
      <c r="AR248" s="50"/>
      <c r="AS248" s="50"/>
      <c r="AT248" s="50"/>
      <c r="AU248" s="11"/>
      <c r="AV248" s="50"/>
      <c r="AW248" s="50"/>
      <c r="AX248" s="50"/>
      <c r="AY248" s="50"/>
      <c r="AZ248" s="50"/>
      <c r="BA248" s="50"/>
      <c r="BB248" s="50"/>
      <c r="BC248" s="50"/>
      <c r="BD248" s="50"/>
      <c r="BE248" s="20"/>
      <c r="BF248" s="518"/>
      <c r="BG248" s="484"/>
      <c r="BH248" s="484"/>
      <c r="BI248" s="527"/>
      <c r="BJ248" s="484"/>
      <c r="BK248" s="484"/>
      <c r="BL248" s="484"/>
      <c r="BM248" s="484"/>
    </row>
    <row r="249" spans="1:65" s="22" customFormat="1" x14ac:dyDescent="0.25">
      <c r="A249" s="20"/>
      <c r="B249" s="515"/>
      <c r="C249" s="11"/>
      <c r="D249" s="11"/>
      <c r="E249" s="11"/>
      <c r="F249" s="21"/>
      <c r="G249" s="11"/>
      <c r="H249" s="50"/>
      <c r="I249" s="50"/>
      <c r="J249" s="50"/>
      <c r="K249" s="11"/>
      <c r="L249" s="50"/>
      <c r="M249" s="50"/>
      <c r="N249" s="50"/>
      <c r="O249" s="50"/>
      <c r="P249" s="50"/>
      <c r="Q249" s="11"/>
      <c r="R249" s="50"/>
      <c r="S249" s="50"/>
      <c r="T249" s="50"/>
      <c r="U249" s="11"/>
      <c r="V249" s="50"/>
      <c r="W249" s="50"/>
      <c r="X249" s="50"/>
      <c r="Y249" s="50"/>
      <c r="Z249" s="50"/>
      <c r="AA249" s="11"/>
      <c r="AB249" s="50"/>
      <c r="AC249" s="50"/>
      <c r="AD249" s="50"/>
      <c r="AE249" s="11"/>
      <c r="AF249" s="50"/>
      <c r="AG249" s="50"/>
      <c r="AH249" s="50"/>
      <c r="AI249" s="11"/>
      <c r="AJ249" s="50"/>
      <c r="AK249" s="50"/>
      <c r="AL249" s="50"/>
      <c r="AM249" s="11"/>
      <c r="AN249" s="50"/>
      <c r="AO249" s="50"/>
      <c r="AP249" s="50"/>
      <c r="AQ249" s="11"/>
      <c r="AR249" s="50"/>
      <c r="AS249" s="50"/>
      <c r="AT249" s="50"/>
      <c r="AU249" s="11"/>
      <c r="AV249" s="50"/>
      <c r="AW249" s="50"/>
      <c r="AX249" s="50"/>
      <c r="AY249" s="50"/>
      <c r="AZ249" s="50"/>
      <c r="BA249" s="50"/>
      <c r="BB249" s="50"/>
      <c r="BC249" s="50"/>
      <c r="BD249" s="50"/>
      <c r="BE249" s="20"/>
      <c r="BF249" s="518"/>
      <c r="BG249" s="484"/>
      <c r="BH249" s="484"/>
      <c r="BI249" s="527"/>
      <c r="BJ249" s="484"/>
      <c r="BK249" s="484"/>
      <c r="BL249" s="484"/>
      <c r="BM249" s="484"/>
    </row>
    <row r="250" spans="1:65" s="22" customFormat="1" x14ac:dyDescent="0.25">
      <c r="A250" s="20"/>
      <c r="B250" s="515"/>
      <c r="C250" s="11"/>
      <c r="D250" s="11"/>
      <c r="E250" s="11"/>
      <c r="F250" s="21"/>
      <c r="G250" s="11"/>
      <c r="H250" s="50"/>
      <c r="I250" s="50"/>
      <c r="J250" s="50"/>
      <c r="K250" s="11"/>
      <c r="L250" s="50"/>
      <c r="M250" s="50"/>
      <c r="N250" s="50"/>
      <c r="O250" s="50"/>
      <c r="P250" s="50"/>
      <c r="Q250" s="11"/>
      <c r="R250" s="50"/>
      <c r="S250" s="50"/>
      <c r="T250" s="50"/>
      <c r="U250" s="11"/>
      <c r="V250" s="50"/>
      <c r="W250" s="50"/>
      <c r="X250" s="50"/>
      <c r="Y250" s="50"/>
      <c r="Z250" s="50"/>
      <c r="AA250" s="11"/>
      <c r="AB250" s="50"/>
      <c r="AC250" s="50"/>
      <c r="AD250" s="50"/>
      <c r="AE250" s="11"/>
      <c r="AF250" s="50"/>
      <c r="AG250" s="50"/>
      <c r="AH250" s="50"/>
      <c r="AI250" s="11"/>
      <c r="AJ250" s="50"/>
      <c r="AK250" s="50"/>
      <c r="AL250" s="50"/>
      <c r="AM250" s="11"/>
      <c r="AN250" s="50"/>
      <c r="AO250" s="50"/>
      <c r="AP250" s="50"/>
      <c r="AQ250" s="11"/>
      <c r="AR250" s="50"/>
      <c r="AS250" s="50"/>
      <c r="AT250" s="50"/>
      <c r="AU250" s="11"/>
      <c r="AV250" s="50"/>
      <c r="AW250" s="50"/>
      <c r="AX250" s="50"/>
      <c r="AY250" s="50"/>
      <c r="AZ250" s="50"/>
      <c r="BA250" s="50"/>
      <c r="BB250" s="50"/>
      <c r="BC250" s="50"/>
      <c r="BD250" s="50"/>
      <c r="BE250" s="20"/>
      <c r="BF250" s="518"/>
      <c r="BG250" s="484"/>
      <c r="BH250" s="484"/>
      <c r="BI250" s="527"/>
      <c r="BJ250" s="484"/>
      <c r="BK250" s="484"/>
      <c r="BL250" s="484"/>
      <c r="BM250" s="484"/>
    </row>
    <row r="251" spans="1:65" s="22" customFormat="1" x14ac:dyDescent="0.25">
      <c r="A251" s="20"/>
      <c r="B251" s="515"/>
      <c r="C251" s="11"/>
      <c r="D251" s="11"/>
      <c r="E251" s="11"/>
      <c r="F251" s="21"/>
      <c r="G251" s="11"/>
      <c r="H251" s="50"/>
      <c r="I251" s="50"/>
      <c r="J251" s="50"/>
      <c r="K251" s="11"/>
      <c r="L251" s="50"/>
      <c r="M251" s="50"/>
      <c r="N251" s="50"/>
      <c r="O251" s="50"/>
      <c r="P251" s="50"/>
      <c r="Q251" s="11"/>
      <c r="R251" s="50"/>
      <c r="S251" s="50"/>
      <c r="T251" s="50"/>
      <c r="U251" s="11"/>
      <c r="V251" s="50"/>
      <c r="W251" s="50"/>
      <c r="X251" s="50"/>
      <c r="Y251" s="50"/>
      <c r="Z251" s="50"/>
      <c r="AA251" s="11"/>
      <c r="AB251" s="50"/>
      <c r="AC251" s="50"/>
      <c r="AD251" s="50"/>
      <c r="AE251" s="11"/>
      <c r="AF251" s="50"/>
      <c r="AG251" s="50"/>
      <c r="AH251" s="50"/>
      <c r="AI251" s="11"/>
      <c r="AJ251" s="50"/>
      <c r="AK251" s="50"/>
      <c r="AL251" s="50"/>
      <c r="AM251" s="11"/>
      <c r="AN251" s="50"/>
      <c r="AO251" s="50"/>
      <c r="AP251" s="50"/>
      <c r="AQ251" s="11"/>
      <c r="AR251" s="50"/>
      <c r="AS251" s="50"/>
      <c r="AT251" s="50"/>
      <c r="AU251" s="11"/>
      <c r="AV251" s="50"/>
      <c r="AW251" s="50"/>
      <c r="AX251" s="50"/>
      <c r="AY251" s="50"/>
      <c r="AZ251" s="50"/>
      <c r="BA251" s="50"/>
      <c r="BB251" s="50"/>
      <c r="BC251" s="50"/>
      <c r="BD251" s="50"/>
      <c r="BE251" s="20"/>
      <c r="BF251" s="518"/>
      <c r="BG251" s="484"/>
      <c r="BH251" s="484"/>
      <c r="BI251" s="527"/>
      <c r="BJ251" s="484"/>
      <c r="BK251" s="484"/>
      <c r="BL251" s="484"/>
      <c r="BM251" s="484"/>
    </row>
    <row r="252" spans="1:65" s="22" customFormat="1" x14ac:dyDescent="0.25">
      <c r="A252" s="20"/>
      <c r="B252" s="515"/>
      <c r="C252" s="11"/>
      <c r="D252" s="11"/>
      <c r="E252" s="11"/>
      <c r="F252" s="21"/>
      <c r="G252" s="11"/>
      <c r="H252" s="50"/>
      <c r="I252" s="50"/>
      <c r="J252" s="50"/>
      <c r="K252" s="11"/>
      <c r="L252" s="50"/>
      <c r="M252" s="50"/>
      <c r="N252" s="50"/>
      <c r="O252" s="50"/>
      <c r="P252" s="50"/>
      <c r="Q252" s="11"/>
      <c r="R252" s="50"/>
      <c r="S252" s="50"/>
      <c r="T252" s="50"/>
      <c r="U252" s="11"/>
      <c r="V252" s="50"/>
      <c r="W252" s="50"/>
      <c r="X252" s="50"/>
      <c r="Y252" s="50"/>
      <c r="Z252" s="50"/>
      <c r="AA252" s="11"/>
      <c r="AB252" s="50"/>
      <c r="AC252" s="50"/>
      <c r="AD252" s="50"/>
      <c r="AE252" s="11"/>
      <c r="AF252" s="50"/>
      <c r="AG252" s="50"/>
      <c r="AH252" s="50"/>
      <c r="AI252" s="11"/>
      <c r="AJ252" s="50"/>
      <c r="AK252" s="50"/>
      <c r="AL252" s="50"/>
      <c r="AM252" s="11"/>
      <c r="AN252" s="50"/>
      <c r="AO252" s="50"/>
      <c r="AP252" s="50"/>
      <c r="AQ252" s="11"/>
      <c r="AR252" s="50"/>
      <c r="AS252" s="50"/>
      <c r="AT252" s="50"/>
      <c r="AU252" s="11"/>
      <c r="AV252" s="50"/>
      <c r="AW252" s="50"/>
      <c r="AX252" s="50"/>
      <c r="AY252" s="50"/>
      <c r="AZ252" s="50"/>
      <c r="BA252" s="50"/>
      <c r="BB252" s="50"/>
      <c r="BC252" s="50"/>
      <c r="BD252" s="50"/>
      <c r="BE252" s="20"/>
      <c r="BF252" s="518"/>
      <c r="BG252" s="484"/>
      <c r="BH252" s="484"/>
      <c r="BI252" s="527"/>
      <c r="BJ252" s="484"/>
      <c r="BK252" s="484"/>
      <c r="BL252" s="484"/>
      <c r="BM252" s="484"/>
    </row>
    <row r="253" spans="1:65" s="22" customFormat="1" x14ac:dyDescent="0.25">
      <c r="A253" s="20"/>
      <c r="B253" s="515"/>
      <c r="C253" s="11"/>
      <c r="D253" s="11"/>
      <c r="E253" s="11"/>
      <c r="F253" s="21"/>
      <c r="G253" s="11"/>
      <c r="H253" s="50"/>
      <c r="I253" s="50"/>
      <c r="J253" s="50"/>
      <c r="K253" s="11"/>
      <c r="L253" s="50"/>
      <c r="M253" s="50"/>
      <c r="N253" s="50"/>
      <c r="O253" s="50"/>
      <c r="P253" s="50"/>
      <c r="Q253" s="11"/>
      <c r="R253" s="50"/>
      <c r="S253" s="50"/>
      <c r="T253" s="50"/>
      <c r="U253" s="11"/>
      <c r="V253" s="50"/>
      <c r="W253" s="50"/>
      <c r="X253" s="50"/>
      <c r="Y253" s="50"/>
      <c r="Z253" s="50"/>
      <c r="AA253" s="11"/>
      <c r="AB253" s="50"/>
      <c r="AC253" s="50"/>
      <c r="AD253" s="50"/>
      <c r="AE253" s="11"/>
      <c r="AF253" s="50"/>
      <c r="AG253" s="50"/>
      <c r="AH253" s="50"/>
      <c r="AI253" s="11"/>
      <c r="AJ253" s="50"/>
      <c r="AK253" s="50"/>
      <c r="AL253" s="50"/>
      <c r="AM253" s="11"/>
      <c r="AN253" s="50"/>
      <c r="AO253" s="50"/>
      <c r="AP253" s="50"/>
      <c r="AQ253" s="11"/>
      <c r="AR253" s="50"/>
      <c r="AS253" s="50"/>
      <c r="AT253" s="50"/>
      <c r="AU253" s="11"/>
      <c r="AV253" s="50"/>
      <c r="AW253" s="50"/>
      <c r="AX253" s="50"/>
      <c r="AY253" s="50"/>
      <c r="AZ253" s="50"/>
      <c r="BA253" s="50"/>
      <c r="BB253" s="50"/>
      <c r="BC253" s="50"/>
      <c r="BD253" s="50"/>
      <c r="BE253" s="20"/>
      <c r="BF253" s="518"/>
      <c r="BG253" s="484"/>
      <c r="BH253" s="484"/>
      <c r="BI253" s="527"/>
      <c r="BJ253" s="484"/>
      <c r="BK253" s="484"/>
      <c r="BL253" s="484"/>
      <c r="BM253" s="484"/>
    </row>
    <row r="254" spans="1:65" s="22" customFormat="1" x14ac:dyDescent="0.25">
      <c r="A254" s="20"/>
      <c r="B254" s="515"/>
      <c r="C254" s="11"/>
      <c r="D254" s="11"/>
      <c r="E254" s="11"/>
      <c r="F254" s="21"/>
      <c r="G254" s="11"/>
      <c r="H254" s="50"/>
      <c r="I254" s="50"/>
      <c r="J254" s="50"/>
      <c r="K254" s="11"/>
      <c r="L254" s="50"/>
      <c r="M254" s="50"/>
      <c r="N254" s="50"/>
      <c r="O254" s="50"/>
      <c r="P254" s="50"/>
      <c r="Q254" s="11"/>
      <c r="R254" s="50"/>
      <c r="S254" s="50"/>
      <c r="T254" s="50"/>
      <c r="U254" s="11"/>
      <c r="V254" s="50"/>
      <c r="W254" s="50"/>
      <c r="X254" s="50"/>
      <c r="Y254" s="50"/>
      <c r="Z254" s="50"/>
      <c r="AA254" s="11"/>
      <c r="AB254" s="50"/>
      <c r="AC254" s="50"/>
      <c r="AD254" s="50"/>
      <c r="AE254" s="11"/>
      <c r="AF254" s="50"/>
      <c r="AG254" s="50"/>
      <c r="AH254" s="50"/>
      <c r="AI254" s="11"/>
      <c r="AJ254" s="50"/>
      <c r="AK254" s="50"/>
      <c r="AL254" s="50"/>
      <c r="AM254" s="11"/>
      <c r="AN254" s="50"/>
      <c r="AO254" s="50"/>
      <c r="AP254" s="50"/>
      <c r="AQ254" s="11"/>
      <c r="AR254" s="50"/>
      <c r="AS254" s="50"/>
      <c r="AT254" s="50"/>
      <c r="AU254" s="11"/>
      <c r="AV254" s="50"/>
      <c r="AW254" s="50"/>
      <c r="AX254" s="50"/>
      <c r="AY254" s="50"/>
      <c r="AZ254" s="50"/>
      <c r="BA254" s="50"/>
      <c r="BB254" s="50"/>
      <c r="BC254" s="50"/>
      <c r="BD254" s="50"/>
      <c r="BE254" s="20"/>
      <c r="BF254" s="518"/>
      <c r="BG254" s="484"/>
      <c r="BH254" s="484"/>
      <c r="BI254" s="527"/>
      <c r="BJ254" s="484"/>
      <c r="BK254" s="484"/>
      <c r="BL254" s="484"/>
      <c r="BM254" s="484"/>
    </row>
    <row r="255" spans="1:65" s="22" customFormat="1" x14ac:dyDescent="0.25">
      <c r="A255" s="20"/>
      <c r="B255" s="515"/>
      <c r="C255" s="11"/>
      <c r="D255" s="11"/>
      <c r="E255" s="11"/>
      <c r="F255" s="21"/>
      <c r="G255" s="11"/>
      <c r="H255" s="50"/>
      <c r="I255" s="50"/>
      <c r="J255" s="50"/>
      <c r="K255" s="11"/>
      <c r="L255" s="50"/>
      <c r="M255" s="50"/>
      <c r="N255" s="50"/>
      <c r="O255" s="50"/>
      <c r="P255" s="50"/>
      <c r="Q255" s="11"/>
      <c r="R255" s="50"/>
      <c r="S255" s="50"/>
      <c r="T255" s="50"/>
      <c r="U255" s="11"/>
      <c r="V255" s="50"/>
      <c r="W255" s="50"/>
      <c r="X255" s="50"/>
      <c r="Y255" s="50"/>
      <c r="Z255" s="50"/>
      <c r="AA255" s="11"/>
      <c r="AB255" s="50"/>
      <c r="AC255" s="50"/>
      <c r="AD255" s="50"/>
      <c r="AE255" s="11"/>
      <c r="AF255" s="50"/>
      <c r="AG255" s="50"/>
      <c r="AH255" s="50"/>
      <c r="AI255" s="11"/>
      <c r="AJ255" s="50"/>
      <c r="AK255" s="50"/>
      <c r="AL255" s="50"/>
      <c r="AM255" s="11"/>
      <c r="AN255" s="50"/>
      <c r="AO255" s="50"/>
      <c r="AP255" s="50"/>
      <c r="AQ255" s="11"/>
      <c r="AR255" s="50"/>
      <c r="AS255" s="50"/>
      <c r="AT255" s="50"/>
      <c r="AU255" s="11"/>
      <c r="AV255" s="50"/>
      <c r="AW255" s="50"/>
      <c r="AX255" s="50"/>
      <c r="AY255" s="50"/>
      <c r="AZ255" s="50"/>
      <c r="BA255" s="50"/>
      <c r="BB255" s="50"/>
      <c r="BC255" s="50"/>
      <c r="BD255" s="50"/>
      <c r="BE255" s="20"/>
      <c r="BF255" s="518"/>
      <c r="BG255" s="484"/>
      <c r="BH255" s="484"/>
      <c r="BI255" s="527"/>
      <c r="BJ255" s="484"/>
      <c r="BK255" s="484"/>
      <c r="BL255" s="484"/>
      <c r="BM255" s="484"/>
    </row>
    <row r="256" spans="1:65" s="22" customFormat="1" x14ac:dyDescent="0.25">
      <c r="A256" s="20"/>
      <c r="B256" s="515"/>
      <c r="C256" s="11"/>
      <c r="D256" s="11"/>
      <c r="E256" s="11"/>
      <c r="F256" s="21"/>
      <c r="G256" s="11"/>
      <c r="H256" s="50"/>
      <c r="I256" s="50"/>
      <c r="J256" s="50"/>
      <c r="K256" s="11"/>
      <c r="L256" s="50"/>
      <c r="M256" s="50"/>
      <c r="N256" s="50"/>
      <c r="O256" s="50"/>
      <c r="P256" s="50"/>
      <c r="Q256" s="11"/>
      <c r="R256" s="50"/>
      <c r="S256" s="50"/>
      <c r="T256" s="50"/>
      <c r="U256" s="11"/>
      <c r="V256" s="50"/>
      <c r="W256" s="50"/>
      <c r="X256" s="50"/>
      <c r="Y256" s="50"/>
      <c r="Z256" s="50"/>
      <c r="AA256" s="11"/>
      <c r="AB256" s="50"/>
      <c r="AC256" s="50"/>
      <c r="AD256" s="50"/>
      <c r="AE256" s="11"/>
      <c r="AF256" s="50"/>
      <c r="AG256" s="50"/>
      <c r="AH256" s="50"/>
      <c r="AI256" s="11"/>
      <c r="AJ256" s="50"/>
      <c r="AK256" s="50"/>
      <c r="AL256" s="50"/>
      <c r="AM256" s="11"/>
      <c r="AN256" s="50"/>
      <c r="AO256" s="50"/>
      <c r="AP256" s="50"/>
      <c r="AQ256" s="11"/>
      <c r="AR256" s="50"/>
      <c r="AS256" s="50"/>
      <c r="AT256" s="50"/>
      <c r="AU256" s="11"/>
      <c r="AV256" s="50"/>
      <c r="AW256" s="50"/>
      <c r="AX256" s="50"/>
      <c r="AY256" s="50"/>
      <c r="AZ256" s="50"/>
      <c r="BA256" s="50"/>
      <c r="BB256" s="50"/>
      <c r="BC256" s="50"/>
      <c r="BD256" s="50"/>
      <c r="BE256" s="20"/>
      <c r="BF256" s="518"/>
      <c r="BG256" s="484"/>
      <c r="BH256" s="484"/>
      <c r="BI256" s="527"/>
      <c r="BJ256" s="484"/>
      <c r="BK256" s="484"/>
      <c r="BL256" s="484"/>
      <c r="BM256" s="484"/>
    </row>
    <row r="257" spans="1:65" s="22" customFormat="1" x14ac:dyDescent="0.25">
      <c r="A257" s="20"/>
      <c r="B257" s="515"/>
      <c r="C257" s="11"/>
      <c r="D257" s="11"/>
      <c r="E257" s="11"/>
      <c r="F257" s="21"/>
      <c r="G257" s="11"/>
      <c r="H257" s="50"/>
      <c r="I257" s="50"/>
      <c r="J257" s="50"/>
      <c r="K257" s="11"/>
      <c r="L257" s="50"/>
      <c r="M257" s="50"/>
      <c r="N257" s="50"/>
      <c r="O257" s="50"/>
      <c r="P257" s="50"/>
      <c r="Q257" s="11"/>
      <c r="R257" s="50"/>
      <c r="S257" s="50"/>
      <c r="T257" s="50"/>
      <c r="U257" s="11"/>
      <c r="V257" s="50"/>
      <c r="W257" s="50"/>
      <c r="X257" s="50"/>
      <c r="Y257" s="50"/>
      <c r="Z257" s="50"/>
      <c r="AA257" s="11"/>
      <c r="AB257" s="50"/>
      <c r="AC257" s="50"/>
      <c r="AD257" s="50"/>
      <c r="AE257" s="11"/>
      <c r="AF257" s="50"/>
      <c r="AG257" s="50"/>
      <c r="AH257" s="50"/>
      <c r="AI257" s="11"/>
      <c r="AJ257" s="50"/>
      <c r="AK257" s="50"/>
      <c r="AL257" s="50"/>
      <c r="AM257" s="11"/>
      <c r="AN257" s="50"/>
      <c r="AO257" s="50"/>
      <c r="AP257" s="50"/>
      <c r="AQ257" s="11"/>
      <c r="AR257" s="50"/>
      <c r="AS257" s="50"/>
      <c r="AT257" s="50"/>
      <c r="AU257" s="11"/>
      <c r="AV257" s="50"/>
      <c r="AW257" s="50"/>
      <c r="AX257" s="50"/>
      <c r="AY257" s="50"/>
      <c r="AZ257" s="50"/>
      <c r="BA257" s="50"/>
      <c r="BB257" s="50"/>
      <c r="BC257" s="50"/>
      <c r="BD257" s="50"/>
      <c r="BE257" s="20"/>
      <c r="BF257" s="518"/>
      <c r="BG257" s="484"/>
      <c r="BH257" s="484"/>
      <c r="BI257" s="527"/>
      <c r="BJ257" s="484"/>
      <c r="BK257" s="484"/>
      <c r="BL257" s="484"/>
      <c r="BM257" s="484"/>
    </row>
    <row r="258" spans="1:65" s="22" customFormat="1" x14ac:dyDescent="0.25">
      <c r="A258" s="20"/>
      <c r="B258" s="515"/>
      <c r="C258" s="11"/>
      <c r="D258" s="11"/>
      <c r="E258" s="11"/>
      <c r="F258" s="21"/>
      <c r="G258" s="11"/>
      <c r="H258" s="50"/>
      <c r="I258" s="50"/>
      <c r="J258" s="50"/>
      <c r="K258" s="11"/>
      <c r="L258" s="50"/>
      <c r="M258" s="50"/>
      <c r="N258" s="50"/>
      <c r="O258" s="50"/>
      <c r="P258" s="50"/>
      <c r="Q258" s="11"/>
      <c r="R258" s="50"/>
      <c r="S258" s="50"/>
      <c r="T258" s="50"/>
      <c r="U258" s="11"/>
      <c r="V258" s="50"/>
      <c r="W258" s="50"/>
      <c r="X258" s="50"/>
      <c r="Y258" s="50"/>
      <c r="Z258" s="50"/>
      <c r="AA258" s="11"/>
      <c r="AB258" s="50"/>
      <c r="AC258" s="50"/>
      <c r="AD258" s="50"/>
      <c r="AE258" s="11"/>
      <c r="AF258" s="50"/>
      <c r="AG258" s="50"/>
      <c r="AH258" s="50"/>
      <c r="AI258" s="11"/>
      <c r="AJ258" s="50"/>
      <c r="AK258" s="50"/>
      <c r="AL258" s="50"/>
      <c r="AM258" s="11"/>
      <c r="AN258" s="50"/>
      <c r="AO258" s="50"/>
      <c r="AP258" s="50"/>
      <c r="AQ258" s="11"/>
      <c r="AR258" s="50"/>
      <c r="AS258" s="50"/>
      <c r="AT258" s="50"/>
      <c r="AU258" s="11"/>
      <c r="AV258" s="50"/>
      <c r="AW258" s="50"/>
      <c r="AX258" s="50"/>
      <c r="AY258" s="50"/>
      <c r="AZ258" s="50"/>
      <c r="BA258" s="50"/>
      <c r="BB258" s="50"/>
      <c r="BC258" s="50"/>
      <c r="BD258" s="50"/>
      <c r="BE258" s="20"/>
      <c r="BF258" s="518"/>
      <c r="BG258" s="484"/>
      <c r="BH258" s="484"/>
      <c r="BI258" s="527"/>
      <c r="BJ258" s="484"/>
      <c r="BK258" s="484"/>
      <c r="BL258" s="484"/>
      <c r="BM258" s="484"/>
    </row>
    <row r="259" spans="1:65" s="22" customFormat="1" x14ac:dyDescent="0.25">
      <c r="A259" s="20"/>
      <c r="B259" s="515"/>
      <c r="C259" s="11"/>
      <c r="D259" s="11"/>
      <c r="E259" s="11"/>
      <c r="F259" s="21"/>
      <c r="G259" s="11"/>
      <c r="H259" s="50"/>
      <c r="I259" s="50"/>
      <c r="J259" s="50"/>
      <c r="K259" s="11"/>
      <c r="L259" s="50"/>
      <c r="M259" s="50"/>
      <c r="N259" s="50"/>
      <c r="O259" s="50"/>
      <c r="P259" s="50"/>
      <c r="Q259" s="11"/>
      <c r="R259" s="50"/>
      <c r="S259" s="50"/>
      <c r="T259" s="50"/>
      <c r="U259" s="11"/>
      <c r="V259" s="50"/>
      <c r="W259" s="50"/>
      <c r="X259" s="50"/>
      <c r="Y259" s="50"/>
      <c r="Z259" s="50"/>
      <c r="AA259" s="11"/>
      <c r="AB259" s="50"/>
      <c r="AC259" s="50"/>
      <c r="AD259" s="50"/>
      <c r="AE259" s="11"/>
      <c r="AF259" s="50"/>
      <c r="AG259" s="50"/>
      <c r="AH259" s="50"/>
      <c r="AI259" s="11"/>
      <c r="AJ259" s="50"/>
      <c r="AK259" s="50"/>
      <c r="AL259" s="50"/>
      <c r="AM259" s="11"/>
      <c r="AN259" s="50"/>
      <c r="AO259" s="50"/>
      <c r="AP259" s="50"/>
      <c r="AQ259" s="11"/>
      <c r="AR259" s="50"/>
      <c r="AS259" s="50"/>
      <c r="AT259" s="50"/>
      <c r="AU259" s="11"/>
      <c r="AV259" s="50"/>
      <c r="AW259" s="50"/>
      <c r="AX259" s="50"/>
      <c r="AY259" s="50"/>
      <c r="AZ259" s="50"/>
      <c r="BA259" s="50"/>
      <c r="BB259" s="50"/>
      <c r="BC259" s="50"/>
      <c r="BD259" s="50"/>
      <c r="BE259" s="20"/>
      <c r="BF259" s="518"/>
      <c r="BG259" s="484"/>
      <c r="BH259" s="484"/>
      <c r="BI259" s="527"/>
      <c r="BJ259" s="484"/>
      <c r="BK259" s="484"/>
      <c r="BL259" s="484"/>
      <c r="BM259" s="484"/>
    </row>
    <row r="260" spans="1:65" s="22" customFormat="1" x14ac:dyDescent="0.25">
      <c r="A260" s="20"/>
      <c r="B260" s="515"/>
      <c r="C260" s="11"/>
      <c r="D260" s="11"/>
      <c r="E260" s="11"/>
      <c r="F260" s="21"/>
      <c r="G260" s="11"/>
      <c r="H260" s="50"/>
      <c r="I260" s="50"/>
      <c r="J260" s="50"/>
      <c r="K260" s="11"/>
      <c r="L260" s="50"/>
      <c r="M260" s="50"/>
      <c r="N260" s="50"/>
      <c r="O260" s="50"/>
      <c r="P260" s="50"/>
      <c r="Q260" s="11"/>
      <c r="R260" s="50"/>
      <c r="S260" s="50"/>
      <c r="T260" s="50"/>
      <c r="U260" s="11"/>
      <c r="V260" s="50"/>
      <c r="W260" s="50"/>
      <c r="X260" s="50"/>
      <c r="Y260" s="50"/>
      <c r="Z260" s="50"/>
      <c r="AA260" s="11"/>
      <c r="AB260" s="50"/>
      <c r="AC260" s="50"/>
      <c r="AD260" s="50"/>
      <c r="AE260" s="11"/>
      <c r="AF260" s="50"/>
      <c r="AG260" s="50"/>
      <c r="AH260" s="50"/>
      <c r="AI260" s="11"/>
      <c r="AJ260" s="50"/>
      <c r="AK260" s="50"/>
      <c r="AL260" s="50"/>
      <c r="AM260" s="11"/>
      <c r="AN260" s="50"/>
      <c r="AO260" s="50"/>
      <c r="AP260" s="50"/>
      <c r="AQ260" s="11"/>
      <c r="AR260" s="50"/>
      <c r="AS260" s="50"/>
      <c r="AT260" s="50"/>
      <c r="AU260" s="11"/>
      <c r="AV260" s="50"/>
      <c r="AW260" s="50"/>
      <c r="AX260" s="50"/>
      <c r="AY260" s="50"/>
      <c r="AZ260" s="50"/>
      <c r="BA260" s="50"/>
      <c r="BB260" s="50"/>
      <c r="BC260" s="50"/>
      <c r="BD260" s="50"/>
      <c r="BE260" s="20"/>
      <c r="BF260" s="518"/>
      <c r="BG260" s="484"/>
      <c r="BH260" s="484"/>
      <c r="BI260" s="527"/>
      <c r="BJ260" s="484"/>
      <c r="BK260" s="484"/>
      <c r="BL260" s="484"/>
      <c r="BM260" s="484"/>
    </row>
    <row r="261" spans="1:65" s="22" customFormat="1" x14ac:dyDescent="0.25">
      <c r="A261" s="20"/>
      <c r="B261" s="515"/>
      <c r="C261" s="11"/>
      <c r="D261" s="11"/>
      <c r="E261" s="11"/>
      <c r="F261" s="21"/>
      <c r="G261" s="11"/>
      <c r="H261" s="50"/>
      <c r="I261" s="50"/>
      <c r="J261" s="50"/>
      <c r="K261" s="11"/>
      <c r="L261" s="50"/>
      <c r="M261" s="50"/>
      <c r="N261" s="50"/>
      <c r="O261" s="50"/>
      <c r="P261" s="50"/>
      <c r="Q261" s="11"/>
      <c r="R261" s="50"/>
      <c r="S261" s="50"/>
      <c r="T261" s="50"/>
      <c r="U261" s="11"/>
      <c r="V261" s="50"/>
      <c r="W261" s="50"/>
      <c r="X261" s="50"/>
      <c r="Y261" s="50"/>
      <c r="Z261" s="50"/>
      <c r="AA261" s="11"/>
      <c r="AB261" s="50"/>
      <c r="AC261" s="50"/>
      <c r="AD261" s="50"/>
      <c r="AE261" s="11"/>
      <c r="AF261" s="50"/>
      <c r="AG261" s="50"/>
      <c r="AH261" s="50"/>
      <c r="AI261" s="11"/>
      <c r="AJ261" s="50"/>
      <c r="AK261" s="50"/>
      <c r="AL261" s="50"/>
      <c r="AM261" s="11"/>
      <c r="AN261" s="50"/>
      <c r="AO261" s="50"/>
      <c r="AP261" s="50"/>
      <c r="AQ261" s="11"/>
      <c r="AR261" s="50"/>
      <c r="AS261" s="50"/>
      <c r="AT261" s="50"/>
      <c r="AU261" s="11"/>
      <c r="AV261" s="50"/>
      <c r="AW261" s="50"/>
      <c r="AX261" s="50"/>
      <c r="AY261" s="50"/>
      <c r="AZ261" s="50"/>
      <c r="BA261" s="50"/>
      <c r="BB261" s="50"/>
      <c r="BC261" s="50"/>
      <c r="BD261" s="50"/>
      <c r="BE261" s="20"/>
      <c r="BF261" s="518"/>
      <c r="BG261" s="484"/>
      <c r="BH261" s="484"/>
      <c r="BI261" s="527"/>
      <c r="BJ261" s="484"/>
      <c r="BK261" s="484"/>
      <c r="BL261" s="484"/>
      <c r="BM261" s="484"/>
    </row>
    <row r="262" spans="1:65" s="22" customFormat="1" x14ac:dyDescent="0.25">
      <c r="A262" s="20"/>
      <c r="B262" s="515"/>
      <c r="C262" s="11"/>
      <c r="D262" s="11"/>
      <c r="E262" s="11"/>
      <c r="F262" s="21"/>
      <c r="G262" s="11"/>
      <c r="H262" s="50"/>
      <c r="I262" s="50"/>
      <c r="J262" s="50"/>
      <c r="K262" s="11"/>
      <c r="L262" s="50"/>
      <c r="M262" s="50"/>
      <c r="N262" s="50"/>
      <c r="O262" s="50"/>
      <c r="P262" s="50"/>
      <c r="Q262" s="11"/>
      <c r="R262" s="50"/>
      <c r="S262" s="50"/>
      <c r="T262" s="50"/>
      <c r="U262" s="11"/>
      <c r="V262" s="50"/>
      <c r="W262" s="50"/>
      <c r="X262" s="50"/>
      <c r="Y262" s="50"/>
      <c r="Z262" s="50"/>
      <c r="AA262" s="11"/>
      <c r="AB262" s="50"/>
      <c r="AC262" s="50"/>
      <c r="AD262" s="50"/>
      <c r="AE262" s="11"/>
      <c r="AF262" s="50"/>
      <c r="AG262" s="50"/>
      <c r="AH262" s="50"/>
      <c r="AI262" s="11"/>
      <c r="AJ262" s="50"/>
      <c r="AK262" s="50"/>
      <c r="AL262" s="50"/>
      <c r="AM262" s="11"/>
      <c r="AN262" s="50"/>
      <c r="AO262" s="50"/>
      <c r="AP262" s="50"/>
      <c r="AQ262" s="11"/>
      <c r="AR262" s="50"/>
      <c r="AS262" s="50"/>
      <c r="AT262" s="50"/>
      <c r="AU262" s="11"/>
      <c r="AV262" s="50"/>
      <c r="AW262" s="50"/>
      <c r="AX262" s="50"/>
      <c r="AY262" s="50"/>
      <c r="AZ262" s="50"/>
      <c r="BA262" s="50"/>
      <c r="BB262" s="50"/>
      <c r="BC262" s="50"/>
      <c r="BD262" s="50"/>
      <c r="BE262" s="20"/>
      <c r="BF262" s="518"/>
      <c r="BG262" s="484"/>
      <c r="BH262" s="484"/>
      <c r="BI262" s="527"/>
      <c r="BJ262" s="484"/>
      <c r="BK262" s="484"/>
      <c r="BL262" s="484"/>
      <c r="BM262" s="484"/>
    </row>
    <row r="263" spans="1:65" s="22" customFormat="1" x14ac:dyDescent="0.25">
      <c r="A263" s="20"/>
      <c r="B263" s="515"/>
      <c r="C263" s="11"/>
      <c r="D263" s="11"/>
      <c r="E263" s="11"/>
      <c r="F263" s="21"/>
      <c r="G263" s="11"/>
      <c r="H263" s="50"/>
      <c r="I263" s="50"/>
      <c r="J263" s="50"/>
      <c r="K263" s="11"/>
      <c r="L263" s="50"/>
      <c r="M263" s="50"/>
      <c r="N263" s="50"/>
      <c r="O263" s="50"/>
      <c r="P263" s="50"/>
      <c r="Q263" s="11"/>
      <c r="R263" s="50"/>
      <c r="S263" s="50"/>
      <c r="T263" s="50"/>
      <c r="U263" s="11"/>
      <c r="V263" s="50"/>
      <c r="W263" s="50"/>
      <c r="X263" s="50"/>
      <c r="Y263" s="50"/>
      <c r="Z263" s="50"/>
      <c r="AA263" s="11"/>
      <c r="AB263" s="50"/>
      <c r="AC263" s="50"/>
      <c r="AD263" s="50"/>
      <c r="AE263" s="11"/>
      <c r="AF263" s="50"/>
      <c r="AG263" s="50"/>
      <c r="AH263" s="50"/>
      <c r="AI263" s="11"/>
      <c r="AJ263" s="50"/>
      <c r="AK263" s="50"/>
      <c r="AL263" s="50"/>
      <c r="AM263" s="11"/>
      <c r="AN263" s="50"/>
      <c r="AO263" s="50"/>
      <c r="AP263" s="50"/>
      <c r="AQ263" s="11"/>
      <c r="AR263" s="50"/>
      <c r="AS263" s="50"/>
      <c r="AT263" s="50"/>
      <c r="AU263" s="11"/>
      <c r="AV263" s="50"/>
      <c r="AW263" s="50"/>
      <c r="AX263" s="50"/>
      <c r="AY263" s="50"/>
      <c r="AZ263" s="50"/>
      <c r="BA263" s="50"/>
      <c r="BB263" s="50"/>
      <c r="BC263" s="50"/>
      <c r="BD263" s="50"/>
      <c r="BE263" s="20"/>
      <c r="BF263" s="518"/>
      <c r="BG263" s="484"/>
      <c r="BH263" s="484"/>
      <c r="BI263" s="527"/>
      <c r="BJ263" s="484"/>
      <c r="BK263" s="484"/>
      <c r="BL263" s="484"/>
      <c r="BM263" s="484"/>
    </row>
    <row r="264" spans="1:65" s="22" customFormat="1" x14ac:dyDescent="0.25">
      <c r="A264" s="20"/>
      <c r="B264" s="515"/>
      <c r="C264" s="11"/>
      <c r="D264" s="11"/>
      <c r="E264" s="11"/>
      <c r="F264" s="21"/>
      <c r="G264" s="11"/>
      <c r="H264" s="50"/>
      <c r="I264" s="50"/>
      <c r="J264" s="50"/>
      <c r="K264" s="11"/>
      <c r="L264" s="50"/>
      <c r="M264" s="50"/>
      <c r="N264" s="50"/>
      <c r="O264" s="50"/>
      <c r="P264" s="50"/>
      <c r="Q264" s="11"/>
      <c r="R264" s="50"/>
      <c r="S264" s="50"/>
      <c r="T264" s="50"/>
      <c r="U264" s="11"/>
      <c r="V264" s="50"/>
      <c r="W264" s="50"/>
      <c r="X264" s="50"/>
      <c r="Y264" s="50"/>
      <c r="Z264" s="50"/>
      <c r="AA264" s="11"/>
      <c r="AB264" s="50"/>
      <c r="AC264" s="50"/>
      <c r="AD264" s="50"/>
      <c r="AE264" s="11"/>
      <c r="AF264" s="50"/>
      <c r="AG264" s="50"/>
      <c r="AH264" s="50"/>
      <c r="AI264" s="11"/>
      <c r="AJ264" s="50"/>
      <c r="AK264" s="50"/>
      <c r="AL264" s="50"/>
      <c r="AM264" s="11"/>
      <c r="AN264" s="50"/>
      <c r="AO264" s="50"/>
      <c r="AP264" s="50"/>
      <c r="AQ264" s="11"/>
      <c r="AR264" s="50"/>
      <c r="AS264" s="50"/>
      <c r="AT264" s="50"/>
      <c r="AU264" s="11"/>
      <c r="AV264" s="50"/>
      <c r="AW264" s="50"/>
      <c r="AX264" s="50"/>
      <c r="AY264" s="50"/>
      <c r="AZ264" s="50"/>
      <c r="BA264" s="50"/>
      <c r="BB264" s="50"/>
      <c r="BC264" s="50"/>
      <c r="BD264" s="50"/>
      <c r="BE264" s="20"/>
      <c r="BF264" s="518"/>
      <c r="BG264" s="484"/>
      <c r="BH264" s="484"/>
      <c r="BI264" s="527"/>
      <c r="BJ264" s="484"/>
      <c r="BK264" s="484"/>
      <c r="BL264" s="484"/>
      <c r="BM264" s="484"/>
    </row>
    <row r="265" spans="1:65" s="22" customFormat="1" x14ac:dyDescent="0.25">
      <c r="A265" s="20"/>
      <c r="B265" s="515"/>
      <c r="C265" s="11"/>
      <c r="D265" s="11"/>
      <c r="E265" s="11"/>
      <c r="F265" s="21"/>
      <c r="G265" s="11"/>
      <c r="H265" s="50"/>
      <c r="I265" s="50"/>
      <c r="J265" s="50"/>
      <c r="K265" s="11"/>
      <c r="L265" s="50"/>
      <c r="M265" s="50"/>
      <c r="N265" s="50"/>
      <c r="O265" s="50"/>
      <c r="P265" s="50"/>
      <c r="Q265" s="11"/>
      <c r="R265" s="50"/>
      <c r="S265" s="50"/>
      <c r="T265" s="50"/>
      <c r="U265" s="11"/>
      <c r="V265" s="50"/>
      <c r="W265" s="50"/>
      <c r="X265" s="50"/>
      <c r="Y265" s="50"/>
      <c r="Z265" s="50"/>
      <c r="AA265" s="11"/>
      <c r="AB265" s="50"/>
      <c r="AC265" s="50"/>
      <c r="AD265" s="50"/>
      <c r="AE265" s="11"/>
      <c r="AF265" s="50"/>
      <c r="AG265" s="50"/>
      <c r="AH265" s="50"/>
      <c r="AI265" s="11"/>
      <c r="AJ265" s="50"/>
      <c r="AK265" s="50"/>
      <c r="AL265" s="50"/>
      <c r="AM265" s="11"/>
      <c r="AN265" s="50"/>
      <c r="AO265" s="50"/>
      <c r="AP265" s="50"/>
      <c r="AQ265" s="11"/>
      <c r="AR265" s="50"/>
      <c r="AS265" s="50"/>
      <c r="AT265" s="50"/>
      <c r="AU265" s="11"/>
      <c r="AV265" s="50"/>
      <c r="AW265" s="50"/>
      <c r="AX265" s="50"/>
      <c r="AY265" s="50"/>
      <c r="AZ265" s="50"/>
      <c r="BA265" s="50"/>
      <c r="BB265" s="50"/>
      <c r="BC265" s="50"/>
      <c r="BD265" s="50"/>
      <c r="BE265" s="20"/>
      <c r="BF265" s="518"/>
      <c r="BG265" s="484"/>
      <c r="BH265" s="484"/>
      <c r="BI265" s="527"/>
      <c r="BJ265" s="484"/>
      <c r="BK265" s="484"/>
      <c r="BL265" s="484"/>
      <c r="BM265" s="484"/>
    </row>
    <row r="266" spans="1:65" s="22" customFormat="1" x14ac:dyDescent="0.25">
      <c r="A266" s="20"/>
      <c r="B266" s="515"/>
      <c r="C266" s="11"/>
      <c r="D266" s="11"/>
      <c r="E266" s="11"/>
      <c r="F266" s="21"/>
      <c r="G266" s="11"/>
      <c r="H266" s="50"/>
      <c r="I266" s="50"/>
      <c r="J266" s="50"/>
      <c r="K266" s="11"/>
      <c r="L266" s="50"/>
      <c r="M266" s="50"/>
      <c r="N266" s="50"/>
      <c r="O266" s="50"/>
      <c r="P266" s="50"/>
      <c r="Q266" s="11"/>
      <c r="R266" s="50"/>
      <c r="S266" s="50"/>
      <c r="T266" s="50"/>
      <c r="U266" s="11"/>
      <c r="V266" s="50"/>
      <c r="W266" s="50"/>
      <c r="X266" s="50"/>
      <c r="Y266" s="50"/>
      <c r="Z266" s="50"/>
      <c r="AA266" s="11"/>
      <c r="AB266" s="50"/>
      <c r="AC266" s="50"/>
      <c r="AD266" s="50"/>
      <c r="AE266" s="11"/>
      <c r="AF266" s="50"/>
      <c r="AG266" s="50"/>
      <c r="AH266" s="50"/>
      <c r="AI266" s="11"/>
      <c r="AJ266" s="50"/>
      <c r="AK266" s="50"/>
      <c r="AL266" s="50"/>
      <c r="AM266" s="11"/>
      <c r="AN266" s="50"/>
      <c r="AO266" s="50"/>
      <c r="AP266" s="50"/>
      <c r="AQ266" s="11"/>
      <c r="AR266" s="50"/>
      <c r="AS266" s="50"/>
      <c r="AT266" s="50"/>
      <c r="AU266" s="11"/>
      <c r="AV266" s="50"/>
      <c r="AW266" s="50"/>
      <c r="AX266" s="50"/>
      <c r="AY266" s="50"/>
      <c r="AZ266" s="50"/>
      <c r="BA266" s="50"/>
      <c r="BB266" s="50"/>
      <c r="BC266" s="50"/>
      <c r="BD266" s="50"/>
      <c r="BE266" s="20"/>
      <c r="BF266" s="518"/>
      <c r="BG266" s="484"/>
      <c r="BH266" s="484"/>
      <c r="BI266" s="527"/>
      <c r="BJ266" s="484"/>
      <c r="BK266" s="484"/>
      <c r="BL266" s="484"/>
      <c r="BM266" s="484"/>
    </row>
    <row r="267" spans="1:65" s="22" customFormat="1" x14ac:dyDescent="0.25">
      <c r="A267" s="20"/>
      <c r="B267" s="515"/>
      <c r="C267" s="11"/>
      <c r="D267" s="11"/>
      <c r="E267" s="11"/>
      <c r="F267" s="21"/>
      <c r="G267" s="11"/>
      <c r="H267" s="50"/>
      <c r="I267" s="50"/>
      <c r="J267" s="50"/>
      <c r="K267" s="11"/>
      <c r="L267" s="50"/>
      <c r="M267" s="50"/>
      <c r="N267" s="50"/>
      <c r="O267" s="50"/>
      <c r="P267" s="50"/>
      <c r="Q267" s="11"/>
      <c r="R267" s="50"/>
      <c r="S267" s="50"/>
      <c r="T267" s="50"/>
      <c r="U267" s="11"/>
      <c r="V267" s="50"/>
      <c r="W267" s="50"/>
      <c r="X267" s="50"/>
      <c r="Y267" s="50"/>
      <c r="Z267" s="50"/>
      <c r="AA267" s="11"/>
      <c r="AB267" s="50"/>
      <c r="AC267" s="50"/>
      <c r="AD267" s="50"/>
      <c r="AE267" s="11"/>
      <c r="AF267" s="50"/>
      <c r="AG267" s="50"/>
      <c r="AH267" s="50"/>
      <c r="AI267" s="11"/>
      <c r="AJ267" s="50"/>
      <c r="AK267" s="50"/>
      <c r="AL267" s="50"/>
      <c r="AM267" s="11"/>
      <c r="AN267" s="50"/>
      <c r="AO267" s="50"/>
      <c r="AP267" s="50"/>
      <c r="AQ267" s="11"/>
      <c r="AR267" s="50"/>
      <c r="AS267" s="50"/>
      <c r="AT267" s="50"/>
      <c r="AU267" s="11"/>
      <c r="AV267" s="50"/>
      <c r="AW267" s="50"/>
      <c r="AX267" s="50"/>
      <c r="AY267" s="50"/>
      <c r="AZ267" s="50"/>
      <c r="BA267" s="50"/>
      <c r="BB267" s="50"/>
      <c r="BC267" s="50"/>
      <c r="BD267" s="50"/>
      <c r="BE267" s="20"/>
      <c r="BF267" s="518"/>
      <c r="BG267" s="484"/>
      <c r="BH267" s="484"/>
      <c r="BI267" s="527"/>
      <c r="BJ267" s="484"/>
      <c r="BK267" s="484"/>
      <c r="BL267" s="484"/>
      <c r="BM267" s="484"/>
    </row>
    <row r="268" spans="1:65" s="22" customFormat="1" x14ac:dyDescent="0.25">
      <c r="A268" s="20"/>
      <c r="B268" s="515"/>
      <c r="C268" s="11"/>
      <c r="D268" s="11"/>
      <c r="E268" s="11"/>
      <c r="F268" s="21"/>
      <c r="G268" s="11"/>
      <c r="H268" s="50"/>
      <c r="I268" s="50"/>
      <c r="J268" s="50"/>
      <c r="K268" s="11"/>
      <c r="L268" s="50"/>
      <c r="M268" s="50"/>
      <c r="N268" s="50"/>
      <c r="O268" s="50"/>
      <c r="P268" s="50"/>
      <c r="Q268" s="11"/>
      <c r="R268" s="50"/>
      <c r="S268" s="50"/>
      <c r="T268" s="50"/>
      <c r="U268" s="11"/>
      <c r="V268" s="50"/>
      <c r="W268" s="50"/>
      <c r="X268" s="50"/>
      <c r="Y268" s="50"/>
      <c r="Z268" s="50"/>
      <c r="AA268" s="11"/>
      <c r="AB268" s="50"/>
      <c r="AC268" s="50"/>
      <c r="AD268" s="50"/>
      <c r="AE268" s="11"/>
      <c r="AF268" s="50"/>
      <c r="AG268" s="50"/>
      <c r="AH268" s="50"/>
      <c r="AI268" s="11"/>
      <c r="AJ268" s="50"/>
      <c r="AK268" s="50"/>
      <c r="AL268" s="50"/>
      <c r="AM268" s="11"/>
      <c r="AN268" s="50"/>
      <c r="AO268" s="50"/>
      <c r="AP268" s="50"/>
      <c r="AQ268" s="11"/>
      <c r="AR268" s="50"/>
      <c r="AS268" s="50"/>
      <c r="AT268" s="50"/>
      <c r="AU268" s="11"/>
      <c r="AV268" s="50"/>
      <c r="AW268" s="50"/>
      <c r="AX268" s="50"/>
      <c r="AY268" s="50"/>
      <c r="AZ268" s="50"/>
      <c r="BA268" s="50"/>
      <c r="BB268" s="50"/>
      <c r="BC268" s="50"/>
      <c r="BD268" s="50"/>
      <c r="BE268" s="20"/>
      <c r="BF268" s="518"/>
      <c r="BG268" s="484"/>
      <c r="BH268" s="484"/>
      <c r="BI268" s="527"/>
      <c r="BJ268" s="484"/>
      <c r="BK268" s="484"/>
      <c r="BL268" s="484"/>
      <c r="BM268" s="484"/>
    </row>
    <row r="269" spans="1:65" s="22" customFormat="1" x14ac:dyDescent="0.25">
      <c r="A269" s="20"/>
      <c r="B269" s="515"/>
      <c r="C269" s="11"/>
      <c r="D269" s="11"/>
      <c r="E269" s="11"/>
      <c r="F269" s="21"/>
      <c r="G269" s="11"/>
      <c r="H269" s="50"/>
      <c r="I269" s="50"/>
      <c r="J269" s="50"/>
      <c r="K269" s="11"/>
      <c r="L269" s="50"/>
      <c r="M269" s="50"/>
      <c r="N269" s="50"/>
      <c r="O269" s="50"/>
      <c r="P269" s="50"/>
      <c r="Q269" s="11"/>
      <c r="R269" s="50"/>
      <c r="S269" s="50"/>
      <c r="T269" s="50"/>
      <c r="U269" s="11"/>
      <c r="V269" s="50"/>
      <c r="W269" s="50"/>
      <c r="X269" s="50"/>
      <c r="Y269" s="50"/>
      <c r="Z269" s="50"/>
      <c r="AA269" s="11"/>
      <c r="AB269" s="50"/>
      <c r="AC269" s="50"/>
      <c r="AD269" s="50"/>
      <c r="AE269" s="11"/>
      <c r="AF269" s="50"/>
      <c r="AG269" s="50"/>
      <c r="AH269" s="50"/>
      <c r="AI269" s="11"/>
      <c r="AJ269" s="50"/>
      <c r="AK269" s="50"/>
      <c r="AL269" s="50"/>
      <c r="AM269" s="11"/>
      <c r="AN269" s="50"/>
      <c r="AO269" s="50"/>
      <c r="AP269" s="50"/>
      <c r="AQ269" s="11"/>
      <c r="AR269" s="50"/>
      <c r="AS269" s="50"/>
      <c r="AT269" s="50"/>
      <c r="AU269" s="11"/>
      <c r="AV269" s="50"/>
      <c r="AW269" s="50"/>
      <c r="AX269" s="50"/>
      <c r="AY269" s="50"/>
      <c r="AZ269" s="50"/>
      <c r="BA269" s="50"/>
      <c r="BB269" s="50"/>
      <c r="BC269" s="50"/>
      <c r="BD269" s="50"/>
      <c r="BE269" s="20"/>
      <c r="BF269" s="518"/>
      <c r="BG269" s="484"/>
      <c r="BH269" s="484"/>
      <c r="BI269" s="527"/>
      <c r="BJ269" s="484"/>
      <c r="BK269" s="484"/>
      <c r="BL269" s="484"/>
      <c r="BM269" s="484"/>
    </row>
    <row r="270" spans="1:65" s="22" customFormat="1" x14ac:dyDescent="0.25">
      <c r="A270" s="20"/>
      <c r="B270" s="515"/>
      <c r="C270" s="11"/>
      <c r="D270" s="11"/>
      <c r="E270" s="11"/>
      <c r="F270" s="21"/>
      <c r="G270" s="11"/>
      <c r="H270" s="50"/>
      <c r="I270" s="50"/>
      <c r="J270" s="50"/>
      <c r="K270" s="11"/>
      <c r="L270" s="50"/>
      <c r="M270" s="50"/>
      <c r="N270" s="50"/>
      <c r="O270" s="50"/>
      <c r="P270" s="50"/>
      <c r="Q270" s="11"/>
      <c r="R270" s="50"/>
      <c r="S270" s="50"/>
      <c r="T270" s="50"/>
      <c r="U270" s="11"/>
      <c r="V270" s="50"/>
      <c r="W270" s="50"/>
      <c r="X270" s="50"/>
      <c r="Y270" s="50"/>
      <c r="Z270" s="50"/>
      <c r="AA270" s="11"/>
      <c r="AB270" s="50"/>
      <c r="AC270" s="50"/>
      <c r="AD270" s="50"/>
      <c r="AE270" s="11"/>
      <c r="AF270" s="50"/>
      <c r="AG270" s="50"/>
      <c r="AH270" s="50"/>
      <c r="AI270" s="11"/>
      <c r="AJ270" s="50"/>
      <c r="AK270" s="50"/>
      <c r="AL270" s="50"/>
      <c r="AM270" s="11"/>
      <c r="AN270" s="50"/>
      <c r="AO270" s="50"/>
      <c r="AP270" s="50"/>
      <c r="AQ270" s="11"/>
      <c r="AR270" s="50"/>
      <c r="AS270" s="50"/>
      <c r="AT270" s="50"/>
      <c r="AU270" s="11"/>
      <c r="AV270" s="50"/>
      <c r="AW270" s="50"/>
      <c r="AX270" s="50"/>
      <c r="AY270" s="50"/>
      <c r="AZ270" s="50"/>
      <c r="BA270" s="50"/>
      <c r="BB270" s="50"/>
      <c r="BC270" s="50"/>
      <c r="BD270" s="50"/>
      <c r="BE270" s="20"/>
      <c r="BF270" s="518"/>
      <c r="BG270" s="484"/>
      <c r="BH270" s="484"/>
      <c r="BI270" s="527"/>
      <c r="BJ270" s="484"/>
      <c r="BK270" s="484"/>
      <c r="BL270" s="484"/>
      <c r="BM270" s="484"/>
    </row>
    <row r="271" spans="1:65" s="22" customFormat="1" x14ac:dyDescent="0.25">
      <c r="A271" s="20"/>
      <c r="B271" s="515"/>
      <c r="C271" s="11"/>
      <c r="D271" s="11"/>
      <c r="E271" s="11"/>
      <c r="F271" s="21"/>
      <c r="G271" s="11"/>
      <c r="H271" s="50"/>
      <c r="I271" s="50"/>
      <c r="J271" s="50"/>
      <c r="K271" s="11"/>
      <c r="L271" s="50"/>
      <c r="M271" s="50"/>
      <c r="N271" s="50"/>
      <c r="O271" s="50"/>
      <c r="P271" s="50"/>
      <c r="Q271" s="11"/>
      <c r="R271" s="50"/>
      <c r="S271" s="50"/>
      <c r="T271" s="50"/>
      <c r="U271" s="11"/>
      <c r="V271" s="50"/>
      <c r="W271" s="50"/>
      <c r="X271" s="50"/>
      <c r="Y271" s="50"/>
      <c r="Z271" s="50"/>
      <c r="AA271" s="11"/>
      <c r="AB271" s="50"/>
      <c r="AC271" s="50"/>
      <c r="AD271" s="50"/>
      <c r="AE271" s="11"/>
      <c r="AF271" s="50"/>
      <c r="AG271" s="50"/>
      <c r="AH271" s="50"/>
      <c r="AI271" s="11"/>
      <c r="AJ271" s="50"/>
      <c r="AK271" s="50"/>
      <c r="AL271" s="50"/>
      <c r="AM271" s="11"/>
      <c r="AN271" s="50"/>
      <c r="AO271" s="50"/>
      <c r="AP271" s="50"/>
      <c r="AQ271" s="11"/>
      <c r="AR271" s="50"/>
      <c r="AS271" s="50"/>
      <c r="AT271" s="50"/>
      <c r="AU271" s="11"/>
      <c r="AV271" s="50"/>
      <c r="AW271" s="50"/>
      <c r="AX271" s="50"/>
      <c r="AY271" s="50"/>
      <c r="AZ271" s="50"/>
      <c r="BA271" s="50"/>
      <c r="BB271" s="50"/>
      <c r="BC271" s="50"/>
      <c r="BD271" s="50"/>
      <c r="BE271" s="20"/>
      <c r="BF271" s="518"/>
      <c r="BG271" s="484"/>
      <c r="BH271" s="484"/>
      <c r="BI271" s="527"/>
      <c r="BJ271" s="484"/>
      <c r="BK271" s="484"/>
      <c r="BL271" s="484"/>
      <c r="BM271" s="484"/>
    </row>
    <row r="272" spans="1:65" s="22" customFormat="1" x14ac:dyDescent="0.25">
      <c r="A272" s="20"/>
      <c r="B272" s="515"/>
      <c r="C272" s="11"/>
      <c r="D272" s="11"/>
      <c r="E272" s="11"/>
      <c r="F272" s="21"/>
      <c r="G272" s="11"/>
      <c r="H272" s="50"/>
      <c r="I272" s="50"/>
      <c r="J272" s="50"/>
      <c r="K272" s="11"/>
      <c r="L272" s="50"/>
      <c r="M272" s="50"/>
      <c r="N272" s="50"/>
      <c r="O272" s="50"/>
      <c r="P272" s="50"/>
      <c r="Q272" s="11"/>
      <c r="R272" s="50"/>
      <c r="S272" s="50"/>
      <c r="T272" s="50"/>
      <c r="U272" s="11"/>
      <c r="V272" s="50"/>
      <c r="W272" s="50"/>
      <c r="X272" s="50"/>
      <c r="Y272" s="50"/>
      <c r="Z272" s="50"/>
      <c r="AA272" s="11"/>
      <c r="AB272" s="50"/>
      <c r="AC272" s="50"/>
      <c r="AD272" s="50"/>
      <c r="AE272" s="11"/>
      <c r="AF272" s="50"/>
      <c r="AG272" s="50"/>
      <c r="AH272" s="50"/>
      <c r="AI272" s="11"/>
      <c r="AJ272" s="50"/>
      <c r="AK272" s="50"/>
      <c r="AL272" s="50"/>
      <c r="AM272" s="11"/>
      <c r="AN272" s="50"/>
      <c r="AO272" s="50"/>
      <c r="AP272" s="50"/>
      <c r="AQ272" s="11"/>
      <c r="AR272" s="50"/>
      <c r="AS272" s="50"/>
      <c r="AT272" s="50"/>
      <c r="AU272" s="11"/>
      <c r="AV272" s="50"/>
      <c r="AW272" s="50"/>
      <c r="AX272" s="50"/>
      <c r="AY272" s="50"/>
      <c r="AZ272" s="50"/>
      <c r="BA272" s="50"/>
      <c r="BB272" s="50"/>
      <c r="BC272" s="50"/>
      <c r="BD272" s="50"/>
      <c r="BE272" s="20"/>
      <c r="BF272" s="518"/>
      <c r="BG272" s="484"/>
      <c r="BH272" s="484"/>
      <c r="BI272" s="527"/>
      <c r="BJ272" s="484"/>
      <c r="BK272" s="484"/>
      <c r="BL272" s="484"/>
      <c r="BM272" s="484"/>
    </row>
    <row r="273" spans="1:65" s="22" customFormat="1" x14ac:dyDescent="0.25">
      <c r="A273" s="20"/>
      <c r="B273" s="515"/>
      <c r="C273" s="11"/>
      <c r="D273" s="11"/>
      <c r="E273" s="11"/>
      <c r="F273" s="21"/>
      <c r="G273" s="11"/>
      <c r="H273" s="50"/>
      <c r="I273" s="50"/>
      <c r="J273" s="50"/>
      <c r="K273" s="11"/>
      <c r="L273" s="50"/>
      <c r="M273" s="50"/>
      <c r="N273" s="50"/>
      <c r="O273" s="50"/>
      <c r="P273" s="50"/>
      <c r="Q273" s="11"/>
      <c r="R273" s="50"/>
      <c r="S273" s="50"/>
      <c r="T273" s="50"/>
      <c r="U273" s="11"/>
      <c r="V273" s="50"/>
      <c r="W273" s="50"/>
      <c r="X273" s="50"/>
      <c r="Y273" s="50"/>
      <c r="Z273" s="50"/>
      <c r="AA273" s="11"/>
      <c r="AB273" s="50"/>
      <c r="AC273" s="50"/>
      <c r="AD273" s="50"/>
      <c r="AE273" s="11"/>
      <c r="AF273" s="50"/>
      <c r="AG273" s="50"/>
      <c r="AH273" s="50"/>
      <c r="AI273" s="11"/>
      <c r="AJ273" s="50"/>
      <c r="AK273" s="50"/>
      <c r="AL273" s="50"/>
      <c r="AM273" s="11"/>
      <c r="AN273" s="50"/>
      <c r="AO273" s="50"/>
      <c r="AP273" s="50"/>
      <c r="AQ273" s="11"/>
      <c r="AR273" s="50"/>
      <c r="AS273" s="50"/>
      <c r="AT273" s="50"/>
      <c r="AU273" s="11"/>
      <c r="AV273" s="50"/>
      <c r="AW273" s="50"/>
      <c r="AX273" s="50"/>
      <c r="AY273" s="50"/>
      <c r="AZ273" s="50"/>
      <c r="BA273" s="50"/>
      <c r="BB273" s="50"/>
      <c r="BC273" s="50"/>
      <c r="BD273" s="50"/>
      <c r="BE273" s="20"/>
      <c r="BF273" s="518"/>
      <c r="BG273" s="484"/>
      <c r="BH273" s="484"/>
      <c r="BI273" s="527"/>
      <c r="BJ273" s="484"/>
      <c r="BK273" s="484"/>
      <c r="BL273" s="484"/>
      <c r="BM273" s="484"/>
    </row>
    <row r="274" spans="1:65" s="22" customFormat="1" x14ac:dyDescent="0.25">
      <c r="A274" s="20"/>
      <c r="B274" s="515"/>
      <c r="C274" s="11"/>
      <c r="D274" s="11"/>
      <c r="E274" s="11"/>
      <c r="F274" s="21"/>
      <c r="G274" s="11"/>
      <c r="H274" s="50"/>
      <c r="I274" s="50"/>
      <c r="J274" s="50"/>
      <c r="K274" s="11"/>
      <c r="L274" s="50"/>
      <c r="M274" s="50"/>
      <c r="N274" s="50"/>
      <c r="O274" s="50"/>
      <c r="P274" s="50"/>
      <c r="Q274" s="11"/>
      <c r="R274" s="50"/>
      <c r="S274" s="50"/>
      <c r="T274" s="50"/>
      <c r="U274" s="11"/>
      <c r="V274" s="50"/>
      <c r="W274" s="50"/>
      <c r="X274" s="50"/>
      <c r="Y274" s="50"/>
      <c r="Z274" s="50"/>
      <c r="AA274" s="11"/>
      <c r="AB274" s="50"/>
      <c r="AC274" s="50"/>
      <c r="AD274" s="50"/>
      <c r="AE274" s="11"/>
      <c r="AF274" s="50"/>
      <c r="AG274" s="50"/>
      <c r="AH274" s="50"/>
      <c r="AI274" s="11"/>
      <c r="AJ274" s="50"/>
      <c r="AK274" s="50"/>
      <c r="AL274" s="50"/>
      <c r="AM274" s="11"/>
      <c r="AN274" s="50"/>
      <c r="AO274" s="50"/>
      <c r="AP274" s="50"/>
      <c r="AQ274" s="11"/>
      <c r="AR274" s="50"/>
      <c r="AS274" s="50"/>
      <c r="AT274" s="50"/>
      <c r="AU274" s="11"/>
      <c r="AV274" s="50"/>
      <c r="AW274" s="50"/>
      <c r="AX274" s="50"/>
      <c r="AY274" s="50"/>
      <c r="AZ274" s="50"/>
      <c r="BA274" s="50"/>
      <c r="BB274" s="50"/>
      <c r="BC274" s="50"/>
      <c r="BD274" s="50"/>
      <c r="BE274" s="20"/>
      <c r="BF274" s="518"/>
      <c r="BG274" s="484"/>
      <c r="BH274" s="484"/>
      <c r="BI274" s="527"/>
      <c r="BJ274" s="484"/>
      <c r="BK274" s="484"/>
      <c r="BL274" s="484"/>
      <c r="BM274" s="484"/>
    </row>
    <row r="275" spans="1:65" s="22" customFormat="1" x14ac:dyDescent="0.25">
      <c r="A275" s="20"/>
      <c r="B275" s="515"/>
      <c r="C275" s="11"/>
      <c r="D275" s="11"/>
      <c r="E275" s="11"/>
      <c r="F275" s="21"/>
      <c r="G275" s="11"/>
      <c r="H275" s="50"/>
      <c r="I275" s="50"/>
      <c r="J275" s="50"/>
      <c r="K275" s="11"/>
      <c r="L275" s="50"/>
      <c r="M275" s="50"/>
      <c r="N275" s="50"/>
      <c r="O275" s="50"/>
      <c r="P275" s="50"/>
      <c r="Q275" s="11"/>
      <c r="R275" s="50"/>
      <c r="S275" s="50"/>
      <c r="T275" s="50"/>
      <c r="U275" s="11"/>
      <c r="V275" s="50"/>
      <c r="W275" s="50"/>
      <c r="X275" s="50"/>
      <c r="Y275" s="50"/>
      <c r="Z275" s="50"/>
      <c r="AA275" s="11"/>
      <c r="AB275" s="50"/>
      <c r="AC275" s="50"/>
      <c r="AD275" s="50"/>
      <c r="AE275" s="11"/>
      <c r="AF275" s="50"/>
      <c r="AG275" s="50"/>
      <c r="AH275" s="50"/>
      <c r="AI275" s="11"/>
      <c r="AJ275" s="50"/>
      <c r="AK275" s="50"/>
      <c r="AL275" s="50"/>
      <c r="AM275" s="11"/>
      <c r="AN275" s="50"/>
      <c r="AO275" s="50"/>
      <c r="AP275" s="50"/>
      <c r="AQ275" s="11"/>
      <c r="AR275" s="50"/>
      <c r="AS275" s="50"/>
      <c r="AT275" s="50"/>
      <c r="AU275" s="11"/>
      <c r="AV275" s="50"/>
      <c r="AW275" s="50"/>
      <c r="AX275" s="50"/>
      <c r="AY275" s="50"/>
      <c r="AZ275" s="50"/>
      <c r="BA275" s="50"/>
      <c r="BB275" s="50"/>
      <c r="BC275" s="50"/>
      <c r="BD275" s="50"/>
      <c r="BE275" s="20"/>
      <c r="BF275" s="518"/>
      <c r="BG275" s="484"/>
      <c r="BH275" s="484"/>
      <c r="BI275" s="527"/>
      <c r="BJ275" s="484"/>
      <c r="BK275" s="484"/>
      <c r="BL275" s="484"/>
      <c r="BM275" s="484"/>
    </row>
    <row r="276" spans="1:65" s="22" customFormat="1" x14ac:dyDescent="0.25">
      <c r="A276" s="20"/>
      <c r="B276" s="515"/>
      <c r="C276" s="11"/>
      <c r="D276" s="11"/>
      <c r="E276" s="11"/>
      <c r="F276" s="21"/>
      <c r="G276" s="11"/>
      <c r="H276" s="50"/>
      <c r="I276" s="50"/>
      <c r="J276" s="50"/>
      <c r="K276" s="11"/>
      <c r="L276" s="50"/>
      <c r="M276" s="50"/>
      <c r="N276" s="50"/>
      <c r="O276" s="50"/>
      <c r="P276" s="50"/>
      <c r="Q276" s="11"/>
      <c r="R276" s="50"/>
      <c r="S276" s="50"/>
      <c r="T276" s="50"/>
      <c r="U276" s="11"/>
      <c r="V276" s="50"/>
      <c r="W276" s="50"/>
      <c r="X276" s="50"/>
      <c r="Y276" s="50"/>
      <c r="Z276" s="50"/>
      <c r="AA276" s="11"/>
      <c r="AB276" s="50"/>
      <c r="AC276" s="50"/>
      <c r="AD276" s="50"/>
      <c r="AE276" s="11"/>
      <c r="AF276" s="50"/>
      <c r="AG276" s="50"/>
      <c r="AH276" s="50"/>
      <c r="AI276" s="11"/>
      <c r="AJ276" s="50"/>
      <c r="AK276" s="50"/>
      <c r="AL276" s="50"/>
      <c r="AM276" s="11"/>
      <c r="AN276" s="50"/>
      <c r="AO276" s="50"/>
      <c r="AP276" s="50"/>
      <c r="AQ276" s="11"/>
      <c r="AR276" s="50"/>
      <c r="AS276" s="50"/>
      <c r="AT276" s="50"/>
      <c r="AU276" s="11"/>
      <c r="AV276" s="50"/>
      <c r="AW276" s="50"/>
      <c r="AX276" s="50"/>
      <c r="AY276" s="50"/>
      <c r="AZ276" s="50"/>
      <c r="BA276" s="50"/>
      <c r="BB276" s="50"/>
      <c r="BC276" s="50"/>
      <c r="BD276" s="50"/>
      <c r="BE276" s="20"/>
      <c r="BF276" s="518"/>
      <c r="BG276" s="484"/>
      <c r="BH276" s="484"/>
      <c r="BI276" s="527"/>
      <c r="BJ276" s="484"/>
      <c r="BK276" s="484"/>
      <c r="BL276" s="484"/>
      <c r="BM276" s="484"/>
    </row>
    <row r="277" spans="1:65" s="22" customFormat="1" x14ac:dyDescent="0.25">
      <c r="A277" s="20"/>
      <c r="B277" s="515"/>
      <c r="C277" s="11"/>
      <c r="D277" s="11"/>
      <c r="E277" s="11"/>
      <c r="F277" s="21"/>
      <c r="G277" s="11"/>
      <c r="H277" s="50"/>
      <c r="I277" s="50"/>
      <c r="J277" s="50"/>
      <c r="K277" s="11"/>
      <c r="L277" s="50"/>
      <c r="M277" s="50"/>
      <c r="N277" s="50"/>
      <c r="O277" s="50"/>
      <c r="P277" s="50"/>
      <c r="Q277" s="11"/>
      <c r="R277" s="50"/>
      <c r="S277" s="50"/>
      <c r="T277" s="50"/>
      <c r="U277" s="11"/>
      <c r="V277" s="50"/>
      <c r="W277" s="50"/>
      <c r="X277" s="50"/>
      <c r="Y277" s="50"/>
      <c r="Z277" s="50"/>
      <c r="AA277" s="11"/>
      <c r="AB277" s="50"/>
      <c r="AC277" s="50"/>
      <c r="AD277" s="50"/>
      <c r="AE277" s="11"/>
      <c r="AF277" s="50"/>
      <c r="AG277" s="50"/>
      <c r="AH277" s="50"/>
      <c r="AI277" s="11"/>
      <c r="AJ277" s="50"/>
      <c r="AK277" s="50"/>
      <c r="AL277" s="50"/>
      <c r="AM277" s="11"/>
      <c r="AN277" s="50"/>
      <c r="AO277" s="50"/>
      <c r="AP277" s="50"/>
      <c r="AQ277" s="11"/>
      <c r="AR277" s="50"/>
      <c r="AS277" s="50"/>
      <c r="AT277" s="50"/>
      <c r="AU277" s="11"/>
      <c r="AV277" s="50"/>
      <c r="AW277" s="50"/>
      <c r="AX277" s="50"/>
      <c r="AY277" s="50"/>
      <c r="AZ277" s="50"/>
      <c r="BA277" s="50"/>
      <c r="BB277" s="50"/>
      <c r="BC277" s="50"/>
      <c r="BD277" s="50"/>
      <c r="BE277" s="20"/>
      <c r="BF277" s="518"/>
      <c r="BG277" s="484"/>
      <c r="BH277" s="484"/>
      <c r="BI277" s="527"/>
      <c r="BJ277" s="484"/>
      <c r="BK277" s="484"/>
      <c r="BL277" s="484"/>
      <c r="BM277" s="484"/>
    </row>
    <row r="278" spans="1:65" s="22" customFormat="1" x14ac:dyDescent="0.25">
      <c r="A278" s="20"/>
      <c r="B278" s="515"/>
      <c r="C278" s="11"/>
      <c r="D278" s="11"/>
      <c r="E278" s="11"/>
      <c r="F278" s="21"/>
      <c r="G278" s="11"/>
      <c r="H278" s="50"/>
      <c r="I278" s="50"/>
      <c r="J278" s="50"/>
      <c r="K278" s="11"/>
      <c r="L278" s="50"/>
      <c r="M278" s="50"/>
      <c r="N278" s="50"/>
      <c r="O278" s="50"/>
      <c r="P278" s="50"/>
      <c r="Q278" s="11"/>
      <c r="R278" s="50"/>
      <c r="S278" s="50"/>
      <c r="T278" s="50"/>
      <c r="U278" s="11"/>
      <c r="V278" s="50"/>
      <c r="W278" s="50"/>
      <c r="X278" s="50"/>
      <c r="Y278" s="50"/>
      <c r="Z278" s="50"/>
      <c r="AA278" s="11"/>
      <c r="AB278" s="50"/>
      <c r="AC278" s="50"/>
      <c r="AD278" s="50"/>
      <c r="AE278" s="11"/>
      <c r="AF278" s="50"/>
      <c r="AG278" s="50"/>
      <c r="AH278" s="50"/>
      <c r="AI278" s="11"/>
      <c r="AJ278" s="50"/>
      <c r="AK278" s="50"/>
      <c r="AL278" s="50"/>
      <c r="AM278" s="11"/>
      <c r="AN278" s="50"/>
      <c r="AO278" s="50"/>
      <c r="AP278" s="50"/>
      <c r="AQ278" s="11"/>
      <c r="AR278" s="50"/>
      <c r="AS278" s="50"/>
      <c r="AT278" s="50"/>
      <c r="AU278" s="11"/>
      <c r="AV278" s="50"/>
      <c r="AW278" s="50"/>
      <c r="AX278" s="50"/>
      <c r="AY278" s="50"/>
      <c r="AZ278" s="50"/>
      <c r="BA278" s="50"/>
      <c r="BB278" s="50"/>
      <c r="BC278" s="50"/>
      <c r="BD278" s="50"/>
      <c r="BE278" s="20"/>
      <c r="BF278" s="518"/>
      <c r="BG278" s="484"/>
      <c r="BH278" s="484"/>
      <c r="BI278" s="527"/>
      <c r="BJ278" s="484"/>
      <c r="BK278" s="484"/>
      <c r="BL278" s="484"/>
      <c r="BM278" s="484"/>
    </row>
    <row r="279" spans="1:65" s="22" customFormat="1" x14ac:dyDescent="0.25">
      <c r="A279" s="20"/>
      <c r="B279" s="515"/>
      <c r="C279" s="11"/>
      <c r="D279" s="11"/>
      <c r="E279" s="11"/>
      <c r="F279" s="21"/>
      <c r="G279" s="11"/>
      <c r="H279" s="50"/>
      <c r="I279" s="50"/>
      <c r="J279" s="50"/>
      <c r="K279" s="11"/>
      <c r="L279" s="50"/>
      <c r="M279" s="50"/>
      <c r="N279" s="50"/>
      <c r="O279" s="50"/>
      <c r="P279" s="50"/>
      <c r="Q279" s="11"/>
      <c r="R279" s="50"/>
      <c r="S279" s="50"/>
      <c r="T279" s="50"/>
      <c r="U279" s="11"/>
      <c r="V279" s="50"/>
      <c r="W279" s="50"/>
      <c r="X279" s="50"/>
      <c r="Y279" s="50"/>
      <c r="Z279" s="50"/>
      <c r="AA279" s="11"/>
      <c r="AB279" s="50"/>
      <c r="AC279" s="50"/>
      <c r="AD279" s="50"/>
      <c r="AE279" s="11"/>
      <c r="AF279" s="50"/>
      <c r="AG279" s="50"/>
      <c r="AH279" s="50"/>
      <c r="AI279" s="11"/>
      <c r="AJ279" s="50"/>
      <c r="AK279" s="50"/>
      <c r="AL279" s="50"/>
      <c r="AM279" s="11"/>
      <c r="AN279" s="50"/>
      <c r="AO279" s="50"/>
      <c r="AP279" s="50"/>
      <c r="AQ279" s="11"/>
      <c r="AR279" s="50"/>
      <c r="AS279" s="50"/>
      <c r="AT279" s="50"/>
      <c r="AU279" s="11"/>
      <c r="AV279" s="50"/>
      <c r="AW279" s="50"/>
      <c r="AX279" s="50"/>
      <c r="AY279" s="50"/>
      <c r="AZ279" s="50"/>
      <c r="BA279" s="50"/>
      <c r="BB279" s="50"/>
      <c r="BC279" s="50"/>
      <c r="BD279" s="50"/>
      <c r="BE279" s="20"/>
      <c r="BF279" s="518"/>
      <c r="BG279" s="484"/>
      <c r="BH279" s="484"/>
      <c r="BI279" s="527"/>
      <c r="BJ279" s="484"/>
      <c r="BK279" s="484"/>
      <c r="BL279" s="484"/>
      <c r="BM279" s="484"/>
    </row>
    <row r="280" spans="1:65" s="22" customFormat="1" x14ac:dyDescent="0.25">
      <c r="A280" s="20"/>
      <c r="B280" s="515"/>
      <c r="C280" s="11"/>
      <c r="D280" s="11"/>
      <c r="E280" s="11"/>
      <c r="F280" s="21"/>
      <c r="G280" s="11"/>
      <c r="H280" s="50"/>
      <c r="I280" s="50"/>
      <c r="J280" s="50"/>
      <c r="K280" s="11"/>
      <c r="L280" s="50"/>
      <c r="M280" s="50"/>
      <c r="N280" s="50"/>
      <c r="O280" s="50"/>
      <c r="P280" s="50"/>
      <c r="Q280" s="11"/>
      <c r="R280" s="50"/>
      <c r="S280" s="50"/>
      <c r="T280" s="50"/>
      <c r="U280" s="11"/>
      <c r="V280" s="50"/>
      <c r="W280" s="50"/>
      <c r="X280" s="50"/>
      <c r="Y280" s="50"/>
      <c r="Z280" s="50"/>
      <c r="AA280" s="11"/>
      <c r="AB280" s="50"/>
      <c r="AC280" s="50"/>
      <c r="AD280" s="50"/>
      <c r="AE280" s="11"/>
      <c r="AF280" s="50"/>
      <c r="AG280" s="50"/>
      <c r="AH280" s="50"/>
      <c r="AI280" s="11"/>
      <c r="AJ280" s="50"/>
      <c r="AK280" s="50"/>
      <c r="AL280" s="50"/>
      <c r="AM280" s="11"/>
      <c r="AN280" s="50"/>
      <c r="AO280" s="50"/>
      <c r="AP280" s="50"/>
      <c r="AQ280" s="11"/>
      <c r="AR280" s="50"/>
      <c r="AS280" s="50"/>
      <c r="AT280" s="50"/>
      <c r="AU280" s="11"/>
      <c r="AV280" s="50"/>
      <c r="AW280" s="50"/>
      <c r="AX280" s="50"/>
      <c r="AY280" s="50"/>
      <c r="AZ280" s="50"/>
      <c r="BA280" s="50"/>
      <c r="BB280" s="50"/>
      <c r="BC280" s="50"/>
      <c r="BD280" s="50"/>
      <c r="BE280" s="20"/>
      <c r="BF280" s="518"/>
      <c r="BG280" s="484"/>
      <c r="BH280" s="484"/>
      <c r="BI280" s="527"/>
      <c r="BJ280" s="484"/>
      <c r="BK280" s="484"/>
      <c r="BL280" s="484"/>
      <c r="BM280" s="484"/>
    </row>
    <row r="281" spans="1:65" s="22" customFormat="1" x14ac:dyDescent="0.25">
      <c r="A281" s="20"/>
      <c r="B281" s="515"/>
      <c r="C281" s="11"/>
      <c r="D281" s="11"/>
      <c r="E281" s="11"/>
      <c r="F281" s="21"/>
      <c r="G281" s="11"/>
      <c r="H281" s="50"/>
      <c r="I281" s="50"/>
      <c r="J281" s="50"/>
      <c r="K281" s="11"/>
      <c r="L281" s="50"/>
      <c r="M281" s="50"/>
      <c r="N281" s="50"/>
      <c r="O281" s="50"/>
      <c r="P281" s="50"/>
      <c r="Q281" s="11"/>
      <c r="R281" s="50"/>
      <c r="S281" s="50"/>
      <c r="T281" s="50"/>
      <c r="U281" s="11"/>
      <c r="V281" s="50"/>
      <c r="W281" s="50"/>
      <c r="X281" s="50"/>
      <c r="Y281" s="50"/>
      <c r="Z281" s="50"/>
      <c r="AA281" s="11"/>
      <c r="AB281" s="50"/>
      <c r="AC281" s="50"/>
      <c r="AD281" s="50"/>
      <c r="AE281" s="11"/>
      <c r="AF281" s="50"/>
      <c r="AG281" s="50"/>
      <c r="AH281" s="50"/>
      <c r="AI281" s="11"/>
      <c r="AJ281" s="50"/>
      <c r="AK281" s="50"/>
      <c r="AL281" s="50"/>
      <c r="AM281" s="11"/>
      <c r="AN281" s="50"/>
      <c r="AO281" s="50"/>
      <c r="AP281" s="50"/>
      <c r="AQ281" s="11"/>
      <c r="AR281" s="50"/>
      <c r="AS281" s="50"/>
      <c r="AT281" s="50"/>
      <c r="AU281" s="11"/>
      <c r="AV281" s="50"/>
      <c r="AW281" s="50"/>
      <c r="AX281" s="50"/>
      <c r="AY281" s="50"/>
      <c r="AZ281" s="50"/>
      <c r="BA281" s="50"/>
      <c r="BB281" s="50"/>
      <c r="BC281" s="50"/>
      <c r="BD281" s="50"/>
      <c r="BE281" s="20"/>
      <c r="BF281" s="518"/>
      <c r="BG281" s="484"/>
      <c r="BH281" s="484"/>
      <c r="BI281" s="527"/>
      <c r="BJ281" s="484"/>
      <c r="BK281" s="484"/>
      <c r="BL281" s="484"/>
      <c r="BM281" s="484"/>
    </row>
    <row r="282" spans="1:65" s="22" customFormat="1" x14ac:dyDescent="0.25">
      <c r="A282" s="20"/>
      <c r="B282" s="515"/>
      <c r="C282" s="11"/>
      <c r="D282" s="11"/>
      <c r="E282" s="11"/>
      <c r="F282" s="21"/>
      <c r="G282" s="11"/>
      <c r="H282" s="50"/>
      <c r="I282" s="50"/>
      <c r="J282" s="50"/>
      <c r="K282" s="11"/>
      <c r="L282" s="50"/>
      <c r="M282" s="50"/>
      <c r="N282" s="50"/>
      <c r="O282" s="50"/>
      <c r="P282" s="50"/>
      <c r="Q282" s="11"/>
      <c r="R282" s="50"/>
      <c r="S282" s="50"/>
      <c r="T282" s="50"/>
      <c r="U282" s="11"/>
      <c r="V282" s="50"/>
      <c r="W282" s="50"/>
      <c r="X282" s="50"/>
      <c r="Y282" s="50"/>
      <c r="Z282" s="50"/>
      <c r="AA282" s="11"/>
      <c r="AB282" s="50"/>
      <c r="AC282" s="50"/>
      <c r="AD282" s="50"/>
      <c r="AE282" s="11"/>
      <c r="AF282" s="50"/>
      <c r="AG282" s="50"/>
      <c r="AH282" s="50"/>
      <c r="AI282" s="11"/>
      <c r="AJ282" s="50"/>
      <c r="AK282" s="50"/>
      <c r="AL282" s="50"/>
      <c r="AM282" s="11"/>
      <c r="AN282" s="50"/>
      <c r="AO282" s="50"/>
      <c r="AP282" s="50"/>
      <c r="AQ282" s="11"/>
      <c r="AR282" s="50"/>
      <c r="AS282" s="50"/>
      <c r="AT282" s="50"/>
      <c r="AU282" s="11"/>
      <c r="AV282" s="50"/>
      <c r="AW282" s="50"/>
      <c r="AX282" s="50"/>
      <c r="AY282" s="50"/>
      <c r="AZ282" s="50"/>
      <c r="BA282" s="50"/>
      <c r="BB282" s="50"/>
      <c r="BC282" s="50"/>
      <c r="BD282" s="50"/>
      <c r="BE282" s="20"/>
      <c r="BF282" s="518"/>
      <c r="BG282" s="484"/>
      <c r="BH282" s="484"/>
      <c r="BI282" s="527"/>
      <c r="BJ282" s="484"/>
      <c r="BK282" s="484"/>
      <c r="BL282" s="484"/>
      <c r="BM282" s="484"/>
    </row>
    <row r="283" spans="1:65" s="22" customFormat="1" x14ac:dyDescent="0.25">
      <c r="A283" s="20"/>
      <c r="B283" s="515"/>
      <c r="C283" s="11"/>
      <c r="D283" s="11"/>
      <c r="E283" s="11"/>
      <c r="F283" s="21"/>
      <c r="G283" s="11"/>
      <c r="H283" s="50"/>
      <c r="I283" s="50"/>
      <c r="J283" s="50"/>
      <c r="K283" s="11"/>
      <c r="L283" s="50"/>
      <c r="M283" s="50"/>
      <c r="N283" s="50"/>
      <c r="O283" s="50"/>
      <c r="P283" s="50"/>
      <c r="Q283" s="11"/>
      <c r="R283" s="50"/>
      <c r="S283" s="50"/>
      <c r="T283" s="50"/>
      <c r="U283" s="11"/>
      <c r="V283" s="50"/>
      <c r="W283" s="50"/>
      <c r="X283" s="50"/>
      <c r="Y283" s="50"/>
      <c r="Z283" s="50"/>
      <c r="AA283" s="11"/>
      <c r="AB283" s="50"/>
      <c r="AC283" s="50"/>
      <c r="AD283" s="50"/>
      <c r="AE283" s="11"/>
      <c r="AF283" s="50"/>
      <c r="AG283" s="50"/>
      <c r="AH283" s="50"/>
      <c r="AI283" s="11"/>
      <c r="AJ283" s="50"/>
      <c r="AK283" s="50"/>
      <c r="AL283" s="50"/>
      <c r="AM283" s="11"/>
      <c r="AN283" s="50"/>
      <c r="AO283" s="50"/>
      <c r="AP283" s="50"/>
      <c r="AQ283" s="11"/>
      <c r="AR283" s="50"/>
      <c r="AS283" s="50"/>
      <c r="AT283" s="50"/>
      <c r="AU283" s="11"/>
      <c r="AV283" s="50"/>
      <c r="AW283" s="50"/>
      <c r="AX283" s="50"/>
      <c r="AY283" s="50"/>
      <c r="AZ283" s="50"/>
      <c r="BA283" s="50"/>
      <c r="BB283" s="50"/>
      <c r="BC283" s="50"/>
      <c r="BD283" s="50"/>
      <c r="BE283" s="20"/>
      <c r="BF283" s="518"/>
      <c r="BG283" s="484"/>
      <c r="BH283" s="484"/>
      <c r="BI283" s="527"/>
      <c r="BJ283" s="484"/>
      <c r="BK283" s="484"/>
      <c r="BL283" s="484"/>
      <c r="BM283" s="484"/>
    </row>
    <row r="284" spans="1:65" s="22" customFormat="1" x14ac:dyDescent="0.25">
      <c r="A284" s="20"/>
      <c r="B284" s="515"/>
      <c r="C284" s="11"/>
      <c r="D284" s="11"/>
      <c r="E284" s="11"/>
      <c r="F284" s="21"/>
      <c r="G284" s="11"/>
      <c r="H284" s="50"/>
      <c r="I284" s="50"/>
      <c r="J284" s="50"/>
      <c r="K284" s="11"/>
      <c r="L284" s="50"/>
      <c r="M284" s="50"/>
      <c r="N284" s="50"/>
      <c r="O284" s="50"/>
      <c r="P284" s="50"/>
      <c r="Q284" s="11"/>
      <c r="R284" s="50"/>
      <c r="S284" s="50"/>
      <c r="T284" s="50"/>
      <c r="U284" s="11"/>
      <c r="V284" s="50"/>
      <c r="W284" s="50"/>
      <c r="X284" s="50"/>
      <c r="Y284" s="50"/>
      <c r="Z284" s="50"/>
      <c r="AA284" s="11"/>
      <c r="AB284" s="50"/>
      <c r="AC284" s="50"/>
      <c r="AD284" s="50"/>
      <c r="AE284" s="11"/>
      <c r="AF284" s="50"/>
      <c r="AG284" s="50"/>
      <c r="AH284" s="50"/>
      <c r="AI284" s="11"/>
      <c r="AJ284" s="50"/>
      <c r="AK284" s="50"/>
      <c r="AL284" s="50"/>
      <c r="AM284" s="11"/>
      <c r="AN284" s="50"/>
      <c r="AO284" s="50"/>
      <c r="AP284" s="50"/>
      <c r="AQ284" s="11"/>
      <c r="AR284" s="50"/>
      <c r="AS284" s="50"/>
      <c r="AT284" s="50"/>
      <c r="AU284" s="11"/>
      <c r="AV284" s="50"/>
      <c r="AW284" s="50"/>
      <c r="AX284" s="50"/>
      <c r="AY284" s="50"/>
      <c r="AZ284" s="50"/>
      <c r="BA284" s="50"/>
      <c r="BB284" s="50"/>
      <c r="BC284" s="50"/>
      <c r="BD284" s="50"/>
      <c r="BE284" s="20"/>
      <c r="BF284" s="518"/>
      <c r="BG284" s="484"/>
      <c r="BH284" s="484"/>
      <c r="BI284" s="527"/>
      <c r="BJ284" s="484"/>
      <c r="BK284" s="484"/>
      <c r="BL284" s="484"/>
      <c r="BM284" s="484"/>
    </row>
    <row r="285" spans="1:65" s="22" customFormat="1" x14ac:dyDescent="0.25">
      <c r="A285" s="20"/>
      <c r="B285" s="515"/>
      <c r="C285" s="11"/>
      <c r="D285" s="11"/>
      <c r="E285" s="11"/>
      <c r="F285" s="21"/>
      <c r="G285" s="11"/>
      <c r="H285" s="50"/>
      <c r="I285" s="50"/>
      <c r="J285" s="50"/>
      <c r="K285" s="11"/>
      <c r="L285" s="50"/>
      <c r="M285" s="50"/>
      <c r="N285" s="50"/>
      <c r="O285" s="50"/>
      <c r="P285" s="50"/>
      <c r="Q285" s="11"/>
      <c r="R285" s="50"/>
      <c r="S285" s="50"/>
      <c r="T285" s="50"/>
      <c r="U285" s="11"/>
      <c r="V285" s="50"/>
      <c r="W285" s="50"/>
      <c r="X285" s="50"/>
      <c r="Y285" s="50"/>
      <c r="Z285" s="50"/>
      <c r="AA285" s="11"/>
      <c r="AB285" s="50"/>
      <c r="AC285" s="50"/>
      <c r="AD285" s="50"/>
      <c r="AE285" s="11"/>
      <c r="AF285" s="50"/>
      <c r="AG285" s="50"/>
      <c r="AH285" s="50"/>
      <c r="AI285" s="11"/>
      <c r="AJ285" s="50"/>
      <c r="AK285" s="50"/>
      <c r="AL285" s="50"/>
      <c r="AM285" s="11"/>
      <c r="AN285" s="50"/>
      <c r="AO285" s="50"/>
      <c r="AP285" s="50"/>
      <c r="AQ285" s="11"/>
      <c r="AR285" s="50"/>
      <c r="AS285" s="50"/>
      <c r="AT285" s="50"/>
      <c r="AU285" s="11"/>
      <c r="AV285" s="50"/>
      <c r="AW285" s="50"/>
      <c r="AX285" s="50"/>
      <c r="AY285" s="50"/>
      <c r="AZ285" s="50"/>
      <c r="BA285" s="50"/>
      <c r="BB285" s="50"/>
      <c r="BC285" s="50"/>
      <c r="BD285" s="50"/>
      <c r="BE285" s="20"/>
      <c r="BF285" s="518"/>
      <c r="BG285" s="484"/>
      <c r="BH285" s="484"/>
      <c r="BI285" s="527"/>
      <c r="BJ285" s="484"/>
      <c r="BK285" s="484"/>
      <c r="BL285" s="484"/>
      <c r="BM285" s="484"/>
    </row>
    <row r="286" spans="1:65" s="22" customFormat="1" x14ac:dyDescent="0.25">
      <c r="A286" s="20"/>
      <c r="B286" s="515"/>
      <c r="C286" s="11"/>
      <c r="D286" s="11"/>
      <c r="E286" s="11"/>
      <c r="F286" s="21"/>
      <c r="G286" s="11"/>
      <c r="H286" s="50"/>
      <c r="I286" s="50"/>
      <c r="J286" s="50"/>
      <c r="K286" s="11"/>
      <c r="L286" s="50"/>
      <c r="M286" s="50"/>
      <c r="N286" s="50"/>
      <c r="O286" s="50"/>
      <c r="P286" s="50"/>
      <c r="Q286" s="11"/>
      <c r="R286" s="50"/>
      <c r="S286" s="50"/>
      <c r="T286" s="50"/>
      <c r="U286" s="11"/>
      <c r="V286" s="50"/>
      <c r="W286" s="50"/>
      <c r="X286" s="50"/>
      <c r="Y286" s="50"/>
      <c r="Z286" s="50"/>
      <c r="AA286" s="11"/>
      <c r="AB286" s="50"/>
      <c r="AC286" s="50"/>
      <c r="AD286" s="50"/>
      <c r="AE286" s="11"/>
      <c r="AF286" s="50"/>
      <c r="AG286" s="50"/>
      <c r="AH286" s="50"/>
      <c r="AI286" s="11"/>
      <c r="AJ286" s="50"/>
      <c r="AK286" s="50"/>
      <c r="AL286" s="50"/>
      <c r="AM286" s="11"/>
      <c r="AN286" s="50"/>
      <c r="AO286" s="50"/>
      <c r="AP286" s="50"/>
      <c r="AQ286" s="11"/>
      <c r="AR286" s="50"/>
      <c r="AS286" s="50"/>
      <c r="AT286" s="50"/>
      <c r="AU286" s="11"/>
      <c r="AV286" s="50"/>
      <c r="AW286" s="50"/>
      <c r="AX286" s="50"/>
      <c r="AY286" s="50"/>
      <c r="AZ286" s="50"/>
      <c r="BA286" s="50"/>
      <c r="BB286" s="50"/>
      <c r="BC286" s="50"/>
      <c r="BD286" s="50"/>
      <c r="BE286" s="20"/>
      <c r="BF286" s="518"/>
      <c r="BG286" s="484"/>
      <c r="BH286" s="484"/>
      <c r="BI286" s="527"/>
      <c r="BJ286" s="484"/>
      <c r="BK286" s="484"/>
      <c r="BL286" s="484"/>
      <c r="BM286" s="484"/>
    </row>
    <row r="287" spans="1:65" s="22" customFormat="1" x14ac:dyDescent="0.25">
      <c r="A287" s="20"/>
      <c r="B287" s="515"/>
      <c r="C287" s="11"/>
      <c r="D287" s="11"/>
      <c r="E287" s="11"/>
      <c r="F287" s="21"/>
      <c r="G287" s="11"/>
      <c r="H287" s="50"/>
      <c r="I287" s="50"/>
      <c r="J287" s="50"/>
      <c r="K287" s="11"/>
      <c r="L287" s="50"/>
      <c r="M287" s="50"/>
      <c r="N287" s="50"/>
      <c r="O287" s="50"/>
      <c r="P287" s="50"/>
      <c r="Q287" s="11"/>
      <c r="R287" s="50"/>
      <c r="S287" s="50"/>
      <c r="T287" s="50"/>
      <c r="U287" s="11"/>
      <c r="V287" s="50"/>
      <c r="W287" s="50"/>
      <c r="X287" s="50"/>
      <c r="Y287" s="50"/>
      <c r="Z287" s="50"/>
      <c r="AA287" s="11"/>
      <c r="AB287" s="50"/>
      <c r="AC287" s="50"/>
      <c r="AD287" s="50"/>
      <c r="AE287" s="11"/>
      <c r="AF287" s="50"/>
      <c r="AG287" s="50"/>
      <c r="AH287" s="50"/>
      <c r="AI287" s="11"/>
      <c r="AJ287" s="50"/>
      <c r="AK287" s="50"/>
      <c r="AL287" s="50"/>
      <c r="AM287" s="11"/>
      <c r="AN287" s="50"/>
      <c r="AO287" s="50"/>
      <c r="AP287" s="50"/>
      <c r="AQ287" s="11"/>
      <c r="AR287" s="50"/>
      <c r="AS287" s="50"/>
      <c r="AT287" s="50"/>
      <c r="AU287" s="11"/>
      <c r="AV287" s="50"/>
      <c r="AW287" s="50"/>
      <c r="AX287" s="50"/>
      <c r="AY287" s="50"/>
      <c r="AZ287" s="50"/>
      <c r="BA287" s="50"/>
      <c r="BB287" s="50"/>
      <c r="BC287" s="50"/>
      <c r="BD287" s="50"/>
      <c r="BE287" s="20"/>
      <c r="BF287" s="518"/>
      <c r="BG287" s="484"/>
      <c r="BH287" s="484"/>
      <c r="BI287" s="527"/>
      <c r="BJ287" s="484"/>
      <c r="BK287" s="484"/>
      <c r="BL287" s="484"/>
      <c r="BM287" s="484"/>
    </row>
    <row r="288" spans="1:65" s="22" customFormat="1" x14ac:dyDescent="0.25">
      <c r="A288" s="20"/>
      <c r="B288" s="515"/>
      <c r="C288" s="11"/>
      <c r="D288" s="11"/>
      <c r="E288" s="11"/>
      <c r="F288" s="21"/>
      <c r="G288" s="11"/>
      <c r="H288" s="50"/>
      <c r="I288" s="50"/>
      <c r="J288" s="50"/>
      <c r="K288" s="11"/>
      <c r="L288" s="50"/>
      <c r="M288" s="50"/>
      <c r="N288" s="50"/>
      <c r="O288" s="50"/>
      <c r="P288" s="50"/>
      <c r="Q288" s="11"/>
      <c r="R288" s="50"/>
      <c r="S288" s="50"/>
      <c r="T288" s="50"/>
      <c r="U288" s="11"/>
      <c r="V288" s="50"/>
      <c r="W288" s="50"/>
      <c r="X288" s="50"/>
      <c r="Y288" s="50"/>
      <c r="Z288" s="50"/>
      <c r="AA288" s="11"/>
      <c r="AB288" s="50"/>
      <c r="AC288" s="50"/>
      <c r="AD288" s="50"/>
      <c r="AE288" s="11"/>
      <c r="AF288" s="50"/>
      <c r="AG288" s="50"/>
      <c r="AH288" s="50"/>
      <c r="AI288" s="11"/>
      <c r="AJ288" s="50"/>
      <c r="AK288" s="50"/>
      <c r="AL288" s="50"/>
      <c r="AM288" s="11"/>
      <c r="AN288" s="50"/>
      <c r="AO288" s="50"/>
      <c r="AP288" s="50"/>
      <c r="AQ288" s="11"/>
      <c r="AR288" s="50"/>
      <c r="AS288" s="50"/>
      <c r="AT288" s="50"/>
      <c r="AU288" s="11"/>
      <c r="AV288" s="50"/>
      <c r="AW288" s="50"/>
      <c r="AX288" s="50"/>
      <c r="AY288" s="50"/>
      <c r="AZ288" s="50"/>
      <c r="BA288" s="50"/>
      <c r="BB288" s="50"/>
      <c r="BC288" s="50"/>
      <c r="BD288" s="50"/>
      <c r="BE288" s="20"/>
      <c r="BF288" s="518"/>
      <c r="BG288" s="484"/>
      <c r="BH288" s="484"/>
      <c r="BI288" s="527"/>
      <c r="BJ288" s="484"/>
      <c r="BK288" s="484"/>
      <c r="BL288" s="484"/>
      <c r="BM288" s="484"/>
    </row>
    <row r="289" spans="1:65" s="22" customFormat="1" x14ac:dyDescent="0.25">
      <c r="A289" s="20"/>
      <c r="B289" s="515"/>
      <c r="C289" s="11"/>
      <c r="D289" s="11"/>
      <c r="E289" s="11"/>
      <c r="F289" s="21"/>
      <c r="G289" s="11"/>
      <c r="H289" s="50"/>
      <c r="I289" s="50"/>
      <c r="J289" s="50"/>
      <c r="K289" s="11"/>
      <c r="L289" s="50"/>
      <c r="M289" s="50"/>
      <c r="N289" s="50"/>
      <c r="O289" s="50"/>
      <c r="P289" s="50"/>
      <c r="Q289" s="11"/>
      <c r="R289" s="50"/>
      <c r="S289" s="50"/>
      <c r="T289" s="50"/>
      <c r="U289" s="11"/>
      <c r="V289" s="50"/>
      <c r="W289" s="50"/>
      <c r="X289" s="50"/>
      <c r="Y289" s="50"/>
      <c r="Z289" s="50"/>
      <c r="AA289" s="11"/>
      <c r="AB289" s="50"/>
      <c r="AC289" s="50"/>
      <c r="AD289" s="50"/>
      <c r="AE289" s="11"/>
      <c r="AF289" s="50"/>
      <c r="AG289" s="50"/>
      <c r="AH289" s="50"/>
      <c r="AI289" s="11"/>
      <c r="AJ289" s="50"/>
      <c r="AK289" s="50"/>
      <c r="AL289" s="50"/>
      <c r="AM289" s="11"/>
      <c r="AN289" s="50"/>
      <c r="AO289" s="50"/>
      <c r="AP289" s="50"/>
      <c r="AQ289" s="11"/>
      <c r="AR289" s="50"/>
      <c r="AS289" s="50"/>
      <c r="AT289" s="50"/>
      <c r="AU289" s="11"/>
      <c r="AV289" s="50"/>
      <c r="AW289" s="50"/>
      <c r="AX289" s="50"/>
      <c r="AY289" s="50"/>
      <c r="AZ289" s="50"/>
      <c r="BA289" s="50"/>
      <c r="BB289" s="50"/>
      <c r="BC289" s="50"/>
      <c r="BD289" s="50"/>
      <c r="BE289" s="20"/>
      <c r="BF289" s="518"/>
      <c r="BG289" s="484"/>
      <c r="BH289" s="484"/>
      <c r="BI289" s="527"/>
      <c r="BJ289" s="484"/>
      <c r="BK289" s="484"/>
      <c r="BL289" s="484"/>
      <c r="BM289" s="484"/>
    </row>
    <row r="290" spans="1:65" s="22" customFormat="1" x14ac:dyDescent="0.25">
      <c r="A290" s="20"/>
      <c r="B290" s="515"/>
      <c r="C290" s="11"/>
      <c r="D290" s="11"/>
      <c r="E290" s="11"/>
      <c r="F290" s="21"/>
      <c r="G290" s="11"/>
      <c r="H290" s="50"/>
      <c r="I290" s="50"/>
      <c r="J290" s="50"/>
      <c r="K290" s="11"/>
      <c r="L290" s="50"/>
      <c r="M290" s="50"/>
      <c r="N290" s="50"/>
      <c r="O290" s="50"/>
      <c r="P290" s="50"/>
      <c r="Q290" s="11"/>
      <c r="R290" s="50"/>
      <c r="S290" s="50"/>
      <c r="T290" s="50"/>
      <c r="U290" s="11"/>
      <c r="V290" s="50"/>
      <c r="W290" s="50"/>
      <c r="X290" s="50"/>
      <c r="Y290" s="50"/>
      <c r="Z290" s="50"/>
      <c r="AA290" s="11"/>
      <c r="AB290" s="50"/>
      <c r="AC290" s="50"/>
      <c r="AD290" s="50"/>
      <c r="AE290" s="11"/>
      <c r="AF290" s="50"/>
      <c r="AG290" s="50"/>
      <c r="AH290" s="50"/>
      <c r="AI290" s="11"/>
      <c r="AJ290" s="50"/>
      <c r="AK290" s="50"/>
      <c r="AL290" s="50"/>
      <c r="AM290" s="11"/>
      <c r="AN290" s="50"/>
      <c r="AO290" s="50"/>
      <c r="AP290" s="50"/>
      <c r="AQ290" s="11"/>
      <c r="AR290" s="50"/>
      <c r="AS290" s="50"/>
      <c r="AT290" s="50"/>
      <c r="AU290" s="11"/>
      <c r="AV290" s="50"/>
      <c r="AW290" s="50"/>
      <c r="AX290" s="50"/>
      <c r="AY290" s="50"/>
      <c r="AZ290" s="50"/>
      <c r="BA290" s="50"/>
      <c r="BB290" s="50"/>
      <c r="BC290" s="50"/>
      <c r="BD290" s="50"/>
      <c r="BE290" s="20"/>
      <c r="BF290" s="518"/>
      <c r="BG290" s="484"/>
      <c r="BH290" s="484"/>
      <c r="BI290" s="527"/>
      <c r="BJ290" s="484"/>
      <c r="BK290" s="484"/>
      <c r="BL290" s="484"/>
      <c r="BM290" s="484"/>
    </row>
    <row r="291" spans="1:65" s="22" customFormat="1" x14ac:dyDescent="0.25">
      <c r="A291" s="20"/>
      <c r="B291" s="515"/>
      <c r="C291" s="11"/>
      <c r="D291" s="11"/>
      <c r="E291" s="11"/>
      <c r="F291" s="21"/>
      <c r="G291" s="11"/>
      <c r="H291" s="50"/>
      <c r="I291" s="50"/>
      <c r="J291" s="50"/>
      <c r="K291" s="11"/>
      <c r="L291" s="50"/>
      <c r="M291" s="50"/>
      <c r="N291" s="50"/>
      <c r="O291" s="50"/>
      <c r="P291" s="50"/>
      <c r="Q291" s="11"/>
      <c r="R291" s="50"/>
      <c r="S291" s="50"/>
      <c r="T291" s="50"/>
      <c r="U291" s="11"/>
      <c r="V291" s="50"/>
      <c r="W291" s="50"/>
      <c r="X291" s="50"/>
      <c r="Y291" s="50"/>
      <c r="Z291" s="50"/>
      <c r="AA291" s="11"/>
      <c r="AB291" s="50"/>
      <c r="AC291" s="50"/>
      <c r="AD291" s="50"/>
      <c r="AE291" s="11"/>
      <c r="AF291" s="50"/>
      <c r="AG291" s="50"/>
      <c r="AH291" s="50"/>
      <c r="AI291" s="11"/>
      <c r="AJ291" s="50"/>
      <c r="AK291" s="50"/>
      <c r="AL291" s="50"/>
      <c r="AM291" s="11"/>
      <c r="AN291" s="50"/>
      <c r="AO291" s="50"/>
      <c r="AP291" s="50"/>
      <c r="AQ291" s="11"/>
      <c r="AR291" s="50"/>
      <c r="AS291" s="50"/>
      <c r="AT291" s="50"/>
      <c r="AU291" s="11"/>
      <c r="AV291" s="50"/>
      <c r="AW291" s="50"/>
      <c r="AX291" s="50"/>
      <c r="AY291" s="50"/>
      <c r="AZ291" s="50"/>
      <c r="BA291" s="50"/>
      <c r="BB291" s="50"/>
      <c r="BC291" s="50"/>
      <c r="BD291" s="50"/>
      <c r="BE291" s="20"/>
      <c r="BF291" s="518"/>
      <c r="BG291" s="484"/>
      <c r="BH291" s="484"/>
      <c r="BI291" s="527"/>
      <c r="BJ291" s="484"/>
      <c r="BK291" s="484"/>
      <c r="BL291" s="484"/>
      <c r="BM291" s="484"/>
    </row>
    <row r="292" spans="1:65" s="22" customFormat="1" x14ac:dyDescent="0.25">
      <c r="A292" s="20"/>
      <c r="B292" s="515"/>
      <c r="C292" s="11"/>
      <c r="D292" s="11"/>
      <c r="E292" s="11"/>
      <c r="F292" s="21"/>
      <c r="G292" s="11"/>
      <c r="H292" s="50"/>
      <c r="I292" s="50"/>
      <c r="J292" s="50"/>
      <c r="K292" s="11"/>
      <c r="L292" s="50"/>
      <c r="M292" s="50"/>
      <c r="N292" s="50"/>
      <c r="O292" s="50"/>
      <c r="P292" s="50"/>
      <c r="Q292" s="11"/>
      <c r="R292" s="50"/>
      <c r="S292" s="50"/>
      <c r="T292" s="50"/>
      <c r="U292" s="11"/>
      <c r="V292" s="50"/>
      <c r="W292" s="50"/>
      <c r="X292" s="50"/>
      <c r="Y292" s="50"/>
      <c r="Z292" s="50"/>
      <c r="AA292" s="11"/>
      <c r="AB292" s="50"/>
      <c r="AC292" s="50"/>
      <c r="AD292" s="50"/>
      <c r="AE292" s="11"/>
      <c r="AF292" s="50"/>
      <c r="AG292" s="50"/>
      <c r="AH292" s="50"/>
      <c r="AI292" s="11"/>
      <c r="AJ292" s="50"/>
      <c r="AK292" s="50"/>
      <c r="AL292" s="50"/>
      <c r="AM292" s="11"/>
      <c r="AN292" s="50"/>
      <c r="AO292" s="50"/>
      <c r="AP292" s="50"/>
      <c r="AQ292" s="11"/>
      <c r="AR292" s="50"/>
      <c r="AS292" s="50"/>
      <c r="AT292" s="50"/>
      <c r="AU292" s="11"/>
      <c r="AV292" s="50"/>
      <c r="AW292" s="50"/>
      <c r="AX292" s="50"/>
      <c r="AY292" s="50"/>
      <c r="AZ292" s="50"/>
      <c r="BA292" s="50"/>
      <c r="BB292" s="50"/>
      <c r="BC292" s="50"/>
      <c r="BD292" s="50"/>
      <c r="BE292" s="20"/>
      <c r="BF292" s="518"/>
      <c r="BG292" s="484"/>
      <c r="BH292" s="484"/>
      <c r="BI292" s="527"/>
      <c r="BJ292" s="484"/>
      <c r="BK292" s="484"/>
      <c r="BL292" s="484"/>
      <c r="BM292" s="484"/>
    </row>
    <row r="293" spans="1:65" s="22" customFormat="1" x14ac:dyDescent="0.25">
      <c r="A293" s="20"/>
      <c r="B293" s="515"/>
      <c r="C293" s="11"/>
      <c r="D293" s="11"/>
      <c r="E293" s="11"/>
      <c r="F293" s="21"/>
      <c r="G293" s="11"/>
      <c r="H293" s="50"/>
      <c r="I293" s="50"/>
      <c r="J293" s="50"/>
      <c r="K293" s="11"/>
      <c r="L293" s="50"/>
      <c r="M293" s="50"/>
      <c r="N293" s="50"/>
      <c r="O293" s="50"/>
      <c r="P293" s="50"/>
      <c r="Q293" s="11"/>
      <c r="R293" s="50"/>
      <c r="S293" s="50"/>
      <c r="T293" s="50"/>
      <c r="U293" s="11"/>
      <c r="V293" s="50"/>
      <c r="W293" s="50"/>
      <c r="X293" s="50"/>
      <c r="Y293" s="50"/>
      <c r="Z293" s="50"/>
      <c r="AA293" s="11"/>
      <c r="AB293" s="50"/>
      <c r="AC293" s="50"/>
      <c r="AD293" s="50"/>
      <c r="AE293" s="11"/>
      <c r="AF293" s="50"/>
      <c r="AG293" s="50"/>
      <c r="AH293" s="50"/>
      <c r="AI293" s="11"/>
      <c r="AJ293" s="50"/>
      <c r="AK293" s="50"/>
      <c r="AL293" s="50"/>
      <c r="AM293" s="11"/>
      <c r="AN293" s="50"/>
      <c r="AO293" s="50"/>
      <c r="AP293" s="50"/>
      <c r="AQ293" s="11"/>
      <c r="AR293" s="50"/>
      <c r="AS293" s="50"/>
      <c r="AT293" s="50"/>
      <c r="AU293" s="11"/>
      <c r="AV293" s="50"/>
      <c r="AW293" s="50"/>
      <c r="AX293" s="50"/>
      <c r="AY293" s="50"/>
      <c r="AZ293" s="50"/>
      <c r="BA293" s="50"/>
      <c r="BB293" s="50"/>
      <c r="BC293" s="50"/>
      <c r="BD293" s="50"/>
      <c r="BE293" s="20"/>
      <c r="BF293" s="518"/>
      <c r="BG293" s="484"/>
      <c r="BH293" s="484"/>
      <c r="BI293" s="527"/>
      <c r="BJ293" s="484"/>
      <c r="BK293" s="484"/>
      <c r="BL293" s="484"/>
      <c r="BM293" s="484"/>
    </row>
    <row r="294" spans="1:65" s="22" customFormat="1" x14ac:dyDescent="0.25">
      <c r="A294" s="20"/>
      <c r="B294" s="515"/>
      <c r="C294" s="11"/>
      <c r="D294" s="11"/>
      <c r="E294" s="11"/>
      <c r="F294" s="21"/>
      <c r="G294" s="11"/>
      <c r="H294" s="50"/>
      <c r="I294" s="50"/>
      <c r="J294" s="50"/>
      <c r="K294" s="11"/>
      <c r="L294" s="50"/>
      <c r="M294" s="50"/>
      <c r="N294" s="50"/>
      <c r="O294" s="50"/>
      <c r="P294" s="50"/>
      <c r="Q294" s="11"/>
      <c r="R294" s="50"/>
      <c r="S294" s="50"/>
      <c r="T294" s="50"/>
      <c r="U294" s="11"/>
      <c r="V294" s="50"/>
      <c r="W294" s="50"/>
      <c r="X294" s="50"/>
      <c r="Y294" s="50"/>
      <c r="Z294" s="50"/>
      <c r="AA294" s="11"/>
      <c r="AB294" s="50"/>
      <c r="AC294" s="50"/>
      <c r="AD294" s="50"/>
      <c r="AE294" s="11"/>
      <c r="AF294" s="50"/>
      <c r="AG294" s="50"/>
      <c r="AH294" s="50"/>
      <c r="AI294" s="11"/>
      <c r="AJ294" s="50"/>
      <c r="AK294" s="50"/>
      <c r="AL294" s="50"/>
      <c r="AM294" s="11"/>
      <c r="AN294" s="50"/>
      <c r="AO294" s="50"/>
      <c r="AP294" s="50"/>
      <c r="AQ294" s="11"/>
      <c r="AR294" s="50"/>
      <c r="AS294" s="50"/>
      <c r="AT294" s="50"/>
      <c r="AU294" s="11"/>
      <c r="AV294" s="50"/>
      <c r="AW294" s="50"/>
      <c r="AX294" s="50"/>
      <c r="AY294" s="50"/>
      <c r="AZ294" s="50"/>
      <c r="BA294" s="50"/>
      <c r="BB294" s="50"/>
      <c r="BC294" s="50"/>
      <c r="BD294" s="50"/>
      <c r="BE294" s="20"/>
      <c r="BF294" s="518"/>
      <c r="BG294" s="484"/>
      <c r="BH294" s="484"/>
      <c r="BI294" s="527"/>
      <c r="BJ294" s="484"/>
      <c r="BK294" s="484"/>
      <c r="BL294" s="484"/>
      <c r="BM294" s="484"/>
    </row>
    <row r="295" spans="1:65" s="22" customFormat="1" x14ac:dyDescent="0.25">
      <c r="A295" s="20"/>
      <c r="B295" s="515"/>
      <c r="C295" s="11"/>
      <c r="D295" s="11"/>
      <c r="E295" s="11"/>
      <c r="F295" s="21"/>
      <c r="G295" s="11"/>
      <c r="H295" s="50"/>
      <c r="I295" s="50"/>
      <c r="J295" s="50"/>
      <c r="K295" s="11"/>
      <c r="L295" s="50"/>
      <c r="M295" s="50"/>
      <c r="N295" s="50"/>
      <c r="O295" s="50"/>
      <c r="P295" s="50"/>
      <c r="Q295" s="11"/>
      <c r="R295" s="50"/>
      <c r="S295" s="50"/>
      <c r="T295" s="50"/>
      <c r="U295" s="11"/>
      <c r="V295" s="50"/>
      <c r="W295" s="50"/>
      <c r="X295" s="50"/>
      <c r="Y295" s="50"/>
      <c r="Z295" s="50"/>
      <c r="AA295" s="11"/>
      <c r="AB295" s="50"/>
      <c r="AC295" s="50"/>
      <c r="AD295" s="50"/>
      <c r="AE295" s="11"/>
      <c r="AF295" s="50"/>
      <c r="AG295" s="50"/>
      <c r="AH295" s="50"/>
      <c r="AI295" s="11"/>
      <c r="AJ295" s="50"/>
      <c r="AK295" s="50"/>
      <c r="AL295" s="50"/>
      <c r="AM295" s="11"/>
      <c r="AN295" s="50"/>
      <c r="AO295" s="50"/>
      <c r="AP295" s="50"/>
      <c r="AQ295" s="11"/>
      <c r="AR295" s="50"/>
      <c r="AS295" s="50"/>
      <c r="AT295" s="50"/>
      <c r="AU295" s="11"/>
      <c r="AV295" s="50"/>
      <c r="AW295" s="50"/>
      <c r="AX295" s="50"/>
      <c r="AY295" s="50"/>
      <c r="AZ295" s="50"/>
      <c r="BA295" s="50"/>
      <c r="BB295" s="50"/>
      <c r="BC295" s="50"/>
      <c r="BD295" s="50"/>
      <c r="BE295" s="20"/>
      <c r="BF295" s="518"/>
      <c r="BG295" s="484"/>
      <c r="BH295" s="484"/>
      <c r="BI295" s="527"/>
      <c r="BJ295" s="484"/>
      <c r="BK295" s="484"/>
      <c r="BL295" s="484"/>
      <c r="BM295" s="484"/>
    </row>
    <row r="296" spans="1:65" s="22" customFormat="1" x14ac:dyDescent="0.25">
      <c r="A296" s="20"/>
      <c r="B296" s="515"/>
      <c r="C296" s="11"/>
      <c r="D296" s="11"/>
      <c r="E296" s="11"/>
      <c r="F296" s="21"/>
      <c r="G296" s="11"/>
      <c r="H296" s="50"/>
      <c r="I296" s="50"/>
      <c r="J296" s="50"/>
      <c r="K296" s="11"/>
      <c r="L296" s="50"/>
      <c r="M296" s="50"/>
      <c r="N296" s="50"/>
      <c r="O296" s="50"/>
      <c r="P296" s="50"/>
      <c r="Q296" s="11"/>
      <c r="R296" s="50"/>
      <c r="S296" s="50"/>
      <c r="T296" s="50"/>
      <c r="U296" s="11"/>
      <c r="V296" s="50"/>
      <c r="W296" s="50"/>
      <c r="X296" s="50"/>
      <c r="Y296" s="50"/>
      <c r="Z296" s="50"/>
      <c r="AA296" s="11"/>
      <c r="AB296" s="50"/>
      <c r="AC296" s="50"/>
      <c r="AD296" s="50"/>
      <c r="AE296" s="11"/>
      <c r="AF296" s="50"/>
      <c r="AG296" s="50"/>
      <c r="AH296" s="50"/>
      <c r="AI296" s="11"/>
      <c r="AJ296" s="50"/>
      <c r="AK296" s="50"/>
      <c r="AL296" s="50"/>
      <c r="AM296" s="11"/>
      <c r="AN296" s="50"/>
      <c r="AO296" s="50"/>
      <c r="AP296" s="50"/>
      <c r="AQ296" s="11"/>
      <c r="AR296" s="50"/>
      <c r="AS296" s="50"/>
      <c r="AT296" s="50"/>
      <c r="AU296" s="11"/>
      <c r="AV296" s="50"/>
      <c r="AW296" s="50"/>
      <c r="AX296" s="50"/>
      <c r="AY296" s="50"/>
      <c r="AZ296" s="50"/>
      <c r="BA296" s="50"/>
      <c r="BB296" s="50"/>
      <c r="BC296" s="50"/>
      <c r="BD296" s="50"/>
      <c r="BE296" s="20"/>
      <c r="BF296" s="518"/>
      <c r="BG296" s="484"/>
      <c r="BH296" s="484"/>
      <c r="BI296" s="527"/>
      <c r="BJ296" s="484"/>
      <c r="BK296" s="484"/>
      <c r="BL296" s="484"/>
      <c r="BM296" s="484"/>
    </row>
    <row r="297" spans="1:65" s="22" customFormat="1" x14ac:dyDescent="0.25">
      <c r="A297" s="20"/>
      <c r="B297" s="515"/>
      <c r="C297" s="11"/>
      <c r="D297" s="11"/>
      <c r="E297" s="11"/>
      <c r="F297" s="21"/>
      <c r="G297" s="11"/>
      <c r="H297" s="50"/>
      <c r="I297" s="50"/>
      <c r="J297" s="50"/>
      <c r="K297" s="11"/>
      <c r="L297" s="50"/>
      <c r="M297" s="50"/>
      <c r="N297" s="50"/>
      <c r="O297" s="50"/>
      <c r="P297" s="50"/>
      <c r="Q297" s="11"/>
      <c r="R297" s="50"/>
      <c r="S297" s="50"/>
      <c r="T297" s="50"/>
      <c r="U297" s="11"/>
      <c r="V297" s="50"/>
      <c r="W297" s="50"/>
      <c r="X297" s="50"/>
      <c r="Y297" s="50"/>
      <c r="Z297" s="50"/>
      <c r="AA297" s="11"/>
      <c r="AB297" s="50"/>
      <c r="AC297" s="50"/>
      <c r="AD297" s="50"/>
      <c r="AE297" s="11"/>
      <c r="AF297" s="50"/>
      <c r="AG297" s="50"/>
      <c r="AH297" s="50"/>
      <c r="AI297" s="11"/>
      <c r="AJ297" s="50"/>
      <c r="AK297" s="50"/>
      <c r="AL297" s="50"/>
      <c r="AM297" s="11"/>
      <c r="AN297" s="50"/>
      <c r="AO297" s="50"/>
      <c r="AP297" s="50"/>
      <c r="AQ297" s="11"/>
      <c r="AR297" s="50"/>
      <c r="AS297" s="50"/>
      <c r="AT297" s="50"/>
      <c r="AU297" s="11"/>
      <c r="AV297" s="50"/>
      <c r="AW297" s="50"/>
      <c r="AX297" s="50"/>
      <c r="AY297" s="50"/>
      <c r="AZ297" s="50"/>
      <c r="BA297" s="50"/>
      <c r="BB297" s="50"/>
      <c r="BC297" s="50"/>
      <c r="BD297" s="50"/>
      <c r="BE297" s="20"/>
      <c r="BF297" s="518"/>
      <c r="BG297" s="484"/>
      <c r="BH297" s="484"/>
      <c r="BI297" s="527"/>
      <c r="BJ297" s="484"/>
      <c r="BK297" s="484"/>
      <c r="BL297" s="484"/>
      <c r="BM297" s="484"/>
    </row>
    <row r="298" spans="1:65" s="22" customFormat="1" x14ac:dyDescent="0.25">
      <c r="A298" s="20"/>
      <c r="B298" s="515"/>
      <c r="C298" s="11"/>
      <c r="D298" s="11"/>
      <c r="E298" s="11"/>
      <c r="F298" s="21"/>
      <c r="G298" s="11"/>
      <c r="H298" s="50"/>
      <c r="I298" s="50"/>
      <c r="J298" s="50"/>
      <c r="K298" s="11"/>
      <c r="L298" s="50"/>
      <c r="M298" s="50"/>
      <c r="N298" s="50"/>
      <c r="O298" s="50"/>
      <c r="P298" s="50"/>
      <c r="Q298" s="11"/>
      <c r="R298" s="50"/>
      <c r="S298" s="50"/>
      <c r="T298" s="50"/>
      <c r="U298" s="11"/>
      <c r="V298" s="50"/>
      <c r="W298" s="50"/>
      <c r="X298" s="50"/>
      <c r="Y298" s="50"/>
      <c r="Z298" s="50"/>
      <c r="AA298" s="11"/>
      <c r="AB298" s="50"/>
      <c r="AC298" s="50"/>
      <c r="AD298" s="50"/>
      <c r="AE298" s="11"/>
      <c r="AF298" s="50"/>
      <c r="AG298" s="50"/>
      <c r="AH298" s="50"/>
      <c r="AI298" s="11"/>
      <c r="AJ298" s="50"/>
      <c r="AK298" s="50"/>
      <c r="AL298" s="50"/>
      <c r="AM298" s="11"/>
      <c r="AN298" s="50"/>
      <c r="AO298" s="50"/>
      <c r="AP298" s="50"/>
      <c r="AQ298" s="11"/>
      <c r="AR298" s="50"/>
      <c r="AS298" s="50"/>
      <c r="AT298" s="50"/>
      <c r="AU298" s="11"/>
      <c r="AV298" s="50"/>
      <c r="AW298" s="50"/>
      <c r="AX298" s="50"/>
      <c r="AY298" s="50"/>
      <c r="AZ298" s="50"/>
      <c r="BA298" s="50"/>
      <c r="BB298" s="50"/>
      <c r="BC298" s="50"/>
      <c r="BD298" s="50"/>
      <c r="BE298" s="20"/>
      <c r="BF298" s="518"/>
      <c r="BG298" s="484"/>
      <c r="BH298" s="484"/>
      <c r="BI298" s="527"/>
      <c r="BJ298" s="484"/>
      <c r="BK298" s="484"/>
      <c r="BL298" s="484"/>
      <c r="BM298" s="484"/>
    </row>
    <row r="299" spans="1:65" s="22" customFormat="1" x14ac:dyDescent="0.25">
      <c r="A299" s="20"/>
      <c r="B299" s="515"/>
      <c r="C299" s="11"/>
      <c r="D299" s="11"/>
      <c r="E299" s="11"/>
      <c r="F299" s="21"/>
      <c r="G299" s="11"/>
      <c r="H299" s="50"/>
      <c r="I299" s="50"/>
      <c r="J299" s="50"/>
      <c r="K299" s="11"/>
      <c r="L299" s="50"/>
      <c r="M299" s="50"/>
      <c r="N299" s="50"/>
      <c r="O299" s="50"/>
      <c r="P299" s="50"/>
      <c r="Q299" s="11"/>
      <c r="R299" s="50"/>
      <c r="S299" s="50"/>
      <c r="T299" s="50"/>
      <c r="U299" s="11"/>
      <c r="V299" s="50"/>
      <c r="W299" s="50"/>
      <c r="X299" s="50"/>
      <c r="Y299" s="50"/>
      <c r="Z299" s="50"/>
      <c r="AA299" s="11"/>
      <c r="AB299" s="50"/>
      <c r="AC299" s="50"/>
      <c r="AD299" s="50"/>
      <c r="AE299" s="11"/>
      <c r="AF299" s="50"/>
      <c r="AG299" s="50"/>
      <c r="AH299" s="50"/>
      <c r="AI299" s="11"/>
      <c r="AJ299" s="50"/>
      <c r="AK299" s="50"/>
      <c r="AL299" s="50"/>
      <c r="AM299" s="11"/>
      <c r="AN299" s="50"/>
      <c r="AO299" s="50"/>
      <c r="AP299" s="50"/>
      <c r="AQ299" s="11"/>
      <c r="AR299" s="50"/>
      <c r="AS299" s="50"/>
      <c r="AT299" s="50"/>
      <c r="AU299" s="11"/>
      <c r="AV299" s="50"/>
      <c r="AW299" s="50"/>
      <c r="AX299" s="50"/>
      <c r="AY299" s="50"/>
      <c r="AZ299" s="50"/>
      <c r="BA299" s="50"/>
      <c r="BB299" s="50"/>
      <c r="BC299" s="50"/>
      <c r="BD299" s="50"/>
      <c r="BE299" s="20"/>
      <c r="BF299" s="518"/>
      <c r="BG299" s="484"/>
      <c r="BH299" s="484"/>
      <c r="BI299" s="527"/>
      <c r="BJ299" s="484"/>
      <c r="BK299" s="484"/>
      <c r="BL299" s="484"/>
      <c r="BM299" s="484"/>
    </row>
    <row r="300" spans="1:65" s="22" customFormat="1" x14ac:dyDescent="0.25">
      <c r="A300" s="20"/>
      <c r="B300" s="515"/>
      <c r="C300" s="11"/>
      <c r="D300" s="11"/>
      <c r="E300" s="11"/>
      <c r="F300" s="21"/>
      <c r="G300" s="11"/>
      <c r="H300" s="50"/>
      <c r="I300" s="50"/>
      <c r="J300" s="50"/>
      <c r="K300" s="11"/>
      <c r="L300" s="50"/>
      <c r="M300" s="50"/>
      <c r="N300" s="50"/>
      <c r="O300" s="50"/>
      <c r="P300" s="50"/>
      <c r="Q300" s="11"/>
      <c r="R300" s="50"/>
      <c r="S300" s="50"/>
      <c r="T300" s="50"/>
      <c r="U300" s="11"/>
      <c r="V300" s="50"/>
      <c r="W300" s="50"/>
      <c r="X300" s="50"/>
      <c r="Y300" s="50"/>
      <c r="Z300" s="50"/>
      <c r="AA300" s="11"/>
      <c r="AB300" s="50"/>
      <c r="AC300" s="50"/>
      <c r="AD300" s="50"/>
      <c r="AE300" s="11"/>
      <c r="AF300" s="50"/>
      <c r="AG300" s="50"/>
      <c r="AH300" s="50"/>
      <c r="AI300" s="11"/>
      <c r="AJ300" s="50"/>
      <c r="AK300" s="50"/>
      <c r="AL300" s="50"/>
      <c r="AM300" s="11"/>
      <c r="AN300" s="50"/>
      <c r="AO300" s="50"/>
      <c r="AP300" s="50"/>
      <c r="AQ300" s="11"/>
      <c r="AR300" s="50"/>
      <c r="AS300" s="50"/>
      <c r="AT300" s="50"/>
      <c r="AU300" s="11"/>
      <c r="AV300" s="50"/>
      <c r="AW300" s="50"/>
      <c r="AX300" s="50"/>
      <c r="AY300" s="50"/>
      <c r="AZ300" s="50"/>
      <c r="BA300" s="50"/>
      <c r="BB300" s="50"/>
      <c r="BC300" s="50"/>
      <c r="BD300" s="50"/>
      <c r="BE300" s="20"/>
      <c r="BF300" s="518"/>
      <c r="BG300" s="484"/>
      <c r="BH300" s="484"/>
      <c r="BI300" s="527"/>
      <c r="BJ300" s="484"/>
      <c r="BK300" s="484"/>
      <c r="BL300" s="484"/>
      <c r="BM300" s="484"/>
    </row>
    <row r="301" spans="1:65" s="22" customFormat="1" x14ac:dyDescent="0.25">
      <c r="A301" s="20"/>
      <c r="B301" s="515"/>
      <c r="C301" s="11"/>
      <c r="D301" s="11"/>
      <c r="E301" s="11"/>
      <c r="F301" s="21"/>
      <c r="G301" s="11"/>
      <c r="H301" s="50"/>
      <c r="I301" s="50"/>
      <c r="J301" s="50"/>
      <c r="K301" s="11"/>
      <c r="L301" s="50"/>
      <c r="M301" s="50"/>
      <c r="N301" s="50"/>
      <c r="O301" s="50"/>
      <c r="P301" s="50"/>
      <c r="Q301" s="11"/>
      <c r="R301" s="50"/>
      <c r="S301" s="50"/>
      <c r="T301" s="50"/>
      <c r="U301" s="11"/>
      <c r="V301" s="50"/>
      <c r="W301" s="50"/>
      <c r="X301" s="50"/>
      <c r="Y301" s="50"/>
      <c r="Z301" s="50"/>
      <c r="AA301" s="11"/>
      <c r="AB301" s="50"/>
      <c r="AC301" s="50"/>
      <c r="AD301" s="50"/>
      <c r="AE301" s="11"/>
      <c r="AF301" s="50"/>
      <c r="AG301" s="50"/>
      <c r="AH301" s="50"/>
      <c r="AI301" s="11"/>
      <c r="AJ301" s="50"/>
      <c r="AK301" s="50"/>
      <c r="AL301" s="50"/>
      <c r="AM301" s="11"/>
      <c r="AN301" s="50"/>
      <c r="AO301" s="50"/>
      <c r="AP301" s="50"/>
      <c r="AQ301" s="11"/>
      <c r="AR301" s="50"/>
      <c r="AS301" s="50"/>
      <c r="AT301" s="50"/>
      <c r="AU301" s="11"/>
      <c r="AV301" s="50"/>
      <c r="AW301" s="50"/>
      <c r="AX301" s="50"/>
      <c r="AY301" s="50"/>
      <c r="AZ301" s="50"/>
      <c r="BA301" s="50"/>
      <c r="BB301" s="50"/>
      <c r="BC301" s="50"/>
      <c r="BD301" s="50"/>
      <c r="BE301" s="20"/>
      <c r="BF301" s="518"/>
      <c r="BG301" s="484"/>
      <c r="BH301" s="484"/>
      <c r="BI301" s="527"/>
      <c r="BJ301" s="484"/>
      <c r="BK301" s="484"/>
      <c r="BL301" s="484"/>
      <c r="BM301" s="484"/>
    </row>
    <row r="302" spans="1:65" s="22" customFormat="1" x14ac:dyDescent="0.25">
      <c r="A302" s="20"/>
      <c r="B302" s="515"/>
      <c r="C302" s="11"/>
      <c r="D302" s="11"/>
      <c r="E302" s="11"/>
      <c r="F302" s="21"/>
      <c r="G302" s="11"/>
      <c r="H302" s="50"/>
      <c r="I302" s="50"/>
      <c r="J302" s="50"/>
      <c r="K302" s="11"/>
      <c r="L302" s="50"/>
      <c r="M302" s="50"/>
      <c r="N302" s="50"/>
      <c r="O302" s="50"/>
      <c r="P302" s="50"/>
      <c r="Q302" s="11"/>
      <c r="R302" s="50"/>
      <c r="S302" s="50"/>
      <c r="T302" s="50"/>
      <c r="U302" s="11"/>
      <c r="V302" s="50"/>
      <c r="W302" s="50"/>
      <c r="X302" s="50"/>
      <c r="Y302" s="50"/>
      <c r="Z302" s="50"/>
      <c r="AA302" s="11"/>
      <c r="AB302" s="50"/>
      <c r="AC302" s="50"/>
      <c r="AD302" s="50"/>
      <c r="AE302" s="11"/>
      <c r="AF302" s="50"/>
      <c r="AG302" s="50"/>
      <c r="AH302" s="50"/>
      <c r="AI302" s="11"/>
      <c r="AJ302" s="50"/>
      <c r="AK302" s="50"/>
      <c r="AL302" s="50"/>
      <c r="AM302" s="11"/>
      <c r="AN302" s="50"/>
      <c r="AO302" s="50"/>
      <c r="AP302" s="50"/>
      <c r="AQ302" s="11"/>
      <c r="AR302" s="50"/>
      <c r="AS302" s="50"/>
      <c r="AT302" s="50"/>
      <c r="AU302" s="11"/>
      <c r="AV302" s="50"/>
      <c r="AW302" s="50"/>
      <c r="AX302" s="50"/>
      <c r="AY302" s="50"/>
      <c r="AZ302" s="50"/>
      <c r="BA302" s="50"/>
      <c r="BB302" s="50"/>
      <c r="BC302" s="50"/>
      <c r="BD302" s="50"/>
      <c r="BE302" s="20"/>
      <c r="BF302" s="518"/>
      <c r="BG302" s="484"/>
      <c r="BH302" s="484"/>
      <c r="BI302" s="527"/>
      <c r="BJ302" s="484"/>
      <c r="BK302" s="484"/>
      <c r="BL302" s="484"/>
      <c r="BM302" s="484"/>
    </row>
    <row r="303" spans="1:65" s="22" customFormat="1" x14ac:dyDescent="0.25">
      <c r="A303" s="20"/>
      <c r="B303" s="515"/>
      <c r="C303" s="11"/>
      <c r="D303" s="11"/>
      <c r="E303" s="11"/>
      <c r="F303" s="21"/>
      <c r="G303" s="11"/>
      <c r="H303" s="50"/>
      <c r="I303" s="50"/>
      <c r="J303" s="50"/>
      <c r="K303" s="11"/>
      <c r="L303" s="50"/>
      <c r="M303" s="50"/>
      <c r="N303" s="50"/>
      <c r="O303" s="50"/>
      <c r="P303" s="50"/>
      <c r="Q303" s="11"/>
      <c r="R303" s="50"/>
      <c r="S303" s="50"/>
      <c r="T303" s="50"/>
      <c r="U303" s="11"/>
      <c r="V303" s="50"/>
      <c r="W303" s="50"/>
      <c r="X303" s="50"/>
      <c r="Y303" s="50"/>
      <c r="Z303" s="50"/>
      <c r="AA303" s="11"/>
      <c r="AB303" s="50"/>
      <c r="AC303" s="50"/>
      <c r="AD303" s="50"/>
      <c r="AE303" s="11"/>
      <c r="AF303" s="50"/>
      <c r="AG303" s="50"/>
      <c r="AH303" s="50"/>
      <c r="AI303" s="11"/>
      <c r="AJ303" s="50"/>
      <c r="AK303" s="50"/>
      <c r="AL303" s="50"/>
      <c r="AM303" s="11"/>
      <c r="AN303" s="50"/>
      <c r="AO303" s="50"/>
      <c r="AP303" s="50"/>
      <c r="AQ303" s="11"/>
      <c r="AR303" s="50"/>
      <c r="AS303" s="50"/>
      <c r="AT303" s="50"/>
      <c r="AU303" s="11"/>
      <c r="AV303" s="50"/>
      <c r="AW303" s="50"/>
      <c r="AX303" s="50"/>
      <c r="AY303" s="50"/>
      <c r="AZ303" s="50"/>
      <c r="BA303" s="50"/>
      <c r="BB303" s="50"/>
      <c r="BC303" s="50"/>
      <c r="BD303" s="50"/>
      <c r="BE303" s="20"/>
      <c r="BF303" s="518"/>
      <c r="BG303" s="484"/>
      <c r="BH303" s="484"/>
      <c r="BI303" s="527"/>
      <c r="BJ303" s="484"/>
      <c r="BK303" s="484"/>
      <c r="BL303" s="484"/>
      <c r="BM303" s="484"/>
    </row>
    <row r="304" spans="1:65" s="22" customFormat="1" x14ac:dyDescent="0.25">
      <c r="A304" s="20"/>
      <c r="B304" s="515"/>
      <c r="C304" s="11"/>
      <c r="D304" s="11"/>
      <c r="E304" s="11"/>
      <c r="F304" s="21"/>
      <c r="G304" s="11"/>
      <c r="H304" s="50"/>
      <c r="I304" s="50"/>
      <c r="J304" s="50"/>
      <c r="K304" s="11"/>
      <c r="L304" s="50"/>
      <c r="M304" s="50"/>
      <c r="N304" s="50"/>
      <c r="O304" s="50"/>
      <c r="P304" s="50"/>
      <c r="Q304" s="11"/>
      <c r="R304" s="50"/>
      <c r="S304" s="50"/>
      <c r="T304" s="50"/>
      <c r="U304" s="11"/>
      <c r="V304" s="50"/>
      <c r="W304" s="50"/>
      <c r="X304" s="50"/>
      <c r="Y304" s="50"/>
      <c r="Z304" s="50"/>
      <c r="AA304" s="11"/>
      <c r="AB304" s="50"/>
      <c r="AC304" s="50"/>
      <c r="AD304" s="50"/>
      <c r="AE304" s="11"/>
      <c r="AF304" s="50"/>
      <c r="AG304" s="50"/>
      <c r="AH304" s="50"/>
      <c r="AI304" s="11"/>
      <c r="AJ304" s="50"/>
      <c r="AK304" s="50"/>
      <c r="AL304" s="50"/>
      <c r="AM304" s="11"/>
      <c r="AN304" s="50"/>
      <c r="AO304" s="50"/>
      <c r="AP304" s="50"/>
      <c r="AQ304" s="11"/>
      <c r="AR304" s="50"/>
      <c r="AS304" s="50"/>
      <c r="AT304" s="50"/>
      <c r="AU304" s="11"/>
      <c r="AV304" s="50"/>
      <c r="AW304" s="50"/>
      <c r="AX304" s="50"/>
      <c r="AY304" s="50"/>
      <c r="AZ304" s="50"/>
      <c r="BA304" s="50"/>
      <c r="BB304" s="50"/>
      <c r="BC304" s="50"/>
      <c r="BD304" s="50"/>
      <c r="BE304" s="20"/>
      <c r="BF304" s="518"/>
      <c r="BG304" s="484"/>
      <c r="BH304" s="484"/>
      <c r="BI304" s="527"/>
      <c r="BJ304" s="484"/>
      <c r="BK304" s="484"/>
      <c r="BL304" s="484"/>
      <c r="BM304" s="484"/>
    </row>
    <row r="305" spans="1:65" s="22" customFormat="1" x14ac:dyDescent="0.25">
      <c r="A305" s="20"/>
      <c r="B305" s="515"/>
      <c r="C305" s="11"/>
      <c r="D305" s="11"/>
      <c r="E305" s="11"/>
      <c r="F305" s="21"/>
      <c r="G305" s="11"/>
      <c r="H305" s="50"/>
      <c r="I305" s="50"/>
      <c r="J305" s="50"/>
      <c r="K305" s="11"/>
      <c r="L305" s="50"/>
      <c r="M305" s="50"/>
      <c r="N305" s="50"/>
      <c r="O305" s="50"/>
      <c r="P305" s="50"/>
      <c r="Q305" s="11"/>
      <c r="R305" s="50"/>
      <c r="S305" s="50"/>
      <c r="T305" s="50"/>
      <c r="U305" s="11"/>
      <c r="V305" s="50"/>
      <c r="W305" s="50"/>
      <c r="X305" s="50"/>
      <c r="Y305" s="50"/>
      <c r="Z305" s="50"/>
      <c r="AA305" s="11"/>
      <c r="AB305" s="50"/>
      <c r="AC305" s="50"/>
      <c r="AD305" s="50"/>
      <c r="AE305" s="11"/>
      <c r="AF305" s="50"/>
      <c r="AG305" s="50"/>
      <c r="AH305" s="50"/>
      <c r="AI305" s="11"/>
      <c r="AJ305" s="50"/>
      <c r="AK305" s="50"/>
      <c r="AL305" s="50"/>
      <c r="AM305" s="11"/>
      <c r="AN305" s="50"/>
      <c r="AO305" s="50"/>
      <c r="AP305" s="50"/>
      <c r="AQ305" s="11"/>
      <c r="AR305" s="50"/>
      <c r="AS305" s="50"/>
      <c r="AT305" s="50"/>
      <c r="AU305" s="11"/>
      <c r="AV305" s="50"/>
      <c r="AW305" s="50"/>
      <c r="AX305" s="50"/>
      <c r="AY305" s="50"/>
      <c r="AZ305" s="50"/>
      <c r="BA305" s="50"/>
      <c r="BB305" s="50"/>
      <c r="BC305" s="50"/>
      <c r="BD305" s="50"/>
      <c r="BE305" s="20"/>
      <c r="BF305" s="518"/>
      <c r="BG305" s="484"/>
      <c r="BH305" s="484"/>
      <c r="BI305" s="527"/>
      <c r="BJ305" s="484"/>
      <c r="BK305" s="484"/>
      <c r="BL305" s="484"/>
      <c r="BM305" s="484"/>
    </row>
    <row r="306" spans="1:65" s="22" customFormat="1" x14ac:dyDescent="0.25">
      <c r="A306" s="20"/>
      <c r="B306" s="515"/>
      <c r="C306" s="11"/>
      <c r="D306" s="11"/>
      <c r="E306" s="11"/>
      <c r="F306" s="21"/>
      <c r="G306" s="11"/>
      <c r="H306" s="50"/>
      <c r="I306" s="50"/>
      <c r="J306" s="50"/>
      <c r="K306" s="11"/>
      <c r="L306" s="50"/>
      <c r="M306" s="50"/>
      <c r="N306" s="50"/>
      <c r="O306" s="50"/>
      <c r="P306" s="50"/>
      <c r="Q306" s="11"/>
      <c r="R306" s="50"/>
      <c r="S306" s="50"/>
      <c r="T306" s="50"/>
      <c r="U306" s="11"/>
      <c r="V306" s="50"/>
      <c r="W306" s="50"/>
      <c r="X306" s="50"/>
      <c r="Y306" s="50"/>
      <c r="Z306" s="50"/>
      <c r="AA306" s="11"/>
      <c r="AB306" s="50"/>
      <c r="AC306" s="50"/>
      <c r="AD306" s="50"/>
      <c r="AE306" s="11"/>
      <c r="AF306" s="50"/>
      <c r="AG306" s="50"/>
      <c r="AH306" s="50"/>
      <c r="AI306" s="11"/>
      <c r="AJ306" s="50"/>
      <c r="AK306" s="50"/>
      <c r="AL306" s="50"/>
      <c r="AM306" s="11"/>
      <c r="AN306" s="50"/>
      <c r="AO306" s="50"/>
      <c r="AP306" s="50"/>
      <c r="AQ306" s="11"/>
      <c r="AR306" s="50"/>
      <c r="AS306" s="50"/>
      <c r="AT306" s="50"/>
      <c r="AU306" s="11"/>
      <c r="AV306" s="50"/>
      <c r="AW306" s="50"/>
      <c r="AX306" s="50"/>
      <c r="AY306" s="50"/>
      <c r="AZ306" s="50"/>
      <c r="BA306" s="50"/>
      <c r="BB306" s="50"/>
      <c r="BC306" s="50"/>
      <c r="BD306" s="50"/>
      <c r="BE306" s="20"/>
      <c r="BF306" s="518"/>
      <c r="BG306" s="484"/>
      <c r="BH306" s="484"/>
      <c r="BI306" s="527"/>
      <c r="BJ306" s="484"/>
      <c r="BK306" s="484"/>
      <c r="BL306" s="484"/>
      <c r="BM306" s="484"/>
    </row>
    <row r="307" spans="1:65" s="22" customFormat="1" x14ac:dyDescent="0.25">
      <c r="A307" s="20"/>
      <c r="B307" s="515"/>
      <c r="C307" s="11"/>
      <c r="D307" s="11"/>
      <c r="E307" s="11"/>
      <c r="F307" s="21"/>
      <c r="G307" s="11"/>
      <c r="H307" s="50"/>
      <c r="I307" s="50"/>
      <c r="J307" s="50"/>
      <c r="K307" s="11"/>
      <c r="L307" s="50"/>
      <c r="M307" s="50"/>
      <c r="N307" s="50"/>
      <c r="O307" s="50"/>
      <c r="P307" s="50"/>
      <c r="Q307" s="11"/>
      <c r="R307" s="50"/>
      <c r="S307" s="50"/>
      <c r="T307" s="50"/>
      <c r="U307" s="11"/>
      <c r="V307" s="50"/>
      <c r="W307" s="50"/>
      <c r="X307" s="50"/>
      <c r="Y307" s="50"/>
      <c r="Z307" s="50"/>
      <c r="AA307" s="11"/>
      <c r="AB307" s="50"/>
      <c r="AC307" s="50"/>
      <c r="AD307" s="50"/>
      <c r="AE307" s="11"/>
      <c r="AF307" s="50"/>
      <c r="AG307" s="50"/>
      <c r="AH307" s="50"/>
      <c r="AI307" s="11"/>
      <c r="AJ307" s="50"/>
      <c r="AK307" s="50"/>
      <c r="AL307" s="50"/>
      <c r="AM307" s="11"/>
      <c r="AN307" s="50"/>
      <c r="AO307" s="50"/>
      <c r="AP307" s="50"/>
      <c r="AQ307" s="11"/>
      <c r="AR307" s="50"/>
      <c r="AS307" s="50"/>
      <c r="AT307" s="50"/>
      <c r="AU307" s="11"/>
      <c r="AV307" s="50"/>
      <c r="AW307" s="50"/>
      <c r="AX307" s="50"/>
      <c r="AY307" s="50"/>
      <c r="AZ307" s="50"/>
      <c r="BA307" s="50"/>
      <c r="BB307" s="50"/>
      <c r="BC307" s="50"/>
      <c r="BD307" s="50"/>
      <c r="BE307" s="20"/>
      <c r="BF307" s="518"/>
      <c r="BG307" s="484"/>
      <c r="BH307" s="484"/>
      <c r="BI307" s="527"/>
      <c r="BJ307" s="484"/>
      <c r="BK307" s="484"/>
      <c r="BL307" s="484"/>
      <c r="BM307" s="484"/>
    </row>
    <row r="308" spans="1:65" s="22" customFormat="1" x14ac:dyDescent="0.25">
      <c r="A308" s="20"/>
      <c r="B308" s="515"/>
      <c r="C308" s="11"/>
      <c r="D308" s="11"/>
      <c r="E308" s="11"/>
      <c r="F308" s="21"/>
      <c r="G308" s="11"/>
      <c r="H308" s="50"/>
      <c r="I308" s="50"/>
      <c r="J308" s="50"/>
      <c r="K308" s="11"/>
      <c r="L308" s="50"/>
      <c r="M308" s="50"/>
      <c r="N308" s="50"/>
      <c r="O308" s="50"/>
      <c r="P308" s="50"/>
      <c r="Q308" s="11"/>
      <c r="R308" s="50"/>
      <c r="S308" s="50"/>
      <c r="T308" s="50"/>
      <c r="U308" s="11"/>
      <c r="V308" s="50"/>
      <c r="W308" s="50"/>
      <c r="X308" s="50"/>
      <c r="Y308" s="50"/>
      <c r="Z308" s="50"/>
      <c r="AA308" s="11"/>
      <c r="AB308" s="50"/>
      <c r="AC308" s="50"/>
      <c r="AD308" s="50"/>
      <c r="AE308" s="11"/>
      <c r="AF308" s="50"/>
      <c r="AG308" s="50"/>
      <c r="AH308" s="50"/>
      <c r="AI308" s="11"/>
      <c r="AJ308" s="50"/>
      <c r="AK308" s="50"/>
      <c r="AL308" s="50"/>
      <c r="AM308" s="11"/>
      <c r="AN308" s="50"/>
      <c r="AO308" s="50"/>
      <c r="AP308" s="50"/>
      <c r="AQ308" s="11"/>
      <c r="AR308" s="50"/>
      <c r="AS308" s="50"/>
      <c r="AT308" s="50"/>
      <c r="AU308" s="11"/>
      <c r="AV308" s="50"/>
      <c r="AW308" s="50"/>
      <c r="AX308" s="50"/>
      <c r="AY308" s="50"/>
      <c r="AZ308" s="50"/>
      <c r="BA308" s="50"/>
      <c r="BB308" s="50"/>
      <c r="BC308" s="50"/>
      <c r="BD308" s="50"/>
      <c r="BE308" s="20"/>
      <c r="BF308" s="518"/>
      <c r="BG308" s="484"/>
      <c r="BH308" s="484"/>
      <c r="BI308" s="527"/>
      <c r="BJ308" s="484"/>
      <c r="BK308" s="484"/>
      <c r="BL308" s="484"/>
      <c r="BM308" s="484"/>
    </row>
    <row r="309" spans="1:65" s="22" customFormat="1" x14ac:dyDescent="0.25">
      <c r="A309" s="20"/>
      <c r="B309" s="515"/>
      <c r="C309" s="11"/>
      <c r="D309" s="11"/>
      <c r="E309" s="11"/>
      <c r="F309" s="21"/>
      <c r="G309" s="11"/>
      <c r="H309" s="50"/>
      <c r="I309" s="50"/>
      <c r="J309" s="50"/>
      <c r="K309" s="11"/>
      <c r="L309" s="50"/>
      <c r="M309" s="50"/>
      <c r="N309" s="50"/>
      <c r="O309" s="50"/>
      <c r="P309" s="50"/>
      <c r="Q309" s="11"/>
      <c r="R309" s="50"/>
      <c r="S309" s="50"/>
      <c r="T309" s="50"/>
      <c r="U309" s="11"/>
      <c r="V309" s="50"/>
      <c r="W309" s="50"/>
      <c r="X309" s="50"/>
      <c r="Y309" s="50"/>
      <c r="Z309" s="50"/>
      <c r="AA309" s="11"/>
      <c r="AB309" s="50"/>
      <c r="AC309" s="50"/>
      <c r="AD309" s="50"/>
      <c r="AE309" s="11"/>
      <c r="AF309" s="50"/>
      <c r="AG309" s="50"/>
      <c r="AH309" s="50"/>
      <c r="AI309" s="11"/>
      <c r="AJ309" s="50"/>
      <c r="AK309" s="50"/>
      <c r="AL309" s="50"/>
      <c r="AM309" s="11"/>
      <c r="AN309" s="50"/>
      <c r="AO309" s="50"/>
      <c r="AP309" s="50"/>
      <c r="AQ309" s="11"/>
      <c r="AR309" s="50"/>
      <c r="AS309" s="50"/>
      <c r="AT309" s="50"/>
      <c r="AU309" s="11"/>
      <c r="AV309" s="50"/>
      <c r="AW309" s="50"/>
      <c r="AX309" s="50"/>
      <c r="AY309" s="50"/>
      <c r="AZ309" s="50"/>
      <c r="BA309" s="50"/>
      <c r="BB309" s="50"/>
      <c r="BC309" s="50"/>
      <c r="BD309" s="50"/>
      <c r="BE309" s="20"/>
      <c r="BF309" s="518"/>
      <c r="BG309" s="484"/>
      <c r="BH309" s="484"/>
      <c r="BI309" s="527"/>
      <c r="BJ309" s="484"/>
      <c r="BK309" s="484"/>
      <c r="BL309" s="484"/>
      <c r="BM309" s="484"/>
    </row>
    <row r="310" spans="1:65" s="22" customFormat="1" x14ac:dyDescent="0.25">
      <c r="A310" s="20"/>
      <c r="B310" s="515"/>
      <c r="C310" s="11"/>
      <c r="D310" s="11"/>
      <c r="E310" s="11"/>
      <c r="F310" s="21"/>
      <c r="G310" s="11"/>
      <c r="H310" s="50"/>
      <c r="I310" s="50"/>
      <c r="J310" s="50"/>
      <c r="K310" s="11"/>
      <c r="L310" s="50"/>
      <c r="M310" s="50"/>
      <c r="N310" s="50"/>
      <c r="O310" s="50"/>
      <c r="P310" s="50"/>
      <c r="Q310" s="11"/>
      <c r="R310" s="50"/>
      <c r="S310" s="50"/>
      <c r="T310" s="50"/>
      <c r="U310" s="11"/>
      <c r="V310" s="50"/>
      <c r="W310" s="50"/>
      <c r="X310" s="50"/>
      <c r="Y310" s="50"/>
      <c r="Z310" s="50"/>
      <c r="AA310" s="11"/>
      <c r="AB310" s="50"/>
      <c r="AC310" s="50"/>
      <c r="AD310" s="50"/>
      <c r="AE310" s="11"/>
      <c r="AF310" s="50"/>
      <c r="AG310" s="50"/>
      <c r="AH310" s="50"/>
      <c r="AI310" s="11"/>
      <c r="AJ310" s="50"/>
      <c r="AK310" s="50"/>
      <c r="AL310" s="50"/>
      <c r="AM310" s="11"/>
      <c r="AN310" s="50"/>
      <c r="AO310" s="50"/>
      <c r="AP310" s="50"/>
      <c r="AQ310" s="11"/>
      <c r="AR310" s="50"/>
      <c r="AS310" s="50"/>
      <c r="AT310" s="50"/>
      <c r="AU310" s="11"/>
      <c r="AV310" s="50"/>
      <c r="AW310" s="50"/>
      <c r="AX310" s="50"/>
      <c r="AY310" s="50"/>
      <c r="AZ310" s="50"/>
      <c r="BA310" s="50"/>
      <c r="BB310" s="50"/>
      <c r="BC310" s="50"/>
      <c r="BD310" s="50"/>
      <c r="BE310" s="20"/>
      <c r="BF310" s="518"/>
      <c r="BG310" s="484"/>
      <c r="BH310" s="484"/>
      <c r="BI310" s="527"/>
      <c r="BJ310" s="484"/>
      <c r="BK310" s="484"/>
      <c r="BL310" s="484"/>
      <c r="BM310" s="484"/>
    </row>
    <row r="311" spans="1:65" s="22" customFormat="1" x14ac:dyDescent="0.25">
      <c r="A311" s="20"/>
      <c r="B311" s="515"/>
      <c r="C311" s="11"/>
      <c r="D311" s="11"/>
      <c r="E311" s="11"/>
      <c r="F311" s="21"/>
      <c r="G311" s="11"/>
      <c r="H311" s="50"/>
      <c r="I311" s="50"/>
      <c r="J311" s="50"/>
      <c r="K311" s="11"/>
      <c r="L311" s="50"/>
      <c r="M311" s="50"/>
      <c r="N311" s="50"/>
      <c r="O311" s="50"/>
      <c r="P311" s="50"/>
      <c r="Q311" s="11"/>
      <c r="R311" s="50"/>
      <c r="S311" s="50"/>
      <c r="T311" s="50"/>
      <c r="U311" s="11"/>
      <c r="V311" s="50"/>
      <c r="W311" s="50"/>
      <c r="X311" s="50"/>
      <c r="Y311" s="50"/>
      <c r="Z311" s="50"/>
      <c r="AA311" s="11"/>
      <c r="AB311" s="50"/>
      <c r="AC311" s="50"/>
      <c r="AD311" s="50"/>
      <c r="AE311" s="11"/>
      <c r="AF311" s="50"/>
      <c r="AG311" s="50"/>
      <c r="AH311" s="50"/>
      <c r="AI311" s="11"/>
      <c r="AJ311" s="50"/>
      <c r="AK311" s="50"/>
      <c r="AL311" s="50"/>
      <c r="AM311" s="11"/>
      <c r="AN311" s="50"/>
      <c r="AO311" s="50"/>
      <c r="AP311" s="50"/>
      <c r="AQ311" s="11"/>
      <c r="AR311" s="50"/>
      <c r="AS311" s="50"/>
      <c r="AT311" s="50"/>
      <c r="AU311" s="11"/>
      <c r="AV311" s="50"/>
      <c r="AW311" s="50"/>
      <c r="AX311" s="50"/>
      <c r="AY311" s="50"/>
      <c r="AZ311" s="50"/>
      <c r="BA311" s="50"/>
      <c r="BB311" s="50"/>
      <c r="BC311" s="50"/>
      <c r="BD311" s="50"/>
      <c r="BE311" s="20"/>
      <c r="BF311" s="518"/>
      <c r="BG311" s="484"/>
      <c r="BH311" s="484"/>
      <c r="BI311" s="527"/>
      <c r="BJ311" s="484"/>
      <c r="BK311" s="484"/>
      <c r="BL311" s="484"/>
      <c r="BM311" s="484"/>
    </row>
    <row r="312" spans="1:65" s="22" customFormat="1" x14ac:dyDescent="0.25">
      <c r="A312" s="20"/>
      <c r="B312" s="515"/>
      <c r="C312" s="11"/>
      <c r="D312" s="11"/>
      <c r="E312" s="11"/>
      <c r="F312" s="21"/>
      <c r="G312" s="11"/>
      <c r="H312" s="50"/>
      <c r="I312" s="50"/>
      <c r="J312" s="50"/>
      <c r="K312" s="11"/>
      <c r="L312" s="50"/>
      <c r="M312" s="50"/>
      <c r="N312" s="50"/>
      <c r="O312" s="50"/>
      <c r="P312" s="50"/>
      <c r="Q312" s="11"/>
      <c r="R312" s="50"/>
      <c r="S312" s="50"/>
      <c r="T312" s="50"/>
      <c r="U312" s="11"/>
      <c r="V312" s="50"/>
      <c r="W312" s="50"/>
      <c r="X312" s="50"/>
      <c r="Y312" s="50"/>
      <c r="Z312" s="50"/>
      <c r="AA312" s="11"/>
      <c r="AB312" s="50"/>
      <c r="AC312" s="50"/>
      <c r="AD312" s="50"/>
      <c r="AE312" s="11"/>
      <c r="AF312" s="50"/>
      <c r="AG312" s="50"/>
      <c r="AH312" s="50"/>
      <c r="AI312" s="11"/>
      <c r="AJ312" s="50"/>
      <c r="AK312" s="50"/>
      <c r="AL312" s="50"/>
      <c r="AM312" s="11"/>
      <c r="AN312" s="50"/>
      <c r="AO312" s="50"/>
      <c r="AP312" s="50"/>
      <c r="AQ312" s="11"/>
      <c r="AR312" s="50"/>
      <c r="AS312" s="50"/>
      <c r="AT312" s="50"/>
      <c r="AU312" s="11"/>
      <c r="AV312" s="50"/>
      <c r="AW312" s="50"/>
      <c r="AX312" s="50"/>
      <c r="AY312" s="50"/>
      <c r="AZ312" s="50"/>
      <c r="BA312" s="50"/>
      <c r="BB312" s="50"/>
      <c r="BC312" s="50"/>
      <c r="BD312" s="50"/>
      <c r="BE312" s="20"/>
      <c r="BF312" s="518"/>
      <c r="BG312" s="484"/>
      <c r="BH312" s="484"/>
      <c r="BI312" s="527"/>
      <c r="BJ312" s="484"/>
      <c r="BK312" s="484"/>
      <c r="BL312" s="484"/>
      <c r="BM312" s="484"/>
    </row>
    <row r="313" spans="1:65" s="22" customFormat="1" x14ac:dyDescent="0.25">
      <c r="A313" s="20"/>
      <c r="B313" s="515"/>
      <c r="C313" s="11"/>
      <c r="D313" s="11"/>
      <c r="E313" s="11"/>
      <c r="F313" s="21"/>
      <c r="G313" s="11"/>
      <c r="H313" s="50"/>
      <c r="I313" s="50"/>
      <c r="J313" s="50"/>
      <c r="K313" s="11"/>
      <c r="L313" s="50"/>
      <c r="M313" s="50"/>
      <c r="N313" s="50"/>
      <c r="O313" s="50"/>
      <c r="P313" s="50"/>
      <c r="Q313" s="11"/>
      <c r="R313" s="50"/>
      <c r="S313" s="50"/>
      <c r="T313" s="50"/>
      <c r="U313" s="11"/>
      <c r="V313" s="50"/>
      <c r="W313" s="50"/>
      <c r="X313" s="50"/>
      <c r="Y313" s="50"/>
      <c r="Z313" s="50"/>
      <c r="AA313" s="11"/>
      <c r="AB313" s="50"/>
      <c r="AC313" s="50"/>
      <c r="AD313" s="50"/>
      <c r="AE313" s="11"/>
      <c r="AF313" s="50"/>
      <c r="AG313" s="50"/>
      <c r="AH313" s="50"/>
      <c r="AI313" s="11"/>
      <c r="AJ313" s="50"/>
      <c r="AK313" s="50"/>
      <c r="AL313" s="50"/>
      <c r="AM313" s="11"/>
      <c r="AN313" s="50"/>
      <c r="AO313" s="50"/>
      <c r="AP313" s="50"/>
      <c r="AQ313" s="11"/>
      <c r="AR313" s="50"/>
      <c r="AS313" s="50"/>
      <c r="AT313" s="50"/>
      <c r="AU313" s="11"/>
      <c r="AV313" s="50"/>
      <c r="AW313" s="50"/>
      <c r="AX313" s="50"/>
      <c r="AY313" s="50"/>
      <c r="AZ313" s="50"/>
      <c r="BA313" s="50"/>
      <c r="BB313" s="50"/>
      <c r="BC313" s="50"/>
      <c r="BD313" s="50"/>
      <c r="BE313" s="20"/>
      <c r="BF313" s="518"/>
      <c r="BG313" s="484"/>
      <c r="BH313" s="484"/>
      <c r="BI313" s="527"/>
      <c r="BJ313" s="484"/>
      <c r="BK313" s="484"/>
      <c r="BL313" s="484"/>
      <c r="BM313" s="484"/>
    </row>
    <row r="314" spans="1:65" s="22" customFormat="1" x14ac:dyDescent="0.25">
      <c r="A314" s="20"/>
      <c r="B314" s="515"/>
      <c r="C314" s="11"/>
      <c r="D314" s="11"/>
      <c r="E314" s="11"/>
      <c r="F314" s="21"/>
      <c r="G314" s="11"/>
      <c r="H314" s="50"/>
      <c r="I314" s="50"/>
      <c r="J314" s="50"/>
      <c r="K314" s="11"/>
      <c r="L314" s="50"/>
      <c r="M314" s="50"/>
      <c r="N314" s="50"/>
      <c r="O314" s="50"/>
      <c r="P314" s="50"/>
      <c r="Q314" s="11"/>
      <c r="R314" s="50"/>
      <c r="S314" s="50"/>
      <c r="T314" s="50"/>
      <c r="U314" s="11"/>
      <c r="V314" s="50"/>
      <c r="W314" s="50"/>
      <c r="X314" s="50"/>
      <c r="Y314" s="50"/>
      <c r="Z314" s="50"/>
      <c r="AA314" s="11"/>
      <c r="AB314" s="50"/>
      <c r="AC314" s="50"/>
      <c r="AD314" s="50"/>
      <c r="AE314" s="11"/>
      <c r="AF314" s="50"/>
      <c r="AG314" s="50"/>
      <c r="AH314" s="50"/>
      <c r="AI314" s="11"/>
      <c r="AJ314" s="50"/>
      <c r="AK314" s="50"/>
      <c r="AL314" s="50"/>
      <c r="AM314" s="11"/>
      <c r="AN314" s="50"/>
      <c r="AO314" s="50"/>
      <c r="AP314" s="50"/>
      <c r="AQ314" s="11"/>
      <c r="AR314" s="50"/>
      <c r="AS314" s="50"/>
      <c r="AT314" s="50"/>
      <c r="AU314" s="11"/>
      <c r="AV314" s="50"/>
      <c r="AW314" s="50"/>
      <c r="AX314" s="50"/>
      <c r="AY314" s="50"/>
      <c r="AZ314" s="50"/>
      <c r="BA314" s="50"/>
      <c r="BB314" s="50"/>
      <c r="BC314" s="50"/>
      <c r="BD314" s="50"/>
      <c r="BE314" s="20"/>
      <c r="BF314" s="518"/>
      <c r="BG314" s="484"/>
      <c r="BH314" s="484"/>
      <c r="BI314" s="527"/>
      <c r="BJ314" s="484"/>
      <c r="BK314" s="484"/>
      <c r="BL314" s="484"/>
      <c r="BM314" s="484"/>
    </row>
    <row r="315" spans="1:65" s="22" customFormat="1" x14ac:dyDescent="0.25">
      <c r="A315" s="20"/>
      <c r="B315" s="515"/>
      <c r="C315" s="11"/>
      <c r="D315" s="11"/>
      <c r="E315" s="11"/>
      <c r="F315" s="21"/>
      <c r="G315" s="11"/>
      <c r="H315" s="50"/>
      <c r="I315" s="50"/>
      <c r="J315" s="50"/>
      <c r="K315" s="11"/>
      <c r="L315" s="50"/>
      <c r="M315" s="50"/>
      <c r="N315" s="50"/>
      <c r="O315" s="50"/>
      <c r="P315" s="50"/>
      <c r="Q315" s="11"/>
      <c r="R315" s="50"/>
      <c r="S315" s="50"/>
      <c r="T315" s="50"/>
      <c r="U315" s="11"/>
      <c r="V315" s="50"/>
      <c r="W315" s="50"/>
      <c r="X315" s="50"/>
      <c r="Y315" s="50"/>
      <c r="Z315" s="50"/>
      <c r="AA315" s="11"/>
      <c r="AB315" s="50"/>
      <c r="AC315" s="50"/>
      <c r="AD315" s="50"/>
      <c r="AE315" s="11"/>
      <c r="AF315" s="50"/>
      <c r="AG315" s="50"/>
      <c r="AH315" s="50"/>
      <c r="AI315" s="11"/>
      <c r="AJ315" s="50"/>
      <c r="AK315" s="50"/>
      <c r="AL315" s="50"/>
      <c r="AM315" s="11"/>
      <c r="AN315" s="50"/>
      <c r="AO315" s="50"/>
      <c r="AP315" s="50"/>
      <c r="AQ315" s="11"/>
      <c r="AR315" s="50"/>
      <c r="AS315" s="50"/>
      <c r="AT315" s="50"/>
      <c r="AU315" s="11"/>
      <c r="AV315" s="50"/>
      <c r="AW315" s="50"/>
      <c r="AX315" s="50"/>
      <c r="AY315" s="50"/>
      <c r="AZ315" s="50"/>
      <c r="BA315" s="50"/>
      <c r="BB315" s="50"/>
      <c r="BC315" s="50"/>
      <c r="BD315" s="50"/>
      <c r="BE315" s="20"/>
      <c r="BF315" s="518"/>
      <c r="BG315" s="484"/>
      <c r="BH315" s="484"/>
      <c r="BI315" s="527"/>
      <c r="BJ315" s="484"/>
      <c r="BK315" s="484"/>
      <c r="BL315" s="484"/>
      <c r="BM315" s="484"/>
    </row>
    <row r="316" spans="1:65" s="22" customFormat="1" x14ac:dyDescent="0.25">
      <c r="A316" s="20"/>
      <c r="B316" s="515"/>
      <c r="C316" s="11"/>
      <c r="D316" s="11"/>
      <c r="E316" s="11"/>
      <c r="F316" s="21"/>
      <c r="G316" s="11"/>
      <c r="H316" s="50"/>
      <c r="I316" s="50"/>
      <c r="J316" s="50"/>
      <c r="K316" s="11"/>
      <c r="L316" s="50"/>
      <c r="M316" s="50"/>
      <c r="N316" s="50"/>
      <c r="O316" s="50"/>
      <c r="P316" s="50"/>
      <c r="Q316" s="11"/>
      <c r="R316" s="50"/>
      <c r="S316" s="50"/>
      <c r="T316" s="50"/>
      <c r="U316" s="11"/>
      <c r="V316" s="50"/>
      <c r="W316" s="50"/>
      <c r="X316" s="50"/>
      <c r="Y316" s="50"/>
      <c r="Z316" s="50"/>
      <c r="AA316" s="11"/>
      <c r="AB316" s="50"/>
      <c r="AC316" s="50"/>
      <c r="AD316" s="50"/>
      <c r="AE316" s="11"/>
      <c r="AF316" s="50"/>
      <c r="AG316" s="50"/>
      <c r="AH316" s="50"/>
      <c r="AI316" s="11"/>
      <c r="AJ316" s="50"/>
      <c r="AK316" s="50"/>
      <c r="AL316" s="50"/>
      <c r="AM316" s="11"/>
      <c r="AN316" s="50"/>
      <c r="AO316" s="50"/>
      <c r="AP316" s="50"/>
      <c r="AQ316" s="11"/>
      <c r="AR316" s="50"/>
      <c r="AS316" s="50"/>
      <c r="AT316" s="50"/>
      <c r="AU316" s="11"/>
      <c r="AV316" s="50"/>
      <c r="AW316" s="50"/>
      <c r="AX316" s="50"/>
      <c r="AY316" s="50"/>
      <c r="AZ316" s="50"/>
      <c r="BA316" s="50"/>
      <c r="BB316" s="50"/>
      <c r="BC316" s="50"/>
      <c r="BD316" s="50"/>
      <c r="BE316" s="20"/>
      <c r="BF316" s="518"/>
      <c r="BG316" s="484"/>
      <c r="BH316" s="484"/>
      <c r="BI316" s="527"/>
      <c r="BJ316" s="484"/>
      <c r="BK316" s="484"/>
      <c r="BL316" s="484"/>
      <c r="BM316" s="484"/>
    </row>
    <row r="317" spans="1:65" s="22" customFormat="1" x14ac:dyDescent="0.25">
      <c r="A317" s="20"/>
      <c r="B317" s="515"/>
      <c r="C317" s="11"/>
      <c r="D317" s="11"/>
      <c r="E317" s="11"/>
      <c r="F317" s="21"/>
      <c r="G317" s="11"/>
      <c r="H317" s="50"/>
      <c r="I317" s="50"/>
      <c r="J317" s="50"/>
      <c r="K317" s="11"/>
      <c r="L317" s="50"/>
      <c r="M317" s="50"/>
      <c r="N317" s="50"/>
      <c r="O317" s="50"/>
      <c r="P317" s="50"/>
      <c r="Q317" s="11"/>
      <c r="R317" s="50"/>
      <c r="S317" s="50"/>
      <c r="T317" s="50"/>
      <c r="U317" s="11"/>
      <c r="V317" s="50"/>
      <c r="W317" s="50"/>
      <c r="X317" s="50"/>
      <c r="Y317" s="50"/>
      <c r="Z317" s="50"/>
      <c r="AA317" s="11"/>
      <c r="AB317" s="50"/>
      <c r="AC317" s="50"/>
      <c r="AD317" s="50"/>
      <c r="AE317" s="11"/>
      <c r="AF317" s="50"/>
      <c r="AG317" s="50"/>
      <c r="AH317" s="50"/>
      <c r="AI317" s="11"/>
      <c r="AJ317" s="50"/>
      <c r="AK317" s="50"/>
      <c r="AL317" s="50"/>
      <c r="AM317" s="11"/>
      <c r="AN317" s="50"/>
      <c r="AO317" s="50"/>
      <c r="AP317" s="50"/>
      <c r="AQ317" s="11"/>
      <c r="AR317" s="50"/>
      <c r="AS317" s="50"/>
      <c r="AT317" s="50"/>
      <c r="AU317" s="11"/>
      <c r="AV317" s="50"/>
      <c r="AW317" s="50"/>
      <c r="AX317" s="50"/>
      <c r="AY317" s="50"/>
      <c r="AZ317" s="50"/>
      <c r="BA317" s="50"/>
      <c r="BB317" s="50"/>
      <c r="BC317" s="50"/>
      <c r="BD317" s="50"/>
      <c r="BE317" s="20"/>
      <c r="BF317" s="518"/>
      <c r="BG317" s="484"/>
      <c r="BH317" s="484"/>
      <c r="BI317" s="527"/>
      <c r="BJ317" s="484"/>
      <c r="BK317" s="484"/>
      <c r="BL317" s="484"/>
      <c r="BM317" s="484"/>
    </row>
    <row r="318" spans="1:65" s="22" customFormat="1" x14ac:dyDescent="0.25">
      <c r="A318" s="20"/>
      <c r="B318" s="515"/>
      <c r="C318" s="11"/>
      <c r="D318" s="11"/>
      <c r="E318" s="11"/>
      <c r="F318" s="21"/>
      <c r="G318" s="11"/>
      <c r="H318" s="50"/>
      <c r="I318" s="50"/>
      <c r="J318" s="50"/>
      <c r="K318" s="11"/>
      <c r="L318" s="50"/>
      <c r="M318" s="50"/>
      <c r="N318" s="50"/>
      <c r="O318" s="50"/>
      <c r="P318" s="50"/>
      <c r="Q318" s="11"/>
      <c r="R318" s="50"/>
      <c r="S318" s="50"/>
      <c r="T318" s="50"/>
      <c r="U318" s="11"/>
      <c r="V318" s="50"/>
      <c r="W318" s="50"/>
      <c r="X318" s="50"/>
      <c r="Y318" s="50"/>
      <c r="Z318" s="50"/>
      <c r="AA318" s="11"/>
      <c r="AB318" s="50"/>
      <c r="AC318" s="50"/>
      <c r="AD318" s="50"/>
      <c r="AE318" s="11"/>
      <c r="AF318" s="50"/>
      <c r="AG318" s="50"/>
      <c r="AH318" s="50"/>
      <c r="AI318" s="11"/>
      <c r="AJ318" s="50"/>
      <c r="AK318" s="50"/>
      <c r="AL318" s="50"/>
      <c r="AM318" s="11"/>
      <c r="AN318" s="50"/>
      <c r="AO318" s="50"/>
      <c r="AP318" s="50"/>
      <c r="AQ318" s="11"/>
      <c r="AR318" s="50"/>
      <c r="AS318" s="50"/>
      <c r="AT318" s="50"/>
      <c r="AU318" s="11"/>
      <c r="AV318" s="50"/>
      <c r="AW318" s="50"/>
      <c r="AX318" s="50"/>
      <c r="AY318" s="50"/>
      <c r="AZ318" s="50"/>
      <c r="BA318" s="50"/>
      <c r="BB318" s="50"/>
      <c r="BC318" s="50"/>
      <c r="BD318" s="50"/>
      <c r="BE318" s="20"/>
      <c r="BF318" s="518"/>
      <c r="BG318" s="484"/>
      <c r="BH318" s="484"/>
      <c r="BI318" s="527"/>
      <c r="BJ318" s="484"/>
      <c r="BK318" s="484"/>
      <c r="BL318" s="484"/>
      <c r="BM318" s="484"/>
    </row>
    <row r="319" spans="1:65" s="22" customFormat="1" x14ac:dyDescent="0.25">
      <c r="A319" s="20"/>
      <c r="B319" s="515"/>
      <c r="C319" s="11"/>
      <c r="D319" s="11"/>
      <c r="E319" s="11"/>
      <c r="F319" s="21"/>
      <c r="G319" s="11"/>
      <c r="H319" s="50"/>
      <c r="I319" s="50"/>
      <c r="J319" s="50"/>
      <c r="K319" s="11"/>
      <c r="L319" s="50"/>
      <c r="M319" s="50"/>
      <c r="N319" s="50"/>
      <c r="O319" s="50"/>
      <c r="P319" s="50"/>
      <c r="Q319" s="11"/>
      <c r="R319" s="50"/>
      <c r="S319" s="50"/>
      <c r="T319" s="50"/>
      <c r="U319" s="11"/>
      <c r="V319" s="50"/>
      <c r="W319" s="50"/>
      <c r="X319" s="50"/>
      <c r="Y319" s="50"/>
      <c r="Z319" s="50"/>
      <c r="AA319" s="11"/>
      <c r="AB319" s="50"/>
      <c r="AC319" s="50"/>
      <c r="AD319" s="50"/>
      <c r="AE319" s="11"/>
      <c r="AF319" s="50"/>
      <c r="AG319" s="50"/>
      <c r="AH319" s="50"/>
      <c r="AI319" s="11"/>
      <c r="AJ319" s="50"/>
      <c r="AK319" s="50"/>
      <c r="AL319" s="50"/>
      <c r="AM319" s="11"/>
      <c r="AN319" s="50"/>
      <c r="AO319" s="50"/>
      <c r="AP319" s="50"/>
      <c r="AQ319" s="11"/>
      <c r="AR319" s="50"/>
      <c r="AS319" s="50"/>
      <c r="AT319" s="50"/>
      <c r="AU319" s="11"/>
      <c r="AV319" s="50"/>
      <c r="AW319" s="50"/>
      <c r="AX319" s="50"/>
      <c r="AY319" s="50"/>
      <c r="AZ319" s="50"/>
      <c r="BA319" s="50"/>
      <c r="BB319" s="50"/>
      <c r="BC319" s="50"/>
      <c r="BD319" s="50"/>
      <c r="BE319" s="20"/>
      <c r="BF319" s="518"/>
      <c r="BG319" s="484"/>
      <c r="BH319" s="484"/>
      <c r="BI319" s="527"/>
      <c r="BJ319" s="484"/>
      <c r="BK319" s="484"/>
      <c r="BL319" s="484"/>
      <c r="BM319" s="484"/>
    </row>
    <row r="320" spans="1:65" s="22" customFormat="1" x14ac:dyDescent="0.25">
      <c r="A320" s="20"/>
      <c r="B320" s="515"/>
      <c r="C320" s="11"/>
      <c r="D320" s="11"/>
      <c r="E320" s="11"/>
      <c r="F320" s="21"/>
      <c r="G320" s="11"/>
      <c r="H320" s="50"/>
      <c r="I320" s="50"/>
      <c r="J320" s="50"/>
      <c r="K320" s="11"/>
      <c r="L320" s="50"/>
      <c r="M320" s="50"/>
      <c r="N320" s="50"/>
      <c r="O320" s="50"/>
      <c r="P320" s="50"/>
      <c r="Q320" s="11"/>
      <c r="R320" s="50"/>
      <c r="S320" s="50"/>
      <c r="T320" s="50"/>
      <c r="U320" s="11"/>
      <c r="V320" s="50"/>
      <c r="W320" s="50"/>
      <c r="X320" s="50"/>
      <c r="Y320" s="50"/>
      <c r="Z320" s="50"/>
      <c r="AA320" s="11"/>
      <c r="AB320" s="50"/>
      <c r="AC320" s="50"/>
      <c r="AD320" s="50"/>
      <c r="AE320" s="11"/>
      <c r="AF320" s="50"/>
      <c r="AG320" s="50"/>
      <c r="AH320" s="50"/>
      <c r="AI320" s="11"/>
      <c r="AJ320" s="50"/>
      <c r="AK320" s="50"/>
      <c r="AL320" s="50"/>
      <c r="AM320" s="11"/>
      <c r="AN320" s="50"/>
      <c r="AO320" s="50"/>
      <c r="AP320" s="50"/>
      <c r="AQ320" s="11"/>
      <c r="AR320" s="50"/>
      <c r="AS320" s="50"/>
      <c r="AT320" s="50"/>
      <c r="AU320" s="11"/>
      <c r="AV320" s="50"/>
      <c r="AW320" s="50"/>
      <c r="AX320" s="50"/>
      <c r="AY320" s="50"/>
      <c r="AZ320" s="50"/>
      <c r="BA320" s="50"/>
      <c r="BB320" s="50"/>
      <c r="BC320" s="50"/>
      <c r="BD320" s="50"/>
      <c r="BE320" s="20"/>
      <c r="BF320" s="518"/>
      <c r="BG320" s="484"/>
      <c r="BH320" s="484"/>
      <c r="BI320" s="527"/>
      <c r="BJ320" s="484"/>
      <c r="BK320" s="484"/>
      <c r="BL320" s="484"/>
      <c r="BM320" s="484"/>
    </row>
    <row r="321" spans="1:65" s="22" customFormat="1" x14ac:dyDescent="0.25">
      <c r="A321" s="20"/>
      <c r="B321" s="515"/>
      <c r="C321" s="11"/>
      <c r="D321" s="11"/>
      <c r="E321" s="11"/>
      <c r="F321" s="21"/>
      <c r="G321" s="11"/>
      <c r="H321" s="50"/>
      <c r="I321" s="50"/>
      <c r="J321" s="50"/>
      <c r="K321" s="11"/>
      <c r="L321" s="50"/>
      <c r="M321" s="50"/>
      <c r="N321" s="50"/>
      <c r="O321" s="50"/>
      <c r="P321" s="50"/>
      <c r="Q321" s="11"/>
      <c r="R321" s="50"/>
      <c r="S321" s="50"/>
      <c r="T321" s="50"/>
      <c r="U321" s="11"/>
      <c r="V321" s="50"/>
      <c r="W321" s="50"/>
      <c r="X321" s="50"/>
      <c r="Y321" s="50"/>
      <c r="Z321" s="50"/>
      <c r="AA321" s="11"/>
      <c r="AB321" s="50"/>
      <c r="AC321" s="50"/>
      <c r="AD321" s="50"/>
      <c r="AE321" s="11"/>
      <c r="AF321" s="50"/>
      <c r="AG321" s="50"/>
      <c r="AH321" s="50"/>
      <c r="AI321" s="11"/>
      <c r="AJ321" s="50"/>
      <c r="AK321" s="50"/>
      <c r="AL321" s="50"/>
      <c r="AM321" s="11"/>
      <c r="AN321" s="50"/>
      <c r="AO321" s="50"/>
      <c r="AP321" s="50"/>
      <c r="AQ321" s="11"/>
      <c r="AR321" s="50"/>
      <c r="AS321" s="50"/>
      <c r="AT321" s="50"/>
      <c r="AU321" s="11"/>
      <c r="AV321" s="50"/>
      <c r="AW321" s="50"/>
      <c r="AX321" s="50"/>
      <c r="AY321" s="50"/>
      <c r="AZ321" s="50"/>
      <c r="BA321" s="50"/>
      <c r="BB321" s="50"/>
      <c r="BC321" s="50"/>
      <c r="BD321" s="50"/>
      <c r="BE321" s="20"/>
      <c r="BF321" s="518"/>
      <c r="BG321" s="484"/>
      <c r="BH321" s="484"/>
      <c r="BI321" s="527"/>
      <c r="BJ321" s="484"/>
      <c r="BK321" s="484"/>
      <c r="BL321" s="484"/>
      <c r="BM321" s="484"/>
    </row>
    <row r="322" spans="1:65" s="22" customFormat="1" x14ac:dyDescent="0.25">
      <c r="A322" s="20"/>
      <c r="B322" s="515"/>
      <c r="C322" s="11"/>
      <c r="D322" s="11"/>
      <c r="E322" s="11"/>
      <c r="F322" s="21"/>
      <c r="G322" s="11"/>
      <c r="H322" s="50"/>
      <c r="I322" s="50"/>
      <c r="J322" s="50"/>
      <c r="K322" s="11"/>
      <c r="L322" s="50"/>
      <c r="M322" s="50"/>
      <c r="N322" s="50"/>
      <c r="O322" s="50"/>
      <c r="P322" s="50"/>
      <c r="Q322" s="11"/>
      <c r="R322" s="50"/>
      <c r="S322" s="50"/>
      <c r="T322" s="50"/>
      <c r="U322" s="11"/>
      <c r="V322" s="50"/>
      <c r="W322" s="50"/>
      <c r="X322" s="50"/>
      <c r="Y322" s="50"/>
      <c r="Z322" s="50"/>
      <c r="AA322" s="11"/>
      <c r="AB322" s="50"/>
      <c r="AC322" s="50"/>
      <c r="AD322" s="50"/>
      <c r="AE322" s="11"/>
      <c r="AF322" s="50"/>
      <c r="AG322" s="50"/>
      <c r="AH322" s="50"/>
      <c r="AI322" s="11"/>
      <c r="AJ322" s="50"/>
      <c r="AK322" s="50"/>
      <c r="AL322" s="50"/>
      <c r="AM322" s="11"/>
      <c r="AN322" s="50"/>
      <c r="AO322" s="50"/>
      <c r="AP322" s="50"/>
      <c r="AQ322" s="11"/>
      <c r="AR322" s="50"/>
      <c r="AS322" s="50"/>
      <c r="AT322" s="50"/>
      <c r="AU322" s="11"/>
      <c r="AV322" s="50"/>
      <c r="AW322" s="50"/>
      <c r="AX322" s="50"/>
      <c r="AY322" s="50"/>
      <c r="AZ322" s="50"/>
      <c r="BA322" s="50"/>
      <c r="BB322" s="50"/>
      <c r="BC322" s="50"/>
      <c r="BD322" s="50"/>
      <c r="BE322" s="20"/>
      <c r="BF322" s="518"/>
      <c r="BG322" s="484"/>
      <c r="BH322" s="484"/>
      <c r="BI322" s="527"/>
      <c r="BJ322" s="484"/>
      <c r="BK322" s="484"/>
      <c r="BL322" s="484"/>
      <c r="BM322" s="484"/>
    </row>
    <row r="323" spans="1:65" s="22" customFormat="1" x14ac:dyDescent="0.25">
      <c r="A323" s="20"/>
      <c r="B323" s="515"/>
      <c r="C323" s="11"/>
      <c r="D323" s="11"/>
      <c r="E323" s="11"/>
      <c r="F323" s="21"/>
      <c r="G323" s="11"/>
      <c r="H323" s="50"/>
      <c r="I323" s="50"/>
      <c r="J323" s="50"/>
      <c r="K323" s="11"/>
      <c r="L323" s="50"/>
      <c r="M323" s="50"/>
      <c r="N323" s="50"/>
      <c r="O323" s="50"/>
      <c r="P323" s="50"/>
      <c r="Q323" s="11"/>
      <c r="R323" s="50"/>
      <c r="S323" s="50"/>
      <c r="T323" s="50"/>
      <c r="U323" s="11"/>
      <c r="V323" s="50"/>
      <c r="W323" s="50"/>
      <c r="X323" s="50"/>
      <c r="Y323" s="50"/>
      <c r="Z323" s="50"/>
      <c r="AA323" s="11"/>
      <c r="AB323" s="50"/>
      <c r="AC323" s="50"/>
      <c r="AD323" s="50"/>
      <c r="AE323" s="11"/>
      <c r="AF323" s="50"/>
      <c r="AG323" s="50"/>
      <c r="AH323" s="50"/>
      <c r="AI323" s="11"/>
      <c r="AJ323" s="50"/>
      <c r="AK323" s="50"/>
      <c r="AL323" s="50"/>
      <c r="AM323" s="11"/>
      <c r="AN323" s="50"/>
      <c r="AO323" s="50"/>
      <c r="AP323" s="50"/>
      <c r="AQ323" s="11"/>
      <c r="AR323" s="50"/>
      <c r="AS323" s="50"/>
      <c r="AT323" s="50"/>
      <c r="AU323" s="11"/>
      <c r="AV323" s="50"/>
      <c r="AW323" s="50"/>
      <c r="AX323" s="50"/>
      <c r="AY323" s="50"/>
      <c r="AZ323" s="50"/>
      <c r="BA323" s="50"/>
      <c r="BB323" s="50"/>
      <c r="BC323" s="50"/>
      <c r="BD323" s="50"/>
      <c r="BE323" s="20"/>
      <c r="BF323" s="518"/>
      <c r="BG323" s="484"/>
      <c r="BH323" s="484"/>
      <c r="BI323" s="527"/>
      <c r="BJ323" s="484"/>
      <c r="BK323" s="484"/>
      <c r="BL323" s="484"/>
      <c r="BM323" s="484"/>
    </row>
    <row r="324" spans="1:65" s="22" customFormat="1" x14ac:dyDescent="0.25">
      <c r="A324" s="20"/>
      <c r="B324" s="515"/>
      <c r="C324" s="11"/>
      <c r="D324" s="11"/>
      <c r="E324" s="11"/>
      <c r="F324" s="21"/>
      <c r="G324" s="11"/>
      <c r="H324" s="50"/>
      <c r="I324" s="50"/>
      <c r="J324" s="50"/>
      <c r="K324" s="11"/>
      <c r="L324" s="50"/>
      <c r="M324" s="50"/>
      <c r="N324" s="50"/>
      <c r="O324" s="50"/>
      <c r="P324" s="50"/>
      <c r="Q324" s="11"/>
      <c r="R324" s="50"/>
      <c r="S324" s="50"/>
      <c r="T324" s="50"/>
      <c r="U324" s="11"/>
      <c r="V324" s="50"/>
      <c r="W324" s="50"/>
      <c r="X324" s="50"/>
      <c r="Y324" s="50"/>
      <c r="Z324" s="50"/>
      <c r="AA324" s="11"/>
      <c r="AB324" s="50"/>
      <c r="AC324" s="50"/>
      <c r="AD324" s="50"/>
      <c r="AE324" s="11"/>
      <c r="AF324" s="50"/>
      <c r="AG324" s="50"/>
      <c r="AH324" s="50"/>
      <c r="AI324" s="11"/>
      <c r="AJ324" s="50"/>
      <c r="AK324" s="50"/>
      <c r="AL324" s="50"/>
      <c r="AM324" s="11"/>
      <c r="AN324" s="50"/>
      <c r="AO324" s="50"/>
      <c r="AP324" s="50"/>
      <c r="AQ324" s="11"/>
      <c r="AR324" s="50"/>
      <c r="AS324" s="50"/>
      <c r="AT324" s="50"/>
      <c r="AU324" s="11"/>
      <c r="AV324" s="50"/>
      <c r="AW324" s="50"/>
      <c r="AX324" s="50"/>
      <c r="AY324" s="50"/>
      <c r="AZ324" s="50"/>
      <c r="BA324" s="50"/>
      <c r="BB324" s="50"/>
      <c r="BC324" s="50"/>
      <c r="BD324" s="50"/>
      <c r="BE324" s="20"/>
      <c r="BF324" s="518"/>
      <c r="BG324" s="484"/>
      <c r="BH324" s="484"/>
      <c r="BI324" s="527"/>
      <c r="BJ324" s="484"/>
      <c r="BK324" s="484"/>
      <c r="BL324" s="484"/>
      <c r="BM324" s="484"/>
    </row>
    <row r="325" spans="1:65" s="22" customFormat="1" x14ac:dyDescent="0.25">
      <c r="A325" s="20"/>
      <c r="B325" s="515"/>
      <c r="C325" s="11"/>
      <c r="D325" s="11"/>
      <c r="E325" s="11"/>
      <c r="F325" s="21"/>
      <c r="G325" s="11"/>
      <c r="H325" s="50"/>
      <c r="I325" s="50"/>
      <c r="J325" s="50"/>
      <c r="K325" s="11"/>
      <c r="L325" s="50"/>
      <c r="M325" s="50"/>
      <c r="N325" s="50"/>
      <c r="O325" s="50"/>
      <c r="P325" s="50"/>
      <c r="Q325" s="11"/>
      <c r="R325" s="50"/>
      <c r="S325" s="50"/>
      <c r="T325" s="50"/>
      <c r="U325" s="11"/>
      <c r="V325" s="50"/>
      <c r="W325" s="50"/>
      <c r="X325" s="50"/>
      <c r="Y325" s="50"/>
      <c r="Z325" s="50"/>
      <c r="AA325" s="11"/>
      <c r="AB325" s="50"/>
      <c r="AC325" s="50"/>
      <c r="AD325" s="50"/>
      <c r="AE325" s="11"/>
      <c r="AF325" s="50"/>
      <c r="AG325" s="50"/>
      <c r="AH325" s="50"/>
      <c r="AI325" s="11"/>
      <c r="AJ325" s="50"/>
      <c r="AK325" s="50"/>
      <c r="AL325" s="50"/>
      <c r="AM325" s="11"/>
      <c r="AN325" s="50"/>
      <c r="AO325" s="50"/>
      <c r="AP325" s="50"/>
      <c r="AQ325" s="11"/>
      <c r="AR325" s="50"/>
      <c r="AS325" s="50"/>
      <c r="AT325" s="50"/>
      <c r="AU325" s="11"/>
      <c r="AV325" s="50"/>
      <c r="AW325" s="50"/>
      <c r="AX325" s="50"/>
      <c r="AY325" s="50"/>
      <c r="AZ325" s="50"/>
      <c r="BA325" s="50"/>
      <c r="BB325" s="50"/>
      <c r="BC325" s="50"/>
      <c r="BD325" s="50"/>
      <c r="BE325" s="20"/>
      <c r="BF325" s="518"/>
      <c r="BG325" s="484"/>
      <c r="BH325" s="484"/>
      <c r="BI325" s="527"/>
      <c r="BJ325" s="484"/>
      <c r="BK325" s="484"/>
      <c r="BL325" s="484"/>
      <c r="BM325" s="484"/>
    </row>
    <row r="326" spans="1:65" s="22" customFormat="1" x14ac:dyDescent="0.25">
      <c r="A326" s="20"/>
      <c r="B326" s="515"/>
      <c r="C326" s="11"/>
      <c r="D326" s="11"/>
      <c r="E326" s="11"/>
      <c r="F326" s="21"/>
      <c r="G326" s="11"/>
      <c r="H326" s="50"/>
      <c r="I326" s="50"/>
      <c r="J326" s="50"/>
      <c r="K326" s="11"/>
      <c r="L326" s="50"/>
      <c r="M326" s="50"/>
      <c r="N326" s="50"/>
      <c r="O326" s="50"/>
      <c r="P326" s="50"/>
      <c r="Q326" s="11"/>
      <c r="R326" s="50"/>
      <c r="S326" s="50"/>
      <c r="T326" s="50"/>
      <c r="U326" s="11"/>
      <c r="V326" s="50"/>
      <c r="W326" s="50"/>
      <c r="X326" s="50"/>
      <c r="Y326" s="50"/>
      <c r="Z326" s="50"/>
      <c r="AA326" s="11"/>
      <c r="AB326" s="50"/>
      <c r="AC326" s="50"/>
      <c r="AD326" s="50"/>
      <c r="AE326" s="11"/>
      <c r="AF326" s="50"/>
      <c r="AG326" s="50"/>
      <c r="AH326" s="50"/>
      <c r="AI326" s="11"/>
      <c r="AJ326" s="50"/>
      <c r="AK326" s="50"/>
      <c r="AL326" s="50"/>
      <c r="AM326" s="11"/>
      <c r="AN326" s="50"/>
      <c r="AO326" s="50"/>
      <c r="AP326" s="50"/>
      <c r="AQ326" s="11"/>
      <c r="AR326" s="50"/>
      <c r="AS326" s="50"/>
      <c r="AT326" s="50"/>
      <c r="AU326" s="11"/>
      <c r="AV326" s="50"/>
      <c r="AW326" s="50"/>
      <c r="AX326" s="50"/>
      <c r="AY326" s="50"/>
      <c r="AZ326" s="50"/>
      <c r="BA326" s="50"/>
      <c r="BB326" s="50"/>
      <c r="BC326" s="50"/>
      <c r="BD326" s="50"/>
      <c r="BE326" s="20"/>
      <c r="BF326" s="518"/>
      <c r="BG326" s="484"/>
      <c r="BH326" s="484"/>
      <c r="BI326" s="527"/>
      <c r="BJ326" s="484"/>
      <c r="BK326" s="484"/>
      <c r="BL326" s="484"/>
      <c r="BM326" s="484"/>
    </row>
    <row r="327" spans="1:65" s="22" customFormat="1" x14ac:dyDescent="0.25">
      <c r="A327" s="20"/>
      <c r="B327" s="515"/>
      <c r="C327" s="11"/>
      <c r="D327" s="11"/>
      <c r="E327" s="11"/>
      <c r="F327" s="21"/>
      <c r="G327" s="11"/>
      <c r="H327" s="50"/>
      <c r="I327" s="50"/>
      <c r="J327" s="50"/>
      <c r="K327" s="11"/>
      <c r="L327" s="50"/>
      <c r="M327" s="50"/>
      <c r="N327" s="50"/>
      <c r="O327" s="50"/>
      <c r="P327" s="50"/>
      <c r="Q327" s="11"/>
      <c r="R327" s="50"/>
      <c r="S327" s="50"/>
      <c r="T327" s="50"/>
      <c r="U327" s="11"/>
      <c r="V327" s="50"/>
      <c r="W327" s="50"/>
      <c r="X327" s="50"/>
      <c r="Y327" s="50"/>
      <c r="Z327" s="50"/>
      <c r="AA327" s="11"/>
      <c r="AB327" s="50"/>
      <c r="AC327" s="50"/>
      <c r="AD327" s="50"/>
      <c r="AE327" s="11"/>
      <c r="AF327" s="50"/>
      <c r="AG327" s="50"/>
      <c r="AH327" s="50"/>
      <c r="AI327" s="11"/>
      <c r="AJ327" s="50"/>
      <c r="AK327" s="50"/>
      <c r="AL327" s="50"/>
      <c r="AM327" s="11"/>
      <c r="AN327" s="50"/>
      <c r="AO327" s="50"/>
      <c r="AP327" s="50"/>
      <c r="AQ327" s="11"/>
      <c r="AR327" s="50"/>
      <c r="AS327" s="50"/>
      <c r="AT327" s="50"/>
      <c r="AU327" s="11"/>
      <c r="AV327" s="50"/>
      <c r="AW327" s="50"/>
      <c r="AX327" s="50"/>
      <c r="AY327" s="50"/>
      <c r="AZ327" s="50"/>
      <c r="BA327" s="50"/>
      <c r="BB327" s="50"/>
      <c r="BC327" s="50"/>
      <c r="BD327" s="50"/>
      <c r="BE327" s="20"/>
      <c r="BF327" s="518"/>
      <c r="BG327" s="484"/>
      <c r="BH327" s="484"/>
      <c r="BI327" s="527"/>
      <c r="BJ327" s="484"/>
      <c r="BK327" s="484"/>
      <c r="BL327" s="484"/>
      <c r="BM327" s="484"/>
    </row>
    <row r="328" spans="1:65" s="22" customFormat="1" x14ac:dyDescent="0.25">
      <c r="A328" s="20"/>
      <c r="B328" s="515"/>
      <c r="C328" s="11"/>
      <c r="D328" s="11"/>
      <c r="E328" s="11"/>
      <c r="F328" s="21"/>
      <c r="G328" s="11"/>
      <c r="H328" s="50"/>
      <c r="I328" s="50"/>
      <c r="J328" s="50"/>
      <c r="K328" s="11"/>
      <c r="L328" s="50"/>
      <c r="M328" s="50"/>
      <c r="N328" s="50"/>
      <c r="O328" s="50"/>
      <c r="P328" s="50"/>
      <c r="Q328" s="11"/>
      <c r="R328" s="50"/>
      <c r="S328" s="50"/>
      <c r="T328" s="50"/>
      <c r="U328" s="11"/>
      <c r="V328" s="50"/>
      <c r="W328" s="50"/>
      <c r="X328" s="50"/>
      <c r="Y328" s="50"/>
      <c r="Z328" s="50"/>
      <c r="AA328" s="11"/>
      <c r="AB328" s="50"/>
      <c r="AC328" s="50"/>
      <c r="AD328" s="50"/>
      <c r="AE328" s="11"/>
      <c r="AF328" s="50"/>
      <c r="AG328" s="50"/>
      <c r="AH328" s="50"/>
      <c r="AI328" s="11"/>
      <c r="AJ328" s="50"/>
      <c r="AK328" s="50"/>
      <c r="AL328" s="50"/>
      <c r="AM328" s="11"/>
      <c r="AN328" s="50"/>
      <c r="AO328" s="50"/>
      <c r="AP328" s="50"/>
      <c r="AQ328" s="11"/>
      <c r="AR328" s="50"/>
      <c r="AS328" s="50"/>
      <c r="AT328" s="50"/>
      <c r="AU328" s="11"/>
      <c r="AV328" s="50"/>
      <c r="AW328" s="50"/>
      <c r="AX328" s="50"/>
      <c r="AY328" s="50"/>
      <c r="AZ328" s="50"/>
      <c r="BA328" s="50"/>
      <c r="BB328" s="50"/>
      <c r="BC328" s="50"/>
      <c r="BD328" s="50"/>
      <c r="BE328" s="20"/>
      <c r="BF328" s="518"/>
      <c r="BG328" s="484"/>
      <c r="BH328" s="484"/>
      <c r="BI328" s="527"/>
      <c r="BJ328" s="484"/>
      <c r="BK328" s="484"/>
      <c r="BL328" s="484"/>
      <c r="BM328" s="484"/>
    </row>
    <row r="329" spans="1:65" s="22" customFormat="1" x14ac:dyDescent="0.25">
      <c r="A329" s="20"/>
      <c r="B329" s="515"/>
      <c r="C329" s="11"/>
      <c r="D329" s="11"/>
      <c r="E329" s="11"/>
      <c r="F329" s="21"/>
      <c r="G329" s="11"/>
      <c r="H329" s="50"/>
      <c r="I329" s="50"/>
      <c r="J329" s="50"/>
      <c r="K329" s="11"/>
      <c r="L329" s="50"/>
      <c r="M329" s="50"/>
      <c r="N329" s="50"/>
      <c r="O329" s="50"/>
      <c r="P329" s="50"/>
      <c r="Q329" s="11"/>
      <c r="R329" s="50"/>
      <c r="S329" s="50"/>
      <c r="T329" s="50"/>
      <c r="U329" s="11"/>
      <c r="V329" s="50"/>
      <c r="W329" s="50"/>
      <c r="X329" s="50"/>
      <c r="Y329" s="50"/>
      <c r="Z329" s="50"/>
      <c r="AA329" s="11"/>
      <c r="AB329" s="50"/>
      <c r="AC329" s="50"/>
      <c r="AD329" s="50"/>
      <c r="AE329" s="11"/>
      <c r="AF329" s="50"/>
      <c r="AG329" s="50"/>
      <c r="AH329" s="50"/>
      <c r="AI329" s="11"/>
      <c r="AJ329" s="50"/>
      <c r="AK329" s="50"/>
      <c r="AL329" s="50"/>
      <c r="AM329" s="11"/>
      <c r="AN329" s="50"/>
      <c r="AO329" s="50"/>
      <c r="AP329" s="50"/>
      <c r="AQ329" s="11"/>
      <c r="AR329" s="50"/>
      <c r="AS329" s="50"/>
      <c r="AT329" s="50"/>
      <c r="AU329" s="11"/>
      <c r="AV329" s="50"/>
      <c r="AW329" s="50"/>
      <c r="AX329" s="50"/>
      <c r="AY329" s="50"/>
      <c r="AZ329" s="50"/>
      <c r="BA329" s="50"/>
      <c r="BB329" s="50"/>
      <c r="BC329" s="50"/>
      <c r="BD329" s="50"/>
      <c r="BE329" s="20"/>
      <c r="BF329" s="518"/>
      <c r="BG329" s="484"/>
      <c r="BH329" s="484"/>
      <c r="BI329" s="527"/>
      <c r="BJ329" s="484"/>
      <c r="BK329" s="484"/>
      <c r="BL329" s="484"/>
      <c r="BM329" s="484"/>
    </row>
    <row r="330" spans="1:65" s="22" customFormat="1" x14ac:dyDescent="0.25">
      <c r="A330" s="20"/>
      <c r="B330" s="515"/>
      <c r="C330" s="11"/>
      <c r="D330" s="11"/>
      <c r="E330" s="11"/>
      <c r="F330" s="21"/>
      <c r="G330" s="11"/>
      <c r="H330" s="50"/>
      <c r="I330" s="50"/>
      <c r="J330" s="50"/>
      <c r="K330" s="11"/>
      <c r="L330" s="50"/>
      <c r="M330" s="50"/>
      <c r="N330" s="50"/>
      <c r="O330" s="50"/>
      <c r="P330" s="50"/>
      <c r="Q330" s="11"/>
      <c r="R330" s="50"/>
      <c r="S330" s="50"/>
      <c r="T330" s="50"/>
      <c r="U330" s="11"/>
      <c r="V330" s="50"/>
      <c r="W330" s="50"/>
      <c r="X330" s="50"/>
      <c r="Y330" s="50"/>
      <c r="Z330" s="50"/>
      <c r="AA330" s="11"/>
      <c r="AB330" s="50"/>
      <c r="AC330" s="50"/>
      <c r="AD330" s="50"/>
      <c r="AE330" s="11"/>
      <c r="AF330" s="50"/>
      <c r="AG330" s="50"/>
      <c r="AH330" s="50"/>
      <c r="AI330" s="11"/>
      <c r="AJ330" s="50"/>
      <c r="AK330" s="50"/>
      <c r="AL330" s="50"/>
      <c r="AM330" s="11"/>
      <c r="AN330" s="50"/>
      <c r="AO330" s="50"/>
      <c r="AP330" s="50"/>
      <c r="AQ330" s="11"/>
      <c r="AR330" s="50"/>
      <c r="AS330" s="50"/>
      <c r="AT330" s="50"/>
      <c r="AU330" s="11"/>
      <c r="AV330" s="50"/>
      <c r="AW330" s="50"/>
      <c r="AX330" s="50"/>
      <c r="AY330" s="50"/>
      <c r="AZ330" s="50"/>
      <c r="BA330" s="50"/>
      <c r="BB330" s="50"/>
      <c r="BC330" s="50"/>
      <c r="BD330" s="50"/>
      <c r="BE330" s="20"/>
      <c r="BF330" s="518"/>
      <c r="BG330" s="484"/>
      <c r="BH330" s="484"/>
      <c r="BI330" s="527"/>
      <c r="BJ330" s="484"/>
      <c r="BK330" s="484"/>
      <c r="BL330" s="484"/>
      <c r="BM330" s="484"/>
    </row>
    <row r="331" spans="1:65" s="22" customFormat="1" x14ac:dyDescent="0.25">
      <c r="A331" s="20"/>
      <c r="B331" s="515"/>
      <c r="C331" s="11"/>
      <c r="D331" s="11"/>
      <c r="E331" s="11"/>
      <c r="F331" s="21"/>
      <c r="G331" s="11"/>
      <c r="H331" s="50"/>
      <c r="I331" s="50"/>
      <c r="J331" s="50"/>
      <c r="K331" s="11"/>
      <c r="L331" s="50"/>
      <c r="M331" s="50"/>
      <c r="N331" s="50"/>
      <c r="O331" s="50"/>
      <c r="P331" s="50"/>
      <c r="Q331" s="11"/>
      <c r="R331" s="50"/>
      <c r="S331" s="50"/>
      <c r="T331" s="50"/>
      <c r="U331" s="11"/>
      <c r="V331" s="50"/>
      <c r="W331" s="50"/>
      <c r="X331" s="50"/>
      <c r="Y331" s="50"/>
      <c r="Z331" s="50"/>
      <c r="AA331" s="11"/>
      <c r="AB331" s="50"/>
      <c r="AC331" s="50"/>
      <c r="AD331" s="50"/>
      <c r="AE331" s="11"/>
      <c r="AF331" s="50"/>
      <c r="AG331" s="50"/>
      <c r="AH331" s="50"/>
      <c r="AI331" s="11"/>
      <c r="AJ331" s="50"/>
      <c r="AK331" s="50"/>
      <c r="AL331" s="50"/>
      <c r="AM331" s="11"/>
      <c r="AN331" s="50"/>
      <c r="AO331" s="50"/>
      <c r="AP331" s="50"/>
      <c r="AQ331" s="11"/>
      <c r="AR331" s="50"/>
      <c r="AS331" s="50"/>
      <c r="AT331" s="50"/>
      <c r="AU331" s="11"/>
      <c r="AV331" s="50"/>
      <c r="AW331" s="50"/>
      <c r="AX331" s="50"/>
      <c r="AY331" s="50"/>
      <c r="AZ331" s="50"/>
      <c r="BA331" s="50"/>
      <c r="BB331" s="50"/>
      <c r="BC331" s="50"/>
      <c r="BD331" s="50"/>
      <c r="BE331" s="20"/>
      <c r="BF331" s="518"/>
      <c r="BG331" s="484"/>
      <c r="BH331" s="484"/>
      <c r="BI331" s="527"/>
      <c r="BJ331" s="484"/>
      <c r="BK331" s="484"/>
      <c r="BL331" s="484"/>
      <c r="BM331" s="484"/>
    </row>
    <row r="332" spans="1:65" s="22" customFormat="1" x14ac:dyDescent="0.25">
      <c r="A332" s="20"/>
      <c r="B332" s="515"/>
      <c r="C332" s="11"/>
      <c r="D332" s="11"/>
      <c r="E332" s="11"/>
      <c r="F332" s="21"/>
      <c r="G332" s="11"/>
      <c r="H332" s="50"/>
      <c r="I332" s="50"/>
      <c r="J332" s="50"/>
      <c r="K332" s="11"/>
      <c r="L332" s="50"/>
      <c r="M332" s="50"/>
      <c r="N332" s="50"/>
      <c r="O332" s="50"/>
      <c r="P332" s="50"/>
      <c r="Q332" s="11"/>
      <c r="R332" s="50"/>
      <c r="S332" s="50"/>
      <c r="T332" s="50"/>
      <c r="U332" s="11"/>
      <c r="V332" s="50"/>
      <c r="W332" s="50"/>
      <c r="X332" s="50"/>
      <c r="Y332" s="50"/>
      <c r="Z332" s="50"/>
      <c r="AA332" s="11"/>
      <c r="AB332" s="50"/>
      <c r="AC332" s="50"/>
      <c r="AD332" s="50"/>
      <c r="AE332" s="11"/>
      <c r="AF332" s="50"/>
      <c r="AG332" s="50"/>
      <c r="AH332" s="50"/>
      <c r="AI332" s="11"/>
      <c r="AJ332" s="50"/>
      <c r="AK332" s="50"/>
      <c r="AL332" s="50"/>
      <c r="AM332" s="11"/>
      <c r="AN332" s="50"/>
      <c r="AO332" s="50"/>
      <c r="AP332" s="50"/>
      <c r="AQ332" s="11"/>
      <c r="AR332" s="50"/>
      <c r="AS332" s="50"/>
      <c r="AT332" s="50"/>
      <c r="AU332" s="11"/>
      <c r="AV332" s="50"/>
      <c r="AW332" s="50"/>
      <c r="AX332" s="50"/>
      <c r="AY332" s="50"/>
      <c r="AZ332" s="50"/>
      <c r="BA332" s="50"/>
      <c r="BB332" s="50"/>
      <c r="BC332" s="50"/>
      <c r="BD332" s="50"/>
      <c r="BE332" s="20"/>
      <c r="BF332" s="518"/>
      <c r="BG332" s="484"/>
      <c r="BH332" s="484"/>
      <c r="BI332" s="527"/>
      <c r="BJ332" s="484"/>
      <c r="BK332" s="484"/>
      <c r="BL332" s="484"/>
      <c r="BM332" s="484"/>
    </row>
    <row r="333" spans="1:65" s="22" customFormat="1" x14ac:dyDescent="0.25">
      <c r="A333" s="20"/>
      <c r="B333" s="515"/>
      <c r="C333" s="11"/>
      <c r="D333" s="11"/>
      <c r="E333" s="11"/>
      <c r="F333" s="21"/>
      <c r="G333" s="11"/>
      <c r="H333" s="50"/>
      <c r="I333" s="50"/>
      <c r="J333" s="50"/>
      <c r="K333" s="11"/>
      <c r="L333" s="50"/>
      <c r="M333" s="50"/>
      <c r="N333" s="50"/>
      <c r="O333" s="50"/>
      <c r="P333" s="50"/>
      <c r="Q333" s="11"/>
      <c r="R333" s="50"/>
      <c r="S333" s="50"/>
      <c r="T333" s="50"/>
      <c r="U333" s="11"/>
      <c r="V333" s="50"/>
      <c r="W333" s="50"/>
      <c r="X333" s="50"/>
      <c r="Y333" s="50"/>
      <c r="Z333" s="50"/>
      <c r="AA333" s="11"/>
      <c r="AB333" s="50"/>
      <c r="AC333" s="50"/>
      <c r="AD333" s="50"/>
      <c r="AE333" s="11"/>
      <c r="AF333" s="50"/>
      <c r="AG333" s="50"/>
      <c r="AH333" s="50"/>
      <c r="AI333" s="11"/>
      <c r="AJ333" s="50"/>
      <c r="AK333" s="50"/>
      <c r="AL333" s="50"/>
      <c r="AM333" s="11"/>
      <c r="AN333" s="50"/>
      <c r="AO333" s="50"/>
      <c r="AP333" s="50"/>
      <c r="AQ333" s="11"/>
      <c r="AR333" s="50"/>
      <c r="AS333" s="50"/>
      <c r="AT333" s="50"/>
      <c r="AU333" s="11"/>
      <c r="AV333" s="50"/>
      <c r="AW333" s="50"/>
      <c r="AX333" s="50"/>
      <c r="AY333" s="50"/>
      <c r="AZ333" s="50"/>
      <c r="BA333" s="50"/>
      <c r="BB333" s="50"/>
      <c r="BC333" s="50"/>
      <c r="BD333" s="50"/>
      <c r="BE333" s="20"/>
      <c r="BF333" s="518"/>
      <c r="BG333" s="484"/>
      <c r="BH333" s="484"/>
      <c r="BI333" s="527"/>
      <c r="BJ333" s="484"/>
      <c r="BK333" s="484"/>
      <c r="BL333" s="484"/>
      <c r="BM333" s="484"/>
    </row>
    <row r="334" spans="1:65" s="22" customFormat="1" x14ac:dyDescent="0.25">
      <c r="A334" s="20"/>
      <c r="B334" s="515"/>
      <c r="C334" s="11"/>
      <c r="D334" s="11"/>
      <c r="E334" s="11"/>
      <c r="F334" s="21"/>
      <c r="G334" s="11"/>
      <c r="H334" s="50"/>
      <c r="I334" s="50"/>
      <c r="J334" s="50"/>
      <c r="K334" s="11"/>
      <c r="L334" s="50"/>
      <c r="M334" s="50"/>
      <c r="N334" s="50"/>
      <c r="O334" s="50"/>
      <c r="P334" s="50"/>
      <c r="Q334" s="11"/>
      <c r="R334" s="50"/>
      <c r="S334" s="50"/>
      <c r="T334" s="50"/>
      <c r="U334" s="11"/>
      <c r="V334" s="50"/>
      <c r="W334" s="50"/>
      <c r="X334" s="50"/>
      <c r="Y334" s="50"/>
      <c r="Z334" s="50"/>
      <c r="AA334" s="11"/>
      <c r="AB334" s="50"/>
      <c r="AC334" s="50"/>
      <c r="AD334" s="50"/>
      <c r="AE334" s="11"/>
      <c r="AF334" s="50"/>
      <c r="AG334" s="50"/>
      <c r="AH334" s="50"/>
      <c r="AI334" s="11"/>
      <c r="AJ334" s="50"/>
      <c r="AK334" s="50"/>
      <c r="AL334" s="50"/>
      <c r="AM334" s="11"/>
      <c r="AN334" s="50"/>
      <c r="AO334" s="50"/>
      <c r="AP334" s="50"/>
      <c r="AQ334" s="11"/>
      <c r="AR334" s="50"/>
      <c r="AS334" s="50"/>
      <c r="AT334" s="50"/>
      <c r="AU334" s="11"/>
      <c r="AV334" s="50"/>
      <c r="AW334" s="50"/>
      <c r="AX334" s="50"/>
      <c r="AY334" s="50"/>
      <c r="AZ334" s="50"/>
      <c r="BA334" s="50"/>
      <c r="BB334" s="50"/>
      <c r="BC334" s="50"/>
      <c r="BD334" s="50"/>
      <c r="BE334" s="20"/>
      <c r="BF334" s="518"/>
      <c r="BG334" s="484"/>
      <c r="BH334" s="484"/>
      <c r="BI334" s="527"/>
      <c r="BJ334" s="484"/>
      <c r="BK334" s="484"/>
      <c r="BL334" s="484"/>
      <c r="BM334" s="484"/>
    </row>
    <row r="335" spans="1:65" s="22" customFormat="1" x14ac:dyDescent="0.25">
      <c r="A335" s="20"/>
      <c r="B335" s="515"/>
      <c r="C335" s="11"/>
      <c r="D335" s="11"/>
      <c r="E335" s="11"/>
      <c r="F335" s="21"/>
      <c r="G335" s="11"/>
      <c r="H335" s="50"/>
      <c r="I335" s="50"/>
      <c r="J335" s="50"/>
      <c r="K335" s="11"/>
      <c r="L335" s="50"/>
      <c r="M335" s="50"/>
      <c r="N335" s="50"/>
      <c r="O335" s="50"/>
      <c r="P335" s="50"/>
      <c r="Q335" s="11"/>
      <c r="R335" s="50"/>
      <c r="S335" s="50"/>
      <c r="T335" s="50"/>
      <c r="U335" s="11"/>
      <c r="V335" s="50"/>
      <c r="W335" s="50"/>
      <c r="X335" s="50"/>
      <c r="Y335" s="50"/>
      <c r="Z335" s="50"/>
      <c r="AA335" s="11"/>
      <c r="AB335" s="50"/>
      <c r="AC335" s="50"/>
      <c r="AD335" s="50"/>
      <c r="AE335" s="11"/>
      <c r="AF335" s="50"/>
      <c r="AG335" s="50"/>
      <c r="AH335" s="50"/>
      <c r="AI335" s="11"/>
      <c r="AJ335" s="50"/>
      <c r="AK335" s="50"/>
      <c r="AL335" s="50"/>
      <c r="AM335" s="11"/>
      <c r="AN335" s="50"/>
      <c r="AO335" s="50"/>
      <c r="AP335" s="50"/>
      <c r="AQ335" s="11"/>
      <c r="AR335" s="50"/>
      <c r="AS335" s="50"/>
      <c r="AT335" s="50"/>
      <c r="AU335" s="11"/>
      <c r="AV335" s="50"/>
      <c r="AW335" s="50"/>
      <c r="AX335" s="50"/>
      <c r="AY335" s="50"/>
      <c r="AZ335" s="50"/>
      <c r="BA335" s="50"/>
      <c r="BB335" s="50"/>
      <c r="BC335" s="50"/>
      <c r="BD335" s="50"/>
      <c r="BE335" s="20"/>
      <c r="BF335" s="518"/>
      <c r="BG335" s="484"/>
      <c r="BH335" s="484"/>
      <c r="BI335" s="527"/>
      <c r="BJ335" s="484"/>
      <c r="BK335" s="484"/>
      <c r="BL335" s="484"/>
      <c r="BM335" s="484"/>
    </row>
    <row r="336" spans="1:65" s="22" customFormat="1" x14ac:dyDescent="0.25">
      <c r="A336" s="20"/>
      <c r="B336" s="515"/>
      <c r="C336" s="11"/>
      <c r="D336" s="11"/>
      <c r="E336" s="11"/>
      <c r="F336" s="21"/>
      <c r="G336" s="11"/>
      <c r="H336" s="50"/>
      <c r="I336" s="50"/>
      <c r="J336" s="50"/>
      <c r="K336" s="11"/>
      <c r="L336" s="50"/>
      <c r="M336" s="50"/>
      <c r="N336" s="50"/>
      <c r="O336" s="50"/>
      <c r="P336" s="50"/>
      <c r="Q336" s="11"/>
      <c r="R336" s="50"/>
      <c r="S336" s="50"/>
      <c r="T336" s="50"/>
      <c r="U336" s="11"/>
      <c r="V336" s="50"/>
      <c r="W336" s="50"/>
      <c r="X336" s="50"/>
      <c r="Y336" s="50"/>
      <c r="Z336" s="50"/>
      <c r="AA336" s="11"/>
      <c r="AB336" s="50"/>
      <c r="AC336" s="50"/>
      <c r="AD336" s="50"/>
      <c r="AE336" s="11"/>
      <c r="AF336" s="50"/>
      <c r="AG336" s="50"/>
      <c r="AH336" s="50"/>
      <c r="AI336" s="11"/>
      <c r="AJ336" s="50"/>
      <c r="AK336" s="50"/>
      <c r="AL336" s="50"/>
      <c r="AM336" s="11"/>
      <c r="AN336" s="50"/>
      <c r="AO336" s="50"/>
      <c r="AP336" s="50"/>
      <c r="AQ336" s="11"/>
      <c r="AR336" s="50"/>
      <c r="AS336" s="50"/>
      <c r="AT336" s="50"/>
      <c r="AU336" s="11"/>
      <c r="AV336" s="50"/>
      <c r="AW336" s="50"/>
      <c r="AX336" s="50"/>
      <c r="AY336" s="50"/>
      <c r="AZ336" s="50"/>
      <c r="BA336" s="50"/>
      <c r="BB336" s="50"/>
      <c r="BC336" s="50"/>
      <c r="BD336" s="50"/>
      <c r="BE336" s="20"/>
      <c r="BF336" s="518"/>
      <c r="BG336" s="484"/>
      <c r="BH336" s="484"/>
      <c r="BI336" s="527"/>
      <c r="BJ336" s="484"/>
      <c r="BK336" s="484"/>
      <c r="BL336" s="484"/>
      <c r="BM336" s="484"/>
    </row>
    <row r="337" spans="1:65" s="22" customFormat="1" x14ac:dyDescent="0.25">
      <c r="A337" s="20"/>
      <c r="B337" s="515"/>
      <c r="C337" s="11"/>
      <c r="D337" s="11"/>
      <c r="E337" s="11"/>
      <c r="F337" s="21"/>
      <c r="G337" s="11"/>
      <c r="H337" s="50"/>
      <c r="I337" s="50"/>
      <c r="J337" s="50"/>
      <c r="K337" s="11"/>
      <c r="L337" s="50"/>
      <c r="M337" s="50"/>
      <c r="N337" s="50"/>
      <c r="O337" s="50"/>
      <c r="P337" s="50"/>
      <c r="Q337" s="11"/>
      <c r="R337" s="50"/>
      <c r="S337" s="50"/>
      <c r="T337" s="50"/>
      <c r="U337" s="11"/>
      <c r="V337" s="50"/>
      <c r="W337" s="50"/>
      <c r="X337" s="50"/>
      <c r="Y337" s="50"/>
      <c r="Z337" s="50"/>
      <c r="AA337" s="11"/>
      <c r="AB337" s="50"/>
      <c r="AC337" s="50"/>
      <c r="AD337" s="50"/>
      <c r="AE337" s="11"/>
      <c r="AF337" s="50"/>
      <c r="AG337" s="50"/>
      <c r="AH337" s="50"/>
      <c r="AI337" s="11"/>
      <c r="AJ337" s="50"/>
      <c r="AK337" s="50"/>
      <c r="AL337" s="50"/>
      <c r="AM337" s="11"/>
      <c r="AN337" s="50"/>
      <c r="AO337" s="50"/>
      <c r="AP337" s="50"/>
      <c r="AQ337" s="11"/>
      <c r="AR337" s="50"/>
      <c r="AS337" s="50"/>
      <c r="AT337" s="50"/>
      <c r="AU337" s="11"/>
      <c r="AV337" s="50"/>
      <c r="AW337" s="50"/>
      <c r="AX337" s="50"/>
      <c r="AY337" s="50"/>
      <c r="AZ337" s="50"/>
      <c r="BA337" s="50"/>
      <c r="BB337" s="50"/>
      <c r="BC337" s="50"/>
      <c r="BD337" s="50"/>
      <c r="BE337" s="20"/>
      <c r="BF337" s="518"/>
      <c r="BG337" s="484"/>
      <c r="BH337" s="484"/>
      <c r="BI337" s="527"/>
      <c r="BJ337" s="484"/>
      <c r="BK337" s="484"/>
      <c r="BL337" s="484"/>
      <c r="BM337" s="484"/>
    </row>
    <row r="338" spans="1:65" s="22" customFormat="1" x14ac:dyDescent="0.25">
      <c r="A338" s="20"/>
      <c r="B338" s="515"/>
      <c r="C338" s="11"/>
      <c r="D338" s="11"/>
      <c r="E338" s="11"/>
      <c r="F338" s="21"/>
      <c r="G338" s="11"/>
      <c r="H338" s="50"/>
      <c r="I338" s="50"/>
      <c r="J338" s="50"/>
      <c r="K338" s="11"/>
      <c r="L338" s="50"/>
      <c r="M338" s="50"/>
      <c r="N338" s="50"/>
      <c r="O338" s="50"/>
      <c r="P338" s="50"/>
      <c r="Q338" s="11"/>
      <c r="R338" s="50"/>
      <c r="S338" s="50"/>
      <c r="T338" s="50"/>
      <c r="U338" s="11"/>
      <c r="V338" s="50"/>
      <c r="W338" s="50"/>
      <c r="X338" s="50"/>
      <c r="Y338" s="50"/>
      <c r="Z338" s="50"/>
      <c r="AA338" s="11"/>
      <c r="AB338" s="50"/>
      <c r="AC338" s="50"/>
      <c r="AD338" s="50"/>
      <c r="AE338" s="11"/>
      <c r="AF338" s="50"/>
      <c r="AG338" s="50"/>
      <c r="AH338" s="50"/>
      <c r="AI338" s="11"/>
      <c r="AJ338" s="50"/>
      <c r="AK338" s="50"/>
      <c r="AL338" s="50"/>
      <c r="AM338" s="11"/>
      <c r="AN338" s="50"/>
      <c r="AO338" s="50"/>
      <c r="AP338" s="50"/>
      <c r="AQ338" s="11"/>
      <c r="AR338" s="50"/>
      <c r="AS338" s="50"/>
      <c r="AT338" s="50"/>
      <c r="AU338" s="11"/>
      <c r="AV338" s="50"/>
      <c r="AW338" s="50"/>
      <c r="AX338" s="50"/>
      <c r="AY338" s="50"/>
      <c r="AZ338" s="50"/>
      <c r="BA338" s="50"/>
      <c r="BB338" s="50"/>
      <c r="BC338" s="50"/>
      <c r="BD338" s="50"/>
      <c r="BE338" s="20"/>
      <c r="BF338" s="518"/>
      <c r="BG338" s="484"/>
      <c r="BH338" s="484"/>
      <c r="BI338" s="527"/>
      <c r="BJ338" s="484"/>
      <c r="BK338" s="484"/>
      <c r="BL338" s="484"/>
      <c r="BM338" s="484"/>
    </row>
    <row r="339" spans="1:65" s="22" customFormat="1" x14ac:dyDescent="0.25">
      <c r="A339" s="20"/>
      <c r="B339" s="515"/>
      <c r="C339" s="11"/>
      <c r="D339" s="11"/>
      <c r="E339" s="11"/>
      <c r="F339" s="21"/>
      <c r="G339" s="11"/>
      <c r="H339" s="50"/>
      <c r="I339" s="50"/>
      <c r="J339" s="50"/>
      <c r="K339" s="11"/>
      <c r="L339" s="50"/>
      <c r="M339" s="50"/>
      <c r="N339" s="50"/>
      <c r="O339" s="50"/>
      <c r="P339" s="50"/>
      <c r="Q339" s="11"/>
      <c r="R339" s="50"/>
      <c r="S339" s="50"/>
      <c r="T339" s="50"/>
      <c r="U339" s="11"/>
      <c r="V339" s="50"/>
      <c r="W339" s="50"/>
      <c r="X339" s="50"/>
      <c r="Y339" s="50"/>
      <c r="Z339" s="50"/>
      <c r="AA339" s="11"/>
      <c r="AB339" s="50"/>
      <c r="AC339" s="50"/>
      <c r="AD339" s="50"/>
      <c r="AE339" s="11"/>
      <c r="AF339" s="50"/>
      <c r="AG339" s="50"/>
      <c r="AH339" s="50"/>
      <c r="AI339" s="11"/>
      <c r="AJ339" s="50"/>
      <c r="AK339" s="50"/>
      <c r="AL339" s="50"/>
      <c r="AM339" s="11"/>
      <c r="AN339" s="50"/>
      <c r="AO339" s="50"/>
      <c r="AP339" s="50"/>
      <c r="AQ339" s="11"/>
      <c r="AR339" s="50"/>
      <c r="AS339" s="50"/>
      <c r="AT339" s="50"/>
      <c r="AU339" s="11"/>
      <c r="AV339" s="50"/>
      <c r="AW339" s="50"/>
      <c r="AX339" s="50"/>
      <c r="AY339" s="50"/>
      <c r="AZ339" s="50"/>
      <c r="BA339" s="50"/>
      <c r="BB339" s="50"/>
      <c r="BC339" s="50"/>
      <c r="BD339" s="50"/>
      <c r="BE339" s="20"/>
      <c r="BF339" s="518"/>
      <c r="BG339" s="484"/>
      <c r="BH339" s="484"/>
      <c r="BI339" s="527"/>
      <c r="BJ339" s="484"/>
      <c r="BK339" s="484"/>
      <c r="BL339" s="484"/>
      <c r="BM339" s="484"/>
    </row>
    <row r="340" spans="1:65" s="22" customFormat="1" x14ac:dyDescent="0.25">
      <c r="A340" s="20"/>
      <c r="B340" s="515"/>
      <c r="C340" s="11"/>
      <c r="D340" s="11"/>
      <c r="E340" s="11"/>
      <c r="F340" s="21"/>
      <c r="G340" s="11"/>
      <c r="H340" s="50"/>
      <c r="I340" s="50"/>
      <c r="J340" s="50"/>
      <c r="K340" s="11"/>
      <c r="L340" s="50"/>
      <c r="M340" s="50"/>
      <c r="N340" s="50"/>
      <c r="O340" s="50"/>
      <c r="P340" s="50"/>
      <c r="Q340" s="11"/>
      <c r="R340" s="50"/>
      <c r="S340" s="50"/>
      <c r="T340" s="50"/>
      <c r="U340" s="11"/>
      <c r="V340" s="50"/>
      <c r="W340" s="50"/>
      <c r="X340" s="50"/>
      <c r="Y340" s="50"/>
      <c r="Z340" s="50"/>
      <c r="AA340" s="11"/>
      <c r="AB340" s="50"/>
      <c r="AC340" s="50"/>
      <c r="AD340" s="50"/>
      <c r="AE340" s="11"/>
      <c r="AF340" s="50"/>
      <c r="AG340" s="50"/>
      <c r="AH340" s="50"/>
      <c r="AI340" s="11"/>
      <c r="AJ340" s="50"/>
      <c r="AK340" s="50"/>
      <c r="AL340" s="50"/>
      <c r="AM340" s="11"/>
      <c r="AN340" s="50"/>
      <c r="AO340" s="50"/>
      <c r="AP340" s="50"/>
      <c r="AQ340" s="11"/>
      <c r="AR340" s="50"/>
      <c r="AS340" s="50"/>
      <c r="AT340" s="50"/>
      <c r="AU340" s="11"/>
      <c r="AV340" s="50"/>
      <c r="AW340" s="50"/>
      <c r="AX340" s="50"/>
      <c r="AY340" s="50"/>
      <c r="AZ340" s="50"/>
      <c r="BA340" s="50"/>
      <c r="BB340" s="50"/>
      <c r="BC340" s="50"/>
      <c r="BD340" s="50"/>
      <c r="BE340" s="20"/>
      <c r="BF340" s="518"/>
      <c r="BG340" s="484"/>
      <c r="BH340" s="484"/>
      <c r="BI340" s="527"/>
      <c r="BJ340" s="484"/>
      <c r="BK340" s="484"/>
      <c r="BL340" s="484"/>
      <c r="BM340" s="484"/>
    </row>
    <row r="341" spans="1:65" s="22" customFormat="1" x14ac:dyDescent="0.25">
      <c r="A341" s="20"/>
      <c r="B341" s="515"/>
      <c r="C341" s="11"/>
      <c r="D341" s="11"/>
      <c r="E341" s="11"/>
      <c r="F341" s="21"/>
      <c r="G341" s="11"/>
      <c r="H341" s="50"/>
      <c r="I341" s="50"/>
      <c r="J341" s="50"/>
      <c r="K341" s="11"/>
      <c r="L341" s="50"/>
      <c r="M341" s="50"/>
      <c r="N341" s="50"/>
      <c r="O341" s="50"/>
      <c r="P341" s="50"/>
      <c r="Q341" s="11"/>
      <c r="R341" s="50"/>
      <c r="S341" s="50"/>
      <c r="T341" s="50"/>
      <c r="U341" s="11"/>
      <c r="V341" s="50"/>
      <c r="W341" s="50"/>
      <c r="X341" s="50"/>
      <c r="Y341" s="50"/>
      <c r="Z341" s="50"/>
      <c r="AA341" s="11"/>
      <c r="AB341" s="50"/>
      <c r="AC341" s="50"/>
      <c r="AD341" s="50"/>
      <c r="AE341" s="11"/>
      <c r="AF341" s="50"/>
      <c r="AG341" s="50"/>
      <c r="AH341" s="50"/>
      <c r="AI341" s="11"/>
      <c r="AJ341" s="50"/>
      <c r="AK341" s="50"/>
      <c r="AL341" s="50"/>
      <c r="AM341" s="11"/>
      <c r="AN341" s="50"/>
      <c r="AO341" s="50"/>
      <c r="AP341" s="50"/>
      <c r="AQ341" s="11"/>
      <c r="AR341" s="50"/>
      <c r="AS341" s="50"/>
      <c r="AT341" s="50"/>
      <c r="AU341" s="11"/>
      <c r="AV341" s="50"/>
      <c r="AW341" s="50"/>
      <c r="AX341" s="50"/>
      <c r="AY341" s="50"/>
      <c r="AZ341" s="50"/>
      <c r="BA341" s="50"/>
      <c r="BB341" s="50"/>
      <c r="BC341" s="50"/>
      <c r="BD341" s="50"/>
      <c r="BE341" s="20"/>
      <c r="BF341" s="518"/>
      <c r="BG341" s="484"/>
      <c r="BH341" s="484"/>
      <c r="BI341" s="527"/>
      <c r="BJ341" s="484"/>
      <c r="BK341" s="484"/>
      <c r="BL341" s="484"/>
      <c r="BM341" s="484"/>
    </row>
    <row r="342" spans="1:65" s="22" customFormat="1" x14ac:dyDescent="0.25">
      <c r="A342" s="20"/>
      <c r="B342" s="515"/>
      <c r="C342" s="11"/>
      <c r="D342" s="11"/>
      <c r="E342" s="11"/>
      <c r="F342" s="21"/>
      <c r="G342" s="11"/>
      <c r="H342" s="50"/>
      <c r="I342" s="50"/>
      <c r="J342" s="50"/>
      <c r="K342" s="11"/>
      <c r="L342" s="50"/>
      <c r="M342" s="50"/>
      <c r="N342" s="50"/>
      <c r="O342" s="50"/>
      <c r="P342" s="50"/>
      <c r="Q342" s="11"/>
      <c r="R342" s="50"/>
      <c r="S342" s="50"/>
      <c r="T342" s="50"/>
      <c r="U342" s="11"/>
      <c r="V342" s="50"/>
      <c r="W342" s="50"/>
      <c r="X342" s="50"/>
      <c r="Y342" s="50"/>
      <c r="Z342" s="50"/>
      <c r="AA342" s="11"/>
      <c r="AB342" s="50"/>
      <c r="AC342" s="50"/>
      <c r="AD342" s="50"/>
      <c r="AE342" s="11"/>
      <c r="AF342" s="50"/>
      <c r="AG342" s="50"/>
      <c r="AH342" s="50"/>
      <c r="AI342" s="11"/>
      <c r="AJ342" s="50"/>
      <c r="AK342" s="50"/>
      <c r="AL342" s="50"/>
      <c r="AM342" s="11"/>
      <c r="AN342" s="50"/>
      <c r="AO342" s="50"/>
      <c r="AP342" s="50"/>
      <c r="AQ342" s="11"/>
      <c r="AR342" s="50"/>
      <c r="AS342" s="50"/>
      <c r="AT342" s="50"/>
      <c r="AU342" s="11"/>
      <c r="AV342" s="50"/>
      <c r="AW342" s="50"/>
      <c r="AX342" s="50"/>
      <c r="AY342" s="50"/>
      <c r="AZ342" s="50"/>
      <c r="BA342" s="50"/>
      <c r="BB342" s="50"/>
      <c r="BC342" s="50"/>
      <c r="BD342" s="50"/>
      <c r="BE342" s="20"/>
      <c r="BF342" s="518"/>
      <c r="BG342" s="484"/>
      <c r="BH342" s="484"/>
      <c r="BI342" s="527"/>
      <c r="BJ342" s="484"/>
      <c r="BK342" s="484"/>
      <c r="BL342" s="484"/>
      <c r="BM342" s="484"/>
    </row>
    <row r="343" spans="1:65" s="22" customFormat="1" x14ac:dyDescent="0.25">
      <c r="A343" s="20"/>
      <c r="B343" s="515"/>
      <c r="C343" s="11"/>
      <c r="D343" s="11"/>
      <c r="E343" s="11"/>
      <c r="F343" s="21"/>
      <c r="G343" s="11"/>
      <c r="H343" s="50"/>
      <c r="I343" s="50"/>
      <c r="J343" s="50"/>
      <c r="K343" s="11"/>
      <c r="L343" s="50"/>
      <c r="M343" s="50"/>
      <c r="N343" s="50"/>
      <c r="O343" s="50"/>
      <c r="P343" s="50"/>
      <c r="Q343" s="11"/>
      <c r="R343" s="50"/>
      <c r="S343" s="50"/>
      <c r="T343" s="50"/>
      <c r="U343" s="11"/>
      <c r="V343" s="50"/>
      <c r="W343" s="50"/>
      <c r="X343" s="50"/>
      <c r="Y343" s="50"/>
      <c r="Z343" s="50"/>
      <c r="AA343" s="11"/>
      <c r="AB343" s="50"/>
      <c r="AC343" s="50"/>
      <c r="AD343" s="50"/>
      <c r="AE343" s="11"/>
      <c r="AF343" s="50"/>
      <c r="AG343" s="50"/>
      <c r="AH343" s="50"/>
      <c r="AI343" s="11"/>
      <c r="AJ343" s="50"/>
      <c r="AK343" s="50"/>
      <c r="AL343" s="50"/>
      <c r="AM343" s="11"/>
      <c r="AN343" s="50"/>
      <c r="AO343" s="50"/>
      <c r="AP343" s="50"/>
      <c r="AQ343" s="11"/>
      <c r="AR343" s="50"/>
      <c r="AS343" s="50"/>
      <c r="AT343" s="50"/>
      <c r="AU343" s="11"/>
      <c r="AV343" s="50"/>
      <c r="AW343" s="50"/>
      <c r="AX343" s="50"/>
      <c r="AY343" s="50"/>
      <c r="AZ343" s="50"/>
      <c r="BA343" s="50"/>
      <c r="BB343" s="50"/>
      <c r="BC343" s="50"/>
      <c r="BD343" s="50"/>
      <c r="BE343" s="20"/>
      <c r="BF343" s="518"/>
      <c r="BG343" s="484"/>
      <c r="BH343" s="484"/>
      <c r="BI343" s="527"/>
      <c r="BJ343" s="484"/>
      <c r="BK343" s="484"/>
      <c r="BL343" s="484"/>
      <c r="BM343" s="484"/>
    </row>
    <row r="344" spans="1:65" s="22" customFormat="1" x14ac:dyDescent="0.25">
      <c r="A344" s="20"/>
      <c r="B344" s="515"/>
      <c r="C344" s="11"/>
      <c r="D344" s="11"/>
      <c r="E344" s="11"/>
      <c r="F344" s="21"/>
      <c r="G344" s="11"/>
      <c r="H344" s="50"/>
      <c r="I344" s="50"/>
      <c r="J344" s="50"/>
      <c r="K344" s="11"/>
      <c r="L344" s="50"/>
      <c r="M344" s="50"/>
      <c r="N344" s="50"/>
      <c r="O344" s="50"/>
      <c r="P344" s="50"/>
      <c r="Q344" s="11"/>
      <c r="R344" s="50"/>
      <c r="S344" s="50"/>
      <c r="T344" s="50"/>
      <c r="U344" s="11"/>
      <c r="V344" s="50"/>
      <c r="W344" s="50"/>
      <c r="X344" s="50"/>
      <c r="Y344" s="50"/>
      <c r="Z344" s="50"/>
      <c r="AA344" s="11"/>
      <c r="AB344" s="50"/>
      <c r="AC344" s="50"/>
      <c r="AD344" s="50"/>
      <c r="AE344" s="11"/>
      <c r="AF344" s="50"/>
      <c r="AG344" s="50"/>
      <c r="AH344" s="50"/>
      <c r="AI344" s="11"/>
      <c r="AJ344" s="50"/>
      <c r="AK344" s="50"/>
      <c r="AL344" s="50"/>
      <c r="AM344" s="11"/>
      <c r="AN344" s="50"/>
      <c r="AO344" s="50"/>
      <c r="AP344" s="50"/>
      <c r="AQ344" s="11"/>
      <c r="AR344" s="50"/>
      <c r="AS344" s="50"/>
      <c r="AT344" s="50"/>
      <c r="AU344" s="11"/>
      <c r="AV344" s="50"/>
      <c r="AW344" s="50"/>
      <c r="AX344" s="50"/>
      <c r="AY344" s="50"/>
      <c r="AZ344" s="50"/>
      <c r="BA344" s="50"/>
      <c r="BB344" s="50"/>
      <c r="BC344" s="50"/>
      <c r="BD344" s="50"/>
      <c r="BE344" s="20"/>
      <c r="BF344" s="518"/>
      <c r="BG344" s="484"/>
      <c r="BH344" s="484"/>
      <c r="BI344" s="527"/>
      <c r="BJ344" s="484"/>
      <c r="BK344" s="484"/>
      <c r="BL344" s="484"/>
      <c r="BM344" s="484"/>
    </row>
    <row r="345" spans="1:65" s="22" customFormat="1" x14ac:dyDescent="0.25">
      <c r="A345" s="20"/>
      <c r="B345" s="515"/>
      <c r="C345" s="11"/>
      <c r="D345" s="11"/>
      <c r="E345" s="11"/>
      <c r="F345" s="21"/>
      <c r="G345" s="11"/>
      <c r="H345" s="50"/>
      <c r="I345" s="50"/>
      <c r="J345" s="50"/>
      <c r="K345" s="11"/>
      <c r="L345" s="50"/>
      <c r="M345" s="50"/>
      <c r="N345" s="50"/>
      <c r="O345" s="50"/>
      <c r="P345" s="50"/>
      <c r="Q345" s="11"/>
      <c r="R345" s="50"/>
      <c r="S345" s="50"/>
      <c r="T345" s="50"/>
      <c r="U345" s="11"/>
      <c r="V345" s="50"/>
      <c r="W345" s="50"/>
      <c r="X345" s="50"/>
      <c r="Y345" s="50"/>
      <c r="Z345" s="50"/>
      <c r="AA345" s="11"/>
      <c r="AB345" s="50"/>
      <c r="AC345" s="50"/>
      <c r="AD345" s="50"/>
      <c r="AE345" s="11"/>
      <c r="AF345" s="50"/>
      <c r="AG345" s="50"/>
      <c r="AH345" s="50"/>
      <c r="AI345" s="11"/>
      <c r="AJ345" s="50"/>
      <c r="AK345" s="50"/>
      <c r="AL345" s="50"/>
      <c r="AM345" s="11"/>
      <c r="AN345" s="50"/>
      <c r="AO345" s="50"/>
      <c r="AP345" s="50"/>
      <c r="AQ345" s="11"/>
      <c r="AR345" s="50"/>
      <c r="AS345" s="50"/>
      <c r="AT345" s="50"/>
      <c r="AU345" s="11"/>
      <c r="AV345" s="50"/>
      <c r="AW345" s="50"/>
      <c r="AX345" s="50"/>
      <c r="AY345" s="50"/>
      <c r="AZ345" s="50"/>
      <c r="BA345" s="50"/>
      <c r="BB345" s="50"/>
      <c r="BC345" s="50"/>
      <c r="BD345" s="50"/>
      <c r="BE345" s="20"/>
      <c r="BF345" s="518"/>
      <c r="BG345" s="484"/>
      <c r="BH345" s="484"/>
      <c r="BI345" s="527"/>
      <c r="BJ345" s="484"/>
      <c r="BK345" s="484"/>
      <c r="BL345" s="484"/>
      <c r="BM345" s="484"/>
    </row>
    <row r="346" spans="1:65" s="22" customFormat="1" x14ac:dyDescent="0.25">
      <c r="A346" s="20"/>
      <c r="B346" s="515"/>
      <c r="C346" s="11"/>
      <c r="D346" s="11"/>
      <c r="E346" s="11"/>
      <c r="F346" s="21"/>
      <c r="G346" s="11"/>
      <c r="H346" s="50"/>
      <c r="I346" s="50"/>
      <c r="J346" s="50"/>
      <c r="K346" s="11"/>
      <c r="L346" s="50"/>
      <c r="M346" s="50"/>
      <c r="N346" s="50"/>
      <c r="O346" s="50"/>
      <c r="P346" s="50"/>
      <c r="Q346" s="11"/>
      <c r="R346" s="50"/>
      <c r="S346" s="50"/>
      <c r="T346" s="50"/>
      <c r="U346" s="11"/>
      <c r="V346" s="50"/>
      <c r="W346" s="50"/>
      <c r="X346" s="50"/>
      <c r="Y346" s="50"/>
      <c r="Z346" s="50"/>
      <c r="AA346" s="11"/>
      <c r="AB346" s="50"/>
      <c r="AC346" s="50"/>
      <c r="AD346" s="50"/>
      <c r="AE346" s="11"/>
      <c r="AF346" s="50"/>
      <c r="AG346" s="50"/>
      <c r="AH346" s="50"/>
      <c r="AI346" s="11"/>
      <c r="AJ346" s="50"/>
      <c r="AK346" s="50"/>
      <c r="AL346" s="50"/>
      <c r="AM346" s="11"/>
      <c r="AN346" s="50"/>
      <c r="AO346" s="50"/>
      <c r="AP346" s="50"/>
      <c r="AQ346" s="11"/>
      <c r="AR346" s="50"/>
      <c r="AS346" s="50"/>
      <c r="AT346" s="50"/>
      <c r="AU346" s="11"/>
      <c r="AV346" s="50"/>
      <c r="AW346" s="50"/>
      <c r="AX346" s="50"/>
      <c r="AY346" s="50"/>
      <c r="AZ346" s="50"/>
      <c r="BA346" s="50"/>
      <c r="BB346" s="50"/>
      <c r="BC346" s="50"/>
      <c r="BD346" s="50"/>
      <c r="BE346" s="20"/>
      <c r="BF346" s="518"/>
      <c r="BG346" s="484"/>
      <c r="BH346" s="484"/>
      <c r="BI346" s="527"/>
      <c r="BJ346" s="484"/>
      <c r="BK346" s="484"/>
      <c r="BL346" s="484"/>
      <c r="BM346" s="484"/>
    </row>
    <row r="347" spans="1:65" s="22" customFormat="1" x14ac:dyDescent="0.25">
      <c r="A347" s="20"/>
      <c r="B347" s="515"/>
      <c r="C347" s="11"/>
      <c r="D347" s="11"/>
      <c r="E347" s="11"/>
      <c r="F347" s="21"/>
      <c r="G347" s="11"/>
      <c r="H347" s="50"/>
      <c r="I347" s="50"/>
      <c r="J347" s="50"/>
      <c r="K347" s="11"/>
      <c r="L347" s="50"/>
      <c r="M347" s="50"/>
      <c r="N347" s="50"/>
      <c r="O347" s="50"/>
      <c r="P347" s="50"/>
      <c r="Q347" s="11"/>
      <c r="R347" s="50"/>
      <c r="S347" s="50"/>
      <c r="T347" s="50"/>
      <c r="U347" s="11"/>
      <c r="V347" s="50"/>
      <c r="W347" s="50"/>
      <c r="X347" s="50"/>
      <c r="Y347" s="50"/>
      <c r="Z347" s="50"/>
      <c r="AA347" s="11"/>
      <c r="AB347" s="50"/>
      <c r="AC347" s="50"/>
      <c r="AD347" s="50"/>
      <c r="AE347" s="11"/>
      <c r="AF347" s="50"/>
      <c r="AG347" s="50"/>
      <c r="AH347" s="50"/>
      <c r="AI347" s="11"/>
      <c r="AJ347" s="50"/>
      <c r="AK347" s="50"/>
      <c r="AL347" s="50"/>
      <c r="AM347" s="11"/>
      <c r="AN347" s="50"/>
      <c r="AO347" s="50"/>
      <c r="AP347" s="50"/>
      <c r="AQ347" s="11"/>
      <c r="AR347" s="50"/>
      <c r="AS347" s="50"/>
      <c r="AT347" s="50"/>
      <c r="AU347" s="11"/>
      <c r="AV347" s="50"/>
      <c r="AW347" s="50"/>
      <c r="AX347" s="50"/>
      <c r="AY347" s="50"/>
      <c r="AZ347" s="50"/>
      <c r="BA347" s="50"/>
      <c r="BB347" s="50"/>
      <c r="BC347" s="50"/>
      <c r="BD347" s="50"/>
      <c r="BE347" s="20"/>
      <c r="BF347" s="518"/>
      <c r="BG347" s="484"/>
      <c r="BH347" s="484"/>
      <c r="BI347" s="527"/>
      <c r="BJ347" s="484"/>
      <c r="BK347" s="484"/>
      <c r="BL347" s="484"/>
      <c r="BM347" s="484"/>
    </row>
    <row r="348" spans="1:65" s="22" customFormat="1" x14ac:dyDescent="0.25">
      <c r="A348" s="20"/>
      <c r="B348" s="515"/>
      <c r="C348" s="11"/>
      <c r="D348" s="11"/>
      <c r="E348" s="11"/>
      <c r="F348" s="21"/>
      <c r="G348" s="11"/>
      <c r="H348" s="50"/>
      <c r="I348" s="50"/>
      <c r="J348" s="50"/>
      <c r="K348" s="11"/>
      <c r="L348" s="50"/>
      <c r="M348" s="50"/>
      <c r="N348" s="50"/>
      <c r="O348" s="50"/>
      <c r="P348" s="50"/>
      <c r="Q348" s="11"/>
      <c r="R348" s="50"/>
      <c r="S348" s="50"/>
      <c r="T348" s="50"/>
      <c r="U348" s="11"/>
      <c r="V348" s="50"/>
      <c r="W348" s="50"/>
      <c r="X348" s="50"/>
      <c r="Y348" s="50"/>
      <c r="Z348" s="50"/>
      <c r="AA348" s="11"/>
      <c r="AB348" s="50"/>
      <c r="AC348" s="50"/>
      <c r="AD348" s="50"/>
      <c r="AE348" s="11"/>
      <c r="AF348" s="50"/>
      <c r="AG348" s="50"/>
      <c r="AH348" s="50"/>
      <c r="AI348" s="11"/>
      <c r="AJ348" s="50"/>
      <c r="AK348" s="50"/>
      <c r="AL348" s="50"/>
      <c r="AM348" s="11"/>
      <c r="AN348" s="50"/>
      <c r="AO348" s="50"/>
      <c r="AP348" s="50"/>
      <c r="AQ348" s="11"/>
      <c r="AR348" s="50"/>
      <c r="AS348" s="50"/>
      <c r="AT348" s="50"/>
      <c r="AU348" s="11"/>
      <c r="AV348" s="50"/>
      <c r="AW348" s="50"/>
      <c r="AX348" s="50"/>
      <c r="AY348" s="50"/>
      <c r="AZ348" s="50"/>
      <c r="BA348" s="50"/>
      <c r="BB348" s="50"/>
      <c r="BC348" s="50"/>
      <c r="BD348" s="50"/>
      <c r="BE348" s="20"/>
      <c r="BF348" s="518"/>
      <c r="BG348" s="484"/>
      <c r="BH348" s="484"/>
      <c r="BI348" s="527"/>
      <c r="BJ348" s="484"/>
      <c r="BK348" s="484"/>
      <c r="BL348" s="484"/>
      <c r="BM348" s="484"/>
    </row>
    <row r="349" spans="1:65" s="22" customFormat="1" x14ac:dyDescent="0.25">
      <c r="A349" s="20"/>
      <c r="B349" s="515"/>
      <c r="C349" s="11"/>
      <c r="D349" s="11"/>
      <c r="E349" s="11"/>
      <c r="F349" s="21"/>
      <c r="G349" s="11"/>
      <c r="H349" s="50"/>
      <c r="I349" s="50"/>
      <c r="J349" s="50"/>
      <c r="K349" s="11"/>
      <c r="L349" s="50"/>
      <c r="M349" s="50"/>
      <c r="N349" s="50"/>
      <c r="O349" s="50"/>
      <c r="P349" s="50"/>
      <c r="Q349" s="11"/>
      <c r="R349" s="50"/>
      <c r="S349" s="50"/>
      <c r="T349" s="50"/>
      <c r="U349" s="11"/>
      <c r="V349" s="50"/>
      <c r="W349" s="50"/>
      <c r="X349" s="50"/>
      <c r="Y349" s="50"/>
      <c r="Z349" s="50"/>
      <c r="AA349" s="11"/>
      <c r="AB349" s="50"/>
      <c r="AC349" s="50"/>
      <c r="AD349" s="50"/>
      <c r="AE349" s="11"/>
      <c r="AF349" s="50"/>
      <c r="AG349" s="50"/>
      <c r="AH349" s="50"/>
      <c r="AI349" s="11"/>
      <c r="AJ349" s="50"/>
      <c r="AK349" s="50"/>
      <c r="AL349" s="50"/>
      <c r="AM349" s="11"/>
      <c r="AN349" s="50"/>
      <c r="AO349" s="50"/>
      <c r="AP349" s="50"/>
      <c r="AQ349" s="11"/>
      <c r="AR349" s="50"/>
      <c r="AS349" s="50"/>
      <c r="AT349" s="50"/>
      <c r="AU349" s="11"/>
      <c r="AV349" s="50"/>
      <c r="AW349" s="50"/>
      <c r="AX349" s="50"/>
      <c r="AY349" s="50"/>
      <c r="AZ349" s="50"/>
      <c r="BA349" s="50"/>
      <c r="BB349" s="50"/>
      <c r="BC349" s="50"/>
      <c r="BD349" s="50"/>
      <c r="BE349" s="20"/>
      <c r="BF349" s="518"/>
      <c r="BG349" s="484"/>
      <c r="BH349" s="484"/>
      <c r="BI349" s="527"/>
      <c r="BJ349" s="484"/>
      <c r="BK349" s="484"/>
      <c r="BL349" s="484"/>
      <c r="BM349" s="484"/>
    </row>
    <row r="350" spans="1:65" s="22" customFormat="1" x14ac:dyDescent="0.25">
      <c r="A350" s="20"/>
      <c r="B350" s="515"/>
      <c r="C350" s="11"/>
      <c r="D350" s="11"/>
      <c r="E350" s="11"/>
      <c r="F350" s="21"/>
      <c r="G350" s="11"/>
      <c r="H350" s="50"/>
      <c r="I350" s="50"/>
      <c r="J350" s="50"/>
      <c r="K350" s="11"/>
      <c r="L350" s="50"/>
      <c r="M350" s="50"/>
      <c r="N350" s="50"/>
      <c r="O350" s="50"/>
      <c r="P350" s="50"/>
      <c r="Q350" s="11"/>
      <c r="R350" s="50"/>
      <c r="S350" s="50"/>
      <c r="T350" s="50"/>
      <c r="U350" s="11"/>
      <c r="V350" s="50"/>
      <c r="W350" s="50"/>
      <c r="X350" s="50"/>
      <c r="Y350" s="50"/>
      <c r="Z350" s="50"/>
      <c r="AA350" s="11"/>
      <c r="AB350" s="50"/>
      <c r="AC350" s="50"/>
      <c r="AD350" s="50"/>
      <c r="AE350" s="11"/>
      <c r="AF350" s="50"/>
      <c r="AG350" s="50"/>
      <c r="AH350" s="50"/>
      <c r="AI350" s="11"/>
      <c r="AJ350" s="50"/>
      <c r="AK350" s="50"/>
      <c r="AL350" s="50"/>
      <c r="AM350" s="11"/>
      <c r="AN350" s="50"/>
      <c r="AO350" s="50"/>
      <c r="AP350" s="50"/>
      <c r="AQ350" s="11"/>
      <c r="AR350" s="50"/>
      <c r="AS350" s="50"/>
      <c r="AT350" s="50"/>
      <c r="AU350" s="11"/>
      <c r="AV350" s="50"/>
      <c r="AW350" s="50"/>
      <c r="AX350" s="50"/>
      <c r="AY350" s="50"/>
      <c r="AZ350" s="50"/>
      <c r="BA350" s="50"/>
      <c r="BB350" s="50"/>
      <c r="BC350" s="50"/>
      <c r="BD350" s="50"/>
      <c r="BE350" s="20"/>
      <c r="BF350" s="518"/>
      <c r="BG350" s="484"/>
      <c r="BH350" s="484"/>
      <c r="BI350" s="527"/>
      <c r="BJ350" s="484"/>
      <c r="BK350" s="484"/>
      <c r="BL350" s="484"/>
      <c r="BM350" s="484"/>
    </row>
    <row r="351" spans="1:65" s="22" customFormat="1" x14ac:dyDescent="0.25">
      <c r="A351" s="20"/>
      <c r="B351" s="515"/>
      <c r="C351" s="11"/>
      <c r="D351" s="11"/>
      <c r="E351" s="11"/>
      <c r="F351" s="21"/>
      <c r="G351" s="11"/>
      <c r="H351" s="50"/>
      <c r="I351" s="50"/>
      <c r="J351" s="50"/>
      <c r="K351" s="11"/>
      <c r="L351" s="50"/>
      <c r="M351" s="50"/>
      <c r="N351" s="50"/>
      <c r="O351" s="50"/>
      <c r="P351" s="50"/>
      <c r="Q351" s="11"/>
      <c r="R351" s="50"/>
      <c r="S351" s="50"/>
      <c r="T351" s="50"/>
      <c r="U351" s="11"/>
      <c r="V351" s="50"/>
      <c r="W351" s="50"/>
      <c r="X351" s="50"/>
      <c r="Y351" s="50"/>
      <c r="Z351" s="50"/>
      <c r="AA351" s="11"/>
      <c r="AB351" s="50"/>
      <c r="AC351" s="50"/>
      <c r="AD351" s="50"/>
      <c r="AE351" s="11"/>
      <c r="AF351" s="50"/>
      <c r="AG351" s="50"/>
      <c r="AH351" s="50"/>
      <c r="AI351" s="11"/>
      <c r="AJ351" s="50"/>
      <c r="AK351" s="50"/>
      <c r="AL351" s="50"/>
      <c r="AM351" s="11"/>
      <c r="AN351" s="50"/>
      <c r="AO351" s="50"/>
      <c r="AP351" s="50"/>
      <c r="AQ351" s="11"/>
      <c r="AR351" s="50"/>
      <c r="AS351" s="50"/>
      <c r="AT351" s="50"/>
      <c r="AU351" s="11"/>
      <c r="AV351" s="50"/>
      <c r="AW351" s="50"/>
      <c r="AX351" s="50"/>
      <c r="AY351" s="50"/>
      <c r="AZ351" s="50"/>
      <c r="BA351" s="50"/>
      <c r="BB351" s="50"/>
      <c r="BC351" s="50"/>
      <c r="BD351" s="50"/>
      <c r="BE351" s="20"/>
      <c r="BF351" s="518"/>
      <c r="BG351" s="484"/>
      <c r="BH351" s="484"/>
      <c r="BI351" s="527"/>
      <c r="BJ351" s="484"/>
      <c r="BK351" s="484"/>
      <c r="BL351" s="484"/>
      <c r="BM351" s="484"/>
    </row>
    <row r="352" spans="1:65" s="22" customFormat="1" x14ac:dyDescent="0.25">
      <c r="A352" s="20"/>
      <c r="B352" s="515"/>
      <c r="C352" s="11"/>
      <c r="D352" s="11"/>
      <c r="E352" s="11"/>
      <c r="F352" s="21"/>
      <c r="G352" s="11"/>
      <c r="H352" s="50"/>
      <c r="I352" s="50"/>
      <c r="J352" s="50"/>
      <c r="K352" s="11"/>
      <c r="L352" s="50"/>
      <c r="M352" s="50"/>
      <c r="N352" s="50"/>
      <c r="O352" s="50"/>
      <c r="P352" s="50"/>
      <c r="Q352" s="11"/>
      <c r="R352" s="50"/>
      <c r="S352" s="50"/>
      <c r="T352" s="50"/>
      <c r="U352" s="11"/>
      <c r="V352" s="50"/>
      <c r="W352" s="50"/>
      <c r="X352" s="50"/>
      <c r="Y352" s="50"/>
      <c r="Z352" s="50"/>
      <c r="AA352" s="11"/>
      <c r="AB352" s="50"/>
      <c r="AC352" s="50"/>
      <c r="AD352" s="50"/>
      <c r="AE352" s="11"/>
      <c r="AF352" s="50"/>
      <c r="AG352" s="50"/>
      <c r="AH352" s="50"/>
      <c r="AI352" s="11"/>
      <c r="AJ352" s="50"/>
      <c r="AK352" s="50"/>
      <c r="AL352" s="50"/>
      <c r="AM352" s="11"/>
      <c r="AN352" s="50"/>
      <c r="AO352" s="50"/>
      <c r="AP352" s="50"/>
      <c r="AQ352" s="11"/>
      <c r="AR352" s="50"/>
      <c r="AS352" s="50"/>
      <c r="AT352" s="50"/>
      <c r="AU352" s="11"/>
      <c r="AV352" s="50"/>
      <c r="AW352" s="50"/>
      <c r="AX352" s="50"/>
      <c r="AY352" s="50"/>
      <c r="AZ352" s="50"/>
      <c r="BA352" s="50"/>
      <c r="BB352" s="50"/>
      <c r="BC352" s="50"/>
      <c r="BD352" s="50"/>
      <c r="BE352" s="20"/>
      <c r="BF352" s="518"/>
      <c r="BG352" s="484"/>
      <c r="BH352" s="484"/>
      <c r="BI352" s="527"/>
      <c r="BJ352" s="484"/>
      <c r="BK352" s="484"/>
      <c r="BL352" s="484"/>
      <c r="BM352" s="484"/>
    </row>
    <row r="353" spans="1:65" s="22" customFormat="1" x14ac:dyDescent="0.25">
      <c r="A353" s="20"/>
      <c r="B353" s="515"/>
      <c r="C353" s="11"/>
      <c r="D353" s="11"/>
      <c r="E353" s="11"/>
      <c r="F353" s="21"/>
      <c r="G353" s="11"/>
      <c r="H353" s="50"/>
      <c r="I353" s="50"/>
      <c r="J353" s="50"/>
      <c r="K353" s="11"/>
      <c r="L353" s="50"/>
      <c r="M353" s="50"/>
      <c r="N353" s="50"/>
      <c r="O353" s="50"/>
      <c r="P353" s="50"/>
      <c r="Q353" s="11"/>
      <c r="R353" s="50"/>
      <c r="S353" s="50"/>
      <c r="T353" s="50"/>
      <c r="U353" s="11"/>
      <c r="V353" s="50"/>
      <c r="W353" s="50"/>
      <c r="X353" s="50"/>
      <c r="Y353" s="50"/>
      <c r="Z353" s="50"/>
      <c r="AA353" s="11"/>
      <c r="AB353" s="50"/>
      <c r="AC353" s="50"/>
      <c r="AD353" s="50"/>
      <c r="AE353" s="11"/>
      <c r="AF353" s="50"/>
      <c r="AG353" s="50"/>
      <c r="AH353" s="50"/>
      <c r="AI353" s="11"/>
      <c r="AJ353" s="50"/>
      <c r="AK353" s="50"/>
      <c r="AL353" s="50"/>
      <c r="AM353" s="11"/>
      <c r="AN353" s="50"/>
      <c r="AO353" s="50"/>
      <c r="AP353" s="50"/>
      <c r="AQ353" s="11"/>
      <c r="AR353" s="50"/>
      <c r="AS353" s="50"/>
      <c r="AT353" s="50"/>
      <c r="AU353" s="11"/>
      <c r="AV353" s="50"/>
      <c r="AW353" s="50"/>
      <c r="AX353" s="50"/>
      <c r="AY353" s="50"/>
      <c r="AZ353" s="50"/>
      <c r="BA353" s="50"/>
      <c r="BB353" s="50"/>
      <c r="BC353" s="50"/>
      <c r="BD353" s="50"/>
      <c r="BE353" s="20"/>
      <c r="BF353" s="518"/>
      <c r="BG353" s="484"/>
      <c r="BH353" s="484"/>
      <c r="BI353" s="527"/>
      <c r="BJ353" s="484"/>
      <c r="BK353" s="484"/>
      <c r="BL353" s="484"/>
      <c r="BM353" s="484"/>
    </row>
    <row r="354" spans="1:65" s="22" customFormat="1" x14ac:dyDescent="0.25">
      <c r="A354" s="20"/>
      <c r="B354" s="515"/>
      <c r="C354" s="11"/>
      <c r="D354" s="11"/>
      <c r="E354" s="11"/>
      <c r="F354" s="21"/>
      <c r="G354" s="11"/>
      <c r="H354" s="50"/>
      <c r="I354" s="50"/>
      <c r="J354" s="50"/>
      <c r="K354" s="11"/>
      <c r="L354" s="50"/>
      <c r="M354" s="50"/>
      <c r="N354" s="50"/>
      <c r="O354" s="50"/>
      <c r="P354" s="50"/>
      <c r="Q354" s="11"/>
      <c r="R354" s="50"/>
      <c r="S354" s="50"/>
      <c r="T354" s="50"/>
      <c r="U354" s="11"/>
      <c r="V354" s="50"/>
      <c r="W354" s="50"/>
      <c r="X354" s="50"/>
      <c r="Y354" s="50"/>
      <c r="Z354" s="50"/>
      <c r="AA354" s="11"/>
      <c r="AB354" s="50"/>
      <c r="AC354" s="50"/>
      <c r="AD354" s="50"/>
      <c r="AE354" s="11"/>
      <c r="AF354" s="50"/>
      <c r="AG354" s="50"/>
      <c r="AH354" s="50"/>
      <c r="AI354" s="11"/>
      <c r="AJ354" s="50"/>
      <c r="AK354" s="50"/>
      <c r="AL354" s="50"/>
      <c r="AM354" s="11"/>
      <c r="AN354" s="50"/>
      <c r="AO354" s="50"/>
      <c r="AP354" s="50"/>
      <c r="AQ354" s="11"/>
      <c r="AR354" s="50"/>
      <c r="AS354" s="50"/>
      <c r="AT354" s="50"/>
      <c r="AU354" s="11"/>
      <c r="AV354" s="50"/>
      <c r="AW354" s="50"/>
      <c r="AX354" s="50"/>
      <c r="AY354" s="50"/>
      <c r="AZ354" s="50"/>
      <c r="BA354" s="50"/>
      <c r="BB354" s="50"/>
      <c r="BC354" s="50"/>
      <c r="BD354" s="50"/>
      <c r="BE354" s="20"/>
      <c r="BF354" s="518"/>
      <c r="BG354" s="484"/>
      <c r="BH354" s="484"/>
      <c r="BI354" s="527"/>
      <c r="BJ354" s="484"/>
      <c r="BK354" s="484"/>
      <c r="BL354" s="484"/>
      <c r="BM354" s="484"/>
    </row>
    <row r="355" spans="1:65" s="22" customFormat="1" x14ac:dyDescent="0.25">
      <c r="A355" s="20"/>
      <c r="B355" s="515"/>
      <c r="C355" s="11"/>
      <c r="D355" s="11"/>
      <c r="E355" s="11"/>
      <c r="F355" s="21"/>
      <c r="G355" s="11"/>
      <c r="H355" s="50"/>
      <c r="I355" s="50"/>
      <c r="J355" s="50"/>
      <c r="K355" s="11"/>
      <c r="L355" s="50"/>
      <c r="M355" s="50"/>
      <c r="N355" s="50"/>
      <c r="O355" s="50"/>
      <c r="P355" s="50"/>
      <c r="Q355" s="11"/>
      <c r="R355" s="50"/>
      <c r="S355" s="50"/>
      <c r="T355" s="50"/>
      <c r="U355" s="11"/>
      <c r="V355" s="50"/>
      <c r="W355" s="50"/>
      <c r="X355" s="50"/>
      <c r="Y355" s="50"/>
      <c r="Z355" s="50"/>
      <c r="AA355" s="11"/>
      <c r="AB355" s="50"/>
      <c r="AC355" s="50"/>
      <c r="AD355" s="50"/>
      <c r="AE355" s="11"/>
      <c r="AF355" s="50"/>
      <c r="AG355" s="50"/>
      <c r="AH355" s="50"/>
      <c r="AI355" s="11"/>
      <c r="AJ355" s="50"/>
      <c r="AK355" s="50"/>
      <c r="AL355" s="50"/>
      <c r="AM355" s="11"/>
      <c r="AN355" s="50"/>
      <c r="AO355" s="50"/>
      <c r="AP355" s="50"/>
      <c r="AQ355" s="11"/>
      <c r="AR355" s="50"/>
      <c r="AS355" s="50"/>
      <c r="AT355" s="50"/>
      <c r="AU355" s="11"/>
      <c r="AV355" s="50"/>
      <c r="AW355" s="50"/>
      <c r="AX355" s="50"/>
      <c r="AY355" s="50"/>
      <c r="AZ355" s="50"/>
      <c r="BA355" s="50"/>
      <c r="BB355" s="50"/>
      <c r="BC355" s="50"/>
      <c r="BD355" s="50"/>
      <c r="BE355" s="20"/>
      <c r="BF355" s="518"/>
      <c r="BG355" s="484"/>
      <c r="BH355" s="484"/>
      <c r="BI355" s="527"/>
      <c r="BJ355" s="484"/>
      <c r="BK355" s="484"/>
      <c r="BL355" s="484"/>
      <c r="BM355" s="484"/>
    </row>
    <row r="356" spans="1:65" s="22" customFormat="1" x14ac:dyDescent="0.25">
      <c r="A356" s="20"/>
      <c r="B356" s="515"/>
      <c r="C356" s="11"/>
      <c r="D356" s="11"/>
      <c r="E356" s="11"/>
      <c r="F356" s="21"/>
      <c r="G356" s="11"/>
      <c r="H356" s="50"/>
      <c r="I356" s="50"/>
      <c r="J356" s="50"/>
      <c r="K356" s="11"/>
      <c r="L356" s="50"/>
      <c r="M356" s="50"/>
      <c r="N356" s="50"/>
      <c r="O356" s="50"/>
      <c r="P356" s="50"/>
      <c r="Q356" s="11"/>
      <c r="R356" s="50"/>
      <c r="S356" s="50"/>
      <c r="T356" s="50"/>
      <c r="U356" s="11"/>
      <c r="V356" s="50"/>
      <c r="W356" s="50"/>
      <c r="X356" s="50"/>
      <c r="Y356" s="50"/>
      <c r="Z356" s="50"/>
      <c r="AA356" s="11"/>
      <c r="AB356" s="50"/>
      <c r="AC356" s="50"/>
      <c r="AD356" s="50"/>
      <c r="AE356" s="11"/>
      <c r="AF356" s="50"/>
      <c r="AG356" s="50"/>
      <c r="AH356" s="50"/>
      <c r="AI356" s="11"/>
      <c r="AJ356" s="50"/>
      <c r="AK356" s="50"/>
      <c r="AL356" s="50"/>
      <c r="AM356" s="11"/>
      <c r="AN356" s="50"/>
      <c r="AO356" s="50"/>
      <c r="AP356" s="50"/>
      <c r="AQ356" s="11"/>
      <c r="AR356" s="50"/>
      <c r="AS356" s="50"/>
      <c r="AT356" s="50"/>
      <c r="AU356" s="11"/>
      <c r="AV356" s="50"/>
      <c r="AW356" s="50"/>
      <c r="AX356" s="50"/>
      <c r="AY356" s="50"/>
      <c r="AZ356" s="50"/>
      <c r="BA356" s="50"/>
      <c r="BB356" s="50"/>
      <c r="BC356" s="50"/>
      <c r="BD356" s="50"/>
      <c r="BE356" s="20"/>
      <c r="BF356" s="518"/>
      <c r="BG356" s="484"/>
      <c r="BH356" s="484"/>
      <c r="BI356" s="527"/>
      <c r="BJ356" s="484"/>
      <c r="BK356" s="484"/>
      <c r="BL356" s="484"/>
      <c r="BM356" s="484"/>
    </row>
    <row r="357" spans="1:65" s="22" customFormat="1" x14ac:dyDescent="0.25">
      <c r="A357" s="20"/>
      <c r="B357" s="515"/>
      <c r="C357" s="11"/>
      <c r="D357" s="11"/>
      <c r="E357" s="11"/>
      <c r="F357" s="21"/>
      <c r="G357" s="11"/>
      <c r="H357" s="50"/>
      <c r="I357" s="50"/>
      <c r="J357" s="50"/>
      <c r="K357" s="11"/>
      <c r="L357" s="50"/>
      <c r="M357" s="50"/>
      <c r="N357" s="50"/>
      <c r="O357" s="50"/>
      <c r="P357" s="50"/>
      <c r="Q357" s="11"/>
      <c r="R357" s="50"/>
      <c r="S357" s="50"/>
      <c r="T357" s="50"/>
      <c r="U357" s="11"/>
      <c r="V357" s="50"/>
      <c r="W357" s="50"/>
      <c r="X357" s="50"/>
      <c r="Y357" s="50"/>
      <c r="Z357" s="50"/>
      <c r="AA357" s="11"/>
      <c r="AB357" s="50"/>
      <c r="AC357" s="50"/>
      <c r="AD357" s="50"/>
      <c r="AE357" s="11"/>
      <c r="AF357" s="50"/>
      <c r="AG357" s="50"/>
      <c r="AH357" s="50"/>
      <c r="AI357" s="11"/>
      <c r="AJ357" s="50"/>
      <c r="AK357" s="50"/>
      <c r="AL357" s="50"/>
      <c r="AM357" s="11"/>
      <c r="AN357" s="50"/>
      <c r="AO357" s="50"/>
      <c r="AP357" s="50"/>
      <c r="AQ357" s="11"/>
      <c r="AR357" s="50"/>
      <c r="AS357" s="50"/>
      <c r="AT357" s="50"/>
      <c r="AU357" s="11"/>
      <c r="AV357" s="50"/>
      <c r="AW357" s="50"/>
      <c r="AX357" s="50"/>
      <c r="AY357" s="50"/>
      <c r="AZ357" s="50"/>
      <c r="BA357" s="50"/>
      <c r="BB357" s="50"/>
      <c r="BC357" s="50"/>
      <c r="BD357" s="50"/>
      <c r="BE357" s="20"/>
      <c r="BF357" s="518"/>
      <c r="BG357" s="484"/>
      <c r="BH357" s="484"/>
      <c r="BI357" s="527"/>
      <c r="BJ357" s="484"/>
      <c r="BK357" s="484"/>
      <c r="BL357" s="484"/>
      <c r="BM357" s="484"/>
    </row>
    <row r="358" spans="1:65" s="22" customFormat="1" x14ac:dyDescent="0.25">
      <c r="A358" s="20"/>
      <c r="B358" s="515"/>
      <c r="C358" s="11"/>
      <c r="D358" s="11"/>
      <c r="E358" s="11"/>
      <c r="F358" s="21"/>
      <c r="G358" s="11"/>
      <c r="H358" s="50"/>
      <c r="I358" s="50"/>
      <c r="J358" s="50"/>
      <c r="K358" s="11"/>
      <c r="L358" s="50"/>
      <c r="M358" s="50"/>
      <c r="N358" s="50"/>
      <c r="O358" s="50"/>
      <c r="P358" s="50"/>
      <c r="Q358" s="11"/>
      <c r="R358" s="50"/>
      <c r="S358" s="50"/>
      <c r="T358" s="50"/>
      <c r="U358" s="11"/>
      <c r="V358" s="50"/>
      <c r="W358" s="50"/>
      <c r="X358" s="50"/>
      <c r="Y358" s="50"/>
      <c r="Z358" s="50"/>
      <c r="AA358" s="11"/>
      <c r="AB358" s="50"/>
      <c r="AC358" s="50"/>
      <c r="AD358" s="50"/>
      <c r="AE358" s="11"/>
      <c r="AF358" s="50"/>
      <c r="AG358" s="50"/>
      <c r="AH358" s="50"/>
      <c r="AI358" s="11"/>
      <c r="AJ358" s="50"/>
      <c r="AK358" s="50"/>
      <c r="AL358" s="50"/>
      <c r="AM358" s="11"/>
      <c r="AN358" s="50"/>
      <c r="AO358" s="50"/>
      <c r="AP358" s="50"/>
      <c r="AQ358" s="11"/>
      <c r="AR358" s="50"/>
      <c r="AS358" s="50"/>
      <c r="AT358" s="50"/>
      <c r="AU358" s="11"/>
      <c r="AV358" s="50"/>
      <c r="AW358" s="50"/>
      <c r="AX358" s="50"/>
      <c r="AY358" s="50"/>
      <c r="AZ358" s="50"/>
      <c r="BA358" s="50"/>
      <c r="BB358" s="50"/>
      <c r="BC358" s="50"/>
      <c r="BD358" s="50"/>
      <c r="BE358" s="20"/>
      <c r="BF358" s="518"/>
      <c r="BG358" s="484"/>
      <c r="BH358" s="484"/>
      <c r="BI358" s="527"/>
      <c r="BJ358" s="484"/>
      <c r="BK358" s="484"/>
      <c r="BL358" s="484"/>
      <c r="BM358" s="484"/>
    </row>
    <row r="359" spans="1:65" s="22" customFormat="1" x14ac:dyDescent="0.25">
      <c r="A359" s="20"/>
      <c r="B359" s="515"/>
      <c r="C359" s="11"/>
      <c r="D359" s="11"/>
      <c r="E359" s="11"/>
      <c r="F359" s="21"/>
      <c r="G359" s="11"/>
      <c r="H359" s="50"/>
      <c r="I359" s="50"/>
      <c r="J359" s="50"/>
      <c r="K359" s="11"/>
      <c r="L359" s="50"/>
      <c r="M359" s="50"/>
      <c r="N359" s="50"/>
      <c r="O359" s="50"/>
      <c r="P359" s="50"/>
      <c r="Q359" s="11"/>
      <c r="R359" s="50"/>
      <c r="S359" s="50"/>
      <c r="T359" s="50"/>
      <c r="U359" s="11"/>
      <c r="V359" s="50"/>
      <c r="W359" s="50"/>
      <c r="X359" s="50"/>
      <c r="Y359" s="50"/>
      <c r="Z359" s="50"/>
      <c r="AA359" s="11"/>
      <c r="AB359" s="50"/>
      <c r="AC359" s="50"/>
      <c r="AD359" s="50"/>
      <c r="AE359" s="11"/>
      <c r="AF359" s="50"/>
      <c r="AG359" s="50"/>
      <c r="AH359" s="50"/>
      <c r="AI359" s="11"/>
      <c r="AJ359" s="50"/>
      <c r="AK359" s="50"/>
      <c r="AL359" s="50"/>
      <c r="AM359" s="11"/>
      <c r="AN359" s="50"/>
      <c r="AO359" s="50"/>
      <c r="AP359" s="50"/>
      <c r="AQ359" s="11"/>
      <c r="AR359" s="50"/>
      <c r="AS359" s="50"/>
      <c r="AT359" s="50"/>
      <c r="AU359" s="11"/>
      <c r="AV359" s="50"/>
      <c r="AW359" s="50"/>
      <c r="AX359" s="50"/>
      <c r="AY359" s="50"/>
      <c r="AZ359" s="50"/>
      <c r="BA359" s="50"/>
      <c r="BB359" s="50"/>
      <c r="BC359" s="50"/>
      <c r="BD359" s="50"/>
      <c r="BE359" s="20"/>
      <c r="BF359" s="518"/>
      <c r="BG359" s="484"/>
      <c r="BH359" s="484"/>
      <c r="BI359" s="527"/>
      <c r="BJ359" s="484"/>
      <c r="BK359" s="484"/>
      <c r="BL359" s="484"/>
      <c r="BM359" s="484"/>
    </row>
    <row r="360" spans="1:65" s="22" customFormat="1" x14ac:dyDescent="0.25">
      <c r="A360" s="20"/>
      <c r="B360" s="515"/>
      <c r="C360" s="11"/>
      <c r="D360" s="11"/>
      <c r="E360" s="11"/>
      <c r="F360" s="21"/>
      <c r="G360" s="11"/>
      <c r="H360" s="50"/>
      <c r="I360" s="50"/>
      <c r="J360" s="50"/>
      <c r="K360" s="11"/>
      <c r="L360" s="50"/>
      <c r="M360" s="50"/>
      <c r="N360" s="50"/>
      <c r="O360" s="50"/>
      <c r="P360" s="50"/>
      <c r="Q360" s="11"/>
      <c r="R360" s="50"/>
      <c r="S360" s="50"/>
      <c r="T360" s="50"/>
      <c r="U360" s="11"/>
      <c r="V360" s="50"/>
      <c r="W360" s="50"/>
      <c r="X360" s="50"/>
      <c r="Y360" s="50"/>
      <c r="Z360" s="50"/>
      <c r="AA360" s="11"/>
      <c r="AB360" s="50"/>
      <c r="AC360" s="50"/>
      <c r="AD360" s="50"/>
      <c r="AE360" s="11"/>
      <c r="AF360" s="50"/>
      <c r="AG360" s="50"/>
      <c r="AH360" s="50"/>
      <c r="AI360" s="11"/>
      <c r="AJ360" s="50"/>
      <c r="AK360" s="50"/>
      <c r="AL360" s="50"/>
      <c r="AM360" s="11"/>
      <c r="AN360" s="50"/>
      <c r="AO360" s="50"/>
      <c r="AP360" s="50"/>
      <c r="AQ360" s="11"/>
      <c r="AR360" s="50"/>
      <c r="AS360" s="50"/>
      <c r="AT360" s="50"/>
      <c r="AU360" s="11"/>
      <c r="AV360" s="50"/>
      <c r="AW360" s="50"/>
      <c r="AX360" s="50"/>
      <c r="AY360" s="50"/>
      <c r="AZ360" s="50"/>
      <c r="BA360" s="50"/>
      <c r="BB360" s="50"/>
      <c r="BC360" s="50"/>
      <c r="BD360" s="50"/>
      <c r="BE360" s="20"/>
      <c r="BF360" s="518"/>
      <c r="BG360" s="484"/>
      <c r="BH360" s="484"/>
      <c r="BI360" s="527"/>
      <c r="BJ360" s="484"/>
      <c r="BK360" s="484"/>
      <c r="BL360" s="484"/>
      <c r="BM360" s="484"/>
    </row>
    <row r="361" spans="1:65" s="22" customFormat="1" x14ac:dyDescent="0.25">
      <c r="A361" s="20"/>
      <c r="B361" s="515"/>
      <c r="C361" s="11"/>
      <c r="D361" s="11"/>
      <c r="E361" s="11"/>
      <c r="F361" s="21"/>
      <c r="G361" s="11"/>
      <c r="H361" s="50"/>
      <c r="I361" s="50"/>
      <c r="J361" s="50"/>
      <c r="K361" s="11"/>
      <c r="L361" s="50"/>
      <c r="M361" s="50"/>
      <c r="N361" s="50"/>
      <c r="O361" s="50"/>
      <c r="P361" s="50"/>
      <c r="Q361" s="11"/>
      <c r="R361" s="50"/>
      <c r="S361" s="50"/>
      <c r="T361" s="50"/>
      <c r="U361" s="11"/>
      <c r="V361" s="50"/>
      <c r="W361" s="50"/>
      <c r="X361" s="50"/>
      <c r="Y361" s="50"/>
      <c r="Z361" s="50"/>
      <c r="AA361" s="11"/>
      <c r="AB361" s="50"/>
      <c r="AC361" s="50"/>
      <c r="AD361" s="50"/>
      <c r="AE361" s="11"/>
      <c r="AF361" s="50"/>
      <c r="AG361" s="50"/>
      <c r="AH361" s="50"/>
      <c r="AI361" s="11"/>
      <c r="AJ361" s="50"/>
      <c r="AK361" s="50"/>
      <c r="AL361" s="50"/>
      <c r="AM361" s="11"/>
      <c r="AN361" s="50"/>
      <c r="AO361" s="50"/>
      <c r="AP361" s="50"/>
      <c r="AQ361" s="11"/>
      <c r="AR361" s="50"/>
      <c r="AS361" s="50"/>
      <c r="AT361" s="50"/>
      <c r="AU361" s="11"/>
      <c r="AV361" s="50"/>
      <c r="AW361" s="50"/>
      <c r="AX361" s="50"/>
      <c r="AY361" s="50"/>
      <c r="AZ361" s="50"/>
      <c r="BA361" s="50"/>
      <c r="BB361" s="50"/>
      <c r="BC361" s="50"/>
      <c r="BD361" s="50"/>
      <c r="BE361" s="20"/>
      <c r="BF361" s="518"/>
      <c r="BG361" s="484"/>
      <c r="BH361" s="484"/>
      <c r="BI361" s="527"/>
      <c r="BJ361" s="484"/>
      <c r="BK361" s="484"/>
      <c r="BL361" s="484"/>
      <c r="BM361" s="484"/>
    </row>
    <row r="362" spans="1:65" s="22" customFormat="1" x14ac:dyDescent="0.25">
      <c r="A362" s="20"/>
      <c r="B362" s="515"/>
      <c r="C362" s="11"/>
      <c r="D362" s="11"/>
      <c r="E362" s="11"/>
      <c r="F362" s="21"/>
      <c r="G362" s="11"/>
      <c r="H362" s="50"/>
      <c r="I362" s="50"/>
      <c r="J362" s="50"/>
      <c r="K362" s="11"/>
      <c r="L362" s="50"/>
      <c r="M362" s="50"/>
      <c r="N362" s="50"/>
      <c r="O362" s="50"/>
      <c r="P362" s="50"/>
      <c r="Q362" s="11"/>
      <c r="R362" s="50"/>
      <c r="S362" s="50"/>
      <c r="T362" s="50"/>
      <c r="U362" s="11"/>
      <c r="V362" s="50"/>
      <c r="W362" s="50"/>
      <c r="X362" s="50"/>
      <c r="Y362" s="50"/>
      <c r="Z362" s="50"/>
      <c r="AA362" s="11"/>
      <c r="AB362" s="50"/>
      <c r="AC362" s="50"/>
      <c r="AD362" s="50"/>
      <c r="AE362" s="11"/>
      <c r="AF362" s="50"/>
      <c r="AG362" s="50"/>
      <c r="AH362" s="50"/>
      <c r="AI362" s="11"/>
      <c r="AJ362" s="50"/>
      <c r="AK362" s="50"/>
      <c r="AL362" s="50"/>
      <c r="AM362" s="11"/>
      <c r="AN362" s="50"/>
      <c r="AO362" s="50"/>
      <c r="AP362" s="50"/>
      <c r="AQ362" s="11"/>
      <c r="AR362" s="50"/>
      <c r="AS362" s="50"/>
      <c r="AT362" s="50"/>
      <c r="AU362" s="11"/>
      <c r="AV362" s="50"/>
      <c r="AW362" s="50"/>
      <c r="AX362" s="50"/>
      <c r="AY362" s="50"/>
      <c r="AZ362" s="50"/>
      <c r="BA362" s="50"/>
      <c r="BB362" s="50"/>
      <c r="BC362" s="50"/>
      <c r="BD362" s="50"/>
      <c r="BE362" s="20"/>
      <c r="BF362" s="518"/>
      <c r="BG362" s="484"/>
      <c r="BH362" s="484"/>
      <c r="BI362" s="527"/>
      <c r="BJ362" s="484"/>
      <c r="BK362" s="484"/>
      <c r="BL362" s="484"/>
      <c r="BM362" s="484"/>
    </row>
    <row r="363" spans="1:65" s="22" customFormat="1" x14ac:dyDescent="0.25">
      <c r="A363" s="20"/>
      <c r="B363" s="515"/>
      <c r="C363" s="11"/>
      <c r="D363" s="11"/>
      <c r="E363" s="11"/>
      <c r="F363" s="21"/>
      <c r="G363" s="11"/>
      <c r="H363" s="50"/>
      <c r="I363" s="50"/>
      <c r="J363" s="50"/>
      <c r="K363" s="11"/>
      <c r="L363" s="50"/>
      <c r="M363" s="50"/>
      <c r="N363" s="50"/>
      <c r="O363" s="50"/>
      <c r="P363" s="50"/>
      <c r="Q363" s="11"/>
      <c r="R363" s="50"/>
      <c r="S363" s="50"/>
      <c r="T363" s="50"/>
      <c r="U363" s="11"/>
      <c r="V363" s="50"/>
      <c r="W363" s="50"/>
      <c r="X363" s="50"/>
      <c r="Y363" s="50"/>
      <c r="Z363" s="50"/>
      <c r="AA363" s="11"/>
      <c r="AB363" s="50"/>
      <c r="AC363" s="50"/>
      <c r="AD363" s="50"/>
      <c r="AE363" s="11"/>
      <c r="AF363" s="50"/>
      <c r="AG363" s="50"/>
      <c r="AH363" s="50"/>
      <c r="AI363" s="11"/>
      <c r="AJ363" s="50"/>
      <c r="AK363" s="50"/>
      <c r="AL363" s="50"/>
      <c r="AM363" s="11"/>
      <c r="AN363" s="50"/>
      <c r="AO363" s="50"/>
      <c r="AP363" s="50"/>
      <c r="AQ363" s="11"/>
      <c r="AR363" s="50"/>
      <c r="AS363" s="50"/>
      <c r="AT363" s="50"/>
      <c r="AU363" s="11"/>
      <c r="AV363" s="50"/>
      <c r="AW363" s="50"/>
      <c r="AX363" s="50"/>
      <c r="AY363" s="50"/>
      <c r="AZ363" s="50"/>
      <c r="BA363" s="50"/>
      <c r="BB363" s="50"/>
      <c r="BC363" s="50"/>
      <c r="BD363" s="50"/>
      <c r="BE363" s="20"/>
      <c r="BF363" s="518"/>
      <c r="BG363" s="484"/>
      <c r="BH363" s="484"/>
      <c r="BI363" s="527"/>
      <c r="BJ363" s="484"/>
      <c r="BK363" s="484"/>
      <c r="BL363" s="484"/>
      <c r="BM363" s="484"/>
    </row>
    <row r="364" spans="1:65" s="22" customFormat="1" x14ac:dyDescent="0.25">
      <c r="A364" s="20"/>
      <c r="B364" s="515"/>
      <c r="C364" s="11"/>
      <c r="D364" s="11"/>
      <c r="E364" s="11"/>
      <c r="F364" s="21"/>
      <c r="G364" s="11"/>
      <c r="H364" s="50"/>
      <c r="I364" s="50"/>
      <c r="J364" s="50"/>
      <c r="K364" s="11"/>
      <c r="L364" s="50"/>
      <c r="M364" s="50"/>
      <c r="N364" s="50"/>
      <c r="O364" s="50"/>
      <c r="P364" s="50"/>
      <c r="Q364" s="11"/>
      <c r="R364" s="50"/>
      <c r="S364" s="50"/>
      <c r="T364" s="50"/>
      <c r="U364" s="11"/>
      <c r="V364" s="50"/>
      <c r="W364" s="50"/>
      <c r="X364" s="50"/>
      <c r="Y364" s="50"/>
      <c r="Z364" s="50"/>
      <c r="AA364" s="11"/>
      <c r="AB364" s="50"/>
      <c r="AC364" s="50"/>
      <c r="AD364" s="50"/>
      <c r="AE364" s="11"/>
      <c r="AF364" s="50"/>
      <c r="AG364" s="50"/>
      <c r="AH364" s="50"/>
      <c r="AI364" s="11"/>
      <c r="AJ364" s="50"/>
      <c r="AK364" s="50"/>
      <c r="AL364" s="50"/>
      <c r="AM364" s="11"/>
      <c r="AN364" s="50"/>
      <c r="AO364" s="50"/>
      <c r="AP364" s="50"/>
      <c r="AQ364" s="11"/>
      <c r="AR364" s="50"/>
      <c r="AS364" s="50"/>
      <c r="AT364" s="50"/>
      <c r="AU364" s="11"/>
      <c r="AV364" s="50"/>
      <c r="AW364" s="50"/>
      <c r="AX364" s="50"/>
      <c r="AY364" s="50"/>
      <c r="AZ364" s="50"/>
      <c r="BA364" s="50"/>
      <c r="BB364" s="50"/>
      <c r="BC364" s="50"/>
      <c r="BD364" s="50"/>
      <c r="BE364" s="20"/>
      <c r="BF364" s="518"/>
      <c r="BG364" s="484"/>
      <c r="BH364" s="484"/>
      <c r="BI364" s="527"/>
      <c r="BJ364" s="484"/>
      <c r="BK364" s="484"/>
      <c r="BL364" s="484"/>
      <c r="BM364" s="484"/>
    </row>
    <row r="365" spans="1:65" s="22" customFormat="1" x14ac:dyDescent="0.25">
      <c r="A365" s="20"/>
      <c r="B365" s="515"/>
      <c r="C365" s="11"/>
      <c r="D365" s="11"/>
      <c r="E365" s="11"/>
      <c r="F365" s="21"/>
      <c r="G365" s="11"/>
      <c r="H365" s="50"/>
      <c r="I365" s="50"/>
      <c r="J365" s="50"/>
      <c r="K365" s="11"/>
      <c r="L365" s="50"/>
      <c r="M365" s="50"/>
      <c r="N365" s="50"/>
      <c r="O365" s="50"/>
      <c r="P365" s="50"/>
      <c r="Q365" s="11"/>
      <c r="R365" s="50"/>
      <c r="S365" s="50"/>
      <c r="T365" s="50"/>
      <c r="U365" s="11"/>
      <c r="V365" s="50"/>
      <c r="W365" s="50"/>
      <c r="X365" s="50"/>
      <c r="Y365" s="50"/>
      <c r="Z365" s="50"/>
      <c r="AA365" s="11"/>
      <c r="AB365" s="50"/>
      <c r="AC365" s="50"/>
      <c r="AD365" s="50"/>
      <c r="AE365" s="11"/>
      <c r="AF365" s="50"/>
      <c r="AG365" s="50"/>
      <c r="AH365" s="50"/>
      <c r="AI365" s="11"/>
      <c r="AJ365" s="50"/>
      <c r="AK365" s="50"/>
      <c r="AL365" s="50"/>
      <c r="AM365" s="11"/>
      <c r="AN365" s="50"/>
      <c r="AO365" s="50"/>
      <c r="AP365" s="50"/>
      <c r="AQ365" s="11"/>
      <c r="AR365" s="50"/>
      <c r="AS365" s="50"/>
      <c r="AT365" s="50"/>
      <c r="AU365" s="11"/>
      <c r="AV365" s="50"/>
      <c r="AW365" s="50"/>
      <c r="AX365" s="50"/>
      <c r="AY365" s="50"/>
      <c r="AZ365" s="50"/>
      <c r="BA365" s="50"/>
      <c r="BB365" s="50"/>
      <c r="BC365" s="50"/>
      <c r="BD365" s="50"/>
      <c r="BE365" s="20"/>
      <c r="BF365" s="518"/>
      <c r="BG365" s="484"/>
      <c r="BH365" s="484"/>
      <c r="BI365" s="527"/>
      <c r="BJ365" s="484"/>
      <c r="BK365" s="484"/>
      <c r="BL365" s="484"/>
      <c r="BM365" s="484"/>
    </row>
    <row r="366" spans="1:65" s="22" customFormat="1" x14ac:dyDescent="0.25">
      <c r="A366" s="20"/>
      <c r="B366" s="515"/>
      <c r="C366" s="11"/>
      <c r="D366" s="11"/>
      <c r="E366" s="11"/>
      <c r="F366" s="21"/>
      <c r="G366" s="11"/>
      <c r="H366" s="50"/>
      <c r="I366" s="50"/>
      <c r="J366" s="50"/>
      <c r="K366" s="11"/>
      <c r="L366" s="50"/>
      <c r="M366" s="50"/>
      <c r="N366" s="50"/>
      <c r="O366" s="50"/>
      <c r="P366" s="50"/>
      <c r="Q366" s="11"/>
      <c r="R366" s="50"/>
      <c r="S366" s="50"/>
      <c r="T366" s="50"/>
      <c r="U366" s="11"/>
      <c r="V366" s="50"/>
      <c r="W366" s="50"/>
      <c r="X366" s="50"/>
      <c r="Y366" s="50"/>
      <c r="Z366" s="50"/>
      <c r="AA366" s="11"/>
      <c r="AB366" s="50"/>
      <c r="AC366" s="50"/>
      <c r="AD366" s="50"/>
      <c r="AE366" s="11"/>
      <c r="AF366" s="50"/>
      <c r="AG366" s="50"/>
      <c r="AH366" s="50"/>
      <c r="AI366" s="11"/>
      <c r="AJ366" s="50"/>
      <c r="AK366" s="50"/>
      <c r="AL366" s="50"/>
      <c r="AM366" s="11"/>
      <c r="AN366" s="50"/>
      <c r="AO366" s="50"/>
      <c r="AP366" s="50"/>
      <c r="AQ366" s="11"/>
      <c r="AR366" s="50"/>
      <c r="AS366" s="50"/>
      <c r="AT366" s="50"/>
      <c r="AU366" s="11"/>
      <c r="AV366" s="50"/>
      <c r="AW366" s="50"/>
      <c r="AX366" s="50"/>
      <c r="AY366" s="50"/>
      <c r="AZ366" s="50"/>
      <c r="BA366" s="50"/>
      <c r="BB366" s="50"/>
      <c r="BC366" s="50"/>
      <c r="BD366" s="50"/>
      <c r="BE366" s="20"/>
      <c r="BF366" s="518"/>
      <c r="BG366" s="484"/>
      <c r="BH366" s="484"/>
      <c r="BI366" s="527"/>
      <c r="BJ366" s="484"/>
      <c r="BK366" s="484"/>
      <c r="BL366" s="484"/>
      <c r="BM366" s="484"/>
    </row>
    <row r="367" spans="1:65" s="22" customFormat="1" x14ac:dyDescent="0.25">
      <c r="A367" s="20"/>
      <c r="B367" s="515"/>
      <c r="C367" s="11"/>
      <c r="D367" s="11"/>
      <c r="E367" s="11"/>
      <c r="F367" s="21"/>
      <c r="G367" s="11"/>
      <c r="H367" s="50"/>
      <c r="I367" s="50"/>
      <c r="J367" s="50"/>
      <c r="K367" s="11"/>
      <c r="L367" s="50"/>
      <c r="M367" s="50"/>
      <c r="N367" s="50"/>
      <c r="O367" s="50"/>
      <c r="P367" s="50"/>
      <c r="Q367" s="11"/>
      <c r="R367" s="50"/>
      <c r="S367" s="50"/>
      <c r="T367" s="50"/>
      <c r="U367" s="11"/>
      <c r="V367" s="50"/>
      <c r="W367" s="50"/>
      <c r="X367" s="50"/>
      <c r="Y367" s="50"/>
      <c r="Z367" s="50"/>
      <c r="AA367" s="11"/>
      <c r="AB367" s="50"/>
      <c r="AC367" s="50"/>
      <c r="AD367" s="50"/>
      <c r="AE367" s="11"/>
      <c r="AF367" s="50"/>
      <c r="AG367" s="50"/>
      <c r="AH367" s="50"/>
      <c r="AI367" s="11"/>
      <c r="AJ367" s="50"/>
      <c r="AK367" s="50"/>
      <c r="AL367" s="50"/>
      <c r="AM367" s="11"/>
      <c r="AN367" s="50"/>
      <c r="AO367" s="50"/>
      <c r="AP367" s="50"/>
      <c r="AQ367" s="11"/>
      <c r="AR367" s="50"/>
      <c r="AS367" s="50"/>
      <c r="AT367" s="50"/>
      <c r="AU367" s="11"/>
      <c r="AV367" s="50"/>
      <c r="AW367" s="50"/>
      <c r="AX367" s="50"/>
      <c r="AY367" s="50"/>
      <c r="AZ367" s="50"/>
      <c r="BA367" s="50"/>
      <c r="BB367" s="50"/>
      <c r="BC367" s="50"/>
      <c r="BD367" s="50"/>
      <c r="BE367" s="20"/>
      <c r="BF367" s="518"/>
      <c r="BG367" s="484"/>
      <c r="BH367" s="484"/>
      <c r="BI367" s="527"/>
      <c r="BJ367" s="484"/>
      <c r="BK367" s="484"/>
      <c r="BL367" s="484"/>
      <c r="BM367" s="484"/>
    </row>
    <row r="368" spans="1:65" s="22" customFormat="1" x14ac:dyDescent="0.25">
      <c r="A368" s="20"/>
      <c r="B368" s="515"/>
      <c r="C368" s="11"/>
      <c r="D368" s="11"/>
      <c r="E368" s="11"/>
      <c r="F368" s="21"/>
      <c r="G368" s="11"/>
      <c r="H368" s="50"/>
      <c r="I368" s="50"/>
      <c r="J368" s="50"/>
      <c r="K368" s="11"/>
      <c r="L368" s="50"/>
      <c r="M368" s="50"/>
      <c r="N368" s="50"/>
      <c r="O368" s="50"/>
      <c r="P368" s="50"/>
      <c r="Q368" s="11"/>
      <c r="R368" s="50"/>
      <c r="S368" s="50"/>
      <c r="T368" s="50"/>
      <c r="U368" s="11"/>
      <c r="V368" s="50"/>
      <c r="W368" s="50"/>
      <c r="X368" s="50"/>
      <c r="Y368" s="50"/>
      <c r="Z368" s="50"/>
      <c r="AA368" s="11"/>
      <c r="AB368" s="50"/>
      <c r="AC368" s="50"/>
      <c r="AD368" s="50"/>
      <c r="AE368" s="11"/>
      <c r="AF368" s="50"/>
      <c r="AG368" s="50"/>
      <c r="AH368" s="50"/>
      <c r="AI368" s="11"/>
      <c r="AJ368" s="50"/>
      <c r="AK368" s="50"/>
      <c r="AL368" s="50"/>
      <c r="AM368" s="11"/>
      <c r="AN368" s="50"/>
      <c r="AO368" s="50"/>
      <c r="AP368" s="50"/>
      <c r="AQ368" s="11"/>
      <c r="AR368" s="50"/>
      <c r="AS368" s="50"/>
      <c r="AT368" s="50"/>
      <c r="AU368" s="11"/>
      <c r="AV368" s="50"/>
      <c r="AW368" s="50"/>
      <c r="AX368" s="50"/>
      <c r="AY368" s="50"/>
      <c r="AZ368" s="50"/>
      <c r="BA368" s="50"/>
      <c r="BB368" s="50"/>
      <c r="BC368" s="50"/>
      <c r="BD368" s="50"/>
      <c r="BE368" s="20"/>
      <c r="BF368" s="518"/>
      <c r="BG368" s="484"/>
      <c r="BH368" s="484"/>
      <c r="BI368" s="527"/>
      <c r="BJ368" s="484"/>
      <c r="BK368" s="484"/>
      <c r="BL368" s="484"/>
      <c r="BM368" s="484"/>
    </row>
    <row r="369" spans="1:65" s="22" customFormat="1" x14ac:dyDescent="0.25">
      <c r="A369" s="20"/>
      <c r="B369" s="515"/>
      <c r="C369" s="11"/>
      <c r="D369" s="11"/>
      <c r="E369" s="11"/>
      <c r="F369" s="21"/>
      <c r="G369" s="11"/>
      <c r="H369" s="50"/>
      <c r="I369" s="50"/>
      <c r="J369" s="50"/>
      <c r="K369" s="11"/>
      <c r="L369" s="50"/>
      <c r="M369" s="50"/>
      <c r="N369" s="50"/>
      <c r="O369" s="50"/>
      <c r="P369" s="50"/>
      <c r="Q369" s="11"/>
      <c r="R369" s="50"/>
      <c r="S369" s="50"/>
      <c r="T369" s="50"/>
      <c r="U369" s="11"/>
      <c r="V369" s="50"/>
      <c r="W369" s="50"/>
      <c r="X369" s="50"/>
      <c r="Y369" s="50"/>
      <c r="Z369" s="50"/>
      <c r="AA369" s="11"/>
      <c r="AB369" s="50"/>
      <c r="AC369" s="50"/>
      <c r="AD369" s="50"/>
      <c r="AE369" s="11"/>
      <c r="AF369" s="50"/>
      <c r="AG369" s="50"/>
      <c r="AH369" s="50"/>
      <c r="AI369" s="11"/>
      <c r="AJ369" s="50"/>
      <c r="AK369" s="50"/>
      <c r="AL369" s="50"/>
      <c r="AM369" s="11"/>
      <c r="AN369" s="50"/>
      <c r="AO369" s="50"/>
      <c r="AP369" s="50"/>
      <c r="AQ369" s="11"/>
      <c r="AR369" s="50"/>
      <c r="AS369" s="50"/>
      <c r="AT369" s="50"/>
      <c r="AU369" s="11"/>
      <c r="AV369" s="50"/>
      <c r="AW369" s="50"/>
      <c r="AX369" s="50"/>
      <c r="AY369" s="50"/>
      <c r="AZ369" s="50"/>
      <c r="BA369" s="50"/>
      <c r="BB369" s="50"/>
      <c r="BC369" s="50"/>
      <c r="BD369" s="50"/>
      <c r="BE369" s="20"/>
      <c r="BF369" s="518"/>
      <c r="BG369" s="484"/>
      <c r="BH369" s="484"/>
      <c r="BI369" s="527"/>
      <c r="BJ369" s="484"/>
      <c r="BK369" s="484"/>
      <c r="BL369" s="484"/>
      <c r="BM369" s="484"/>
    </row>
    <row r="370" spans="1:65" s="22" customFormat="1" x14ac:dyDescent="0.25">
      <c r="A370" s="20"/>
      <c r="B370" s="515"/>
      <c r="C370" s="11"/>
      <c r="D370" s="11"/>
      <c r="E370" s="11"/>
      <c r="F370" s="21"/>
      <c r="G370" s="11"/>
      <c r="H370" s="50"/>
      <c r="I370" s="50"/>
      <c r="J370" s="50"/>
      <c r="K370" s="11"/>
      <c r="L370" s="50"/>
      <c r="M370" s="50"/>
      <c r="N370" s="50"/>
      <c r="O370" s="50"/>
      <c r="P370" s="50"/>
      <c r="Q370" s="11"/>
      <c r="R370" s="50"/>
      <c r="S370" s="50"/>
      <c r="T370" s="50"/>
      <c r="U370" s="11"/>
      <c r="V370" s="50"/>
      <c r="W370" s="50"/>
      <c r="X370" s="50"/>
      <c r="Y370" s="50"/>
      <c r="Z370" s="50"/>
      <c r="AA370" s="11"/>
      <c r="AB370" s="50"/>
      <c r="AC370" s="50"/>
      <c r="AD370" s="50"/>
      <c r="AE370" s="11"/>
      <c r="AF370" s="50"/>
      <c r="AG370" s="50"/>
      <c r="AH370" s="50"/>
      <c r="AI370" s="11"/>
      <c r="AJ370" s="50"/>
      <c r="AK370" s="50"/>
      <c r="AL370" s="50"/>
      <c r="AM370" s="11"/>
      <c r="AN370" s="50"/>
      <c r="AO370" s="50"/>
      <c r="AP370" s="50"/>
      <c r="AQ370" s="11"/>
      <c r="AR370" s="50"/>
      <c r="AS370" s="50"/>
      <c r="AT370" s="50"/>
      <c r="AU370" s="11"/>
      <c r="AV370" s="50"/>
      <c r="AW370" s="50"/>
      <c r="AX370" s="50"/>
      <c r="AY370" s="50"/>
      <c r="AZ370" s="50"/>
      <c r="BA370" s="50"/>
      <c r="BB370" s="50"/>
      <c r="BC370" s="50"/>
      <c r="BD370" s="50"/>
      <c r="BE370" s="20"/>
      <c r="BF370" s="518"/>
      <c r="BG370" s="484"/>
      <c r="BH370" s="484"/>
      <c r="BI370" s="527"/>
      <c r="BJ370" s="484"/>
      <c r="BK370" s="484"/>
      <c r="BL370" s="484"/>
      <c r="BM370" s="484"/>
    </row>
    <row r="371" spans="1:65" s="22" customFormat="1" x14ac:dyDescent="0.25">
      <c r="A371" s="20"/>
      <c r="B371" s="515"/>
      <c r="C371" s="11"/>
      <c r="D371" s="11"/>
      <c r="E371" s="11"/>
      <c r="F371" s="21"/>
      <c r="G371" s="11"/>
      <c r="H371" s="50"/>
      <c r="I371" s="50"/>
      <c r="J371" s="50"/>
      <c r="K371" s="11"/>
      <c r="L371" s="50"/>
      <c r="M371" s="50"/>
      <c r="N371" s="50"/>
      <c r="O371" s="50"/>
      <c r="P371" s="50"/>
      <c r="Q371" s="11"/>
      <c r="R371" s="50"/>
      <c r="S371" s="50"/>
      <c r="T371" s="50"/>
      <c r="U371" s="11"/>
      <c r="V371" s="50"/>
      <c r="W371" s="50"/>
      <c r="X371" s="50"/>
      <c r="Y371" s="50"/>
      <c r="Z371" s="50"/>
      <c r="AA371" s="11"/>
      <c r="AB371" s="50"/>
      <c r="AC371" s="50"/>
      <c r="AD371" s="50"/>
      <c r="AE371" s="11"/>
      <c r="AF371" s="50"/>
      <c r="AG371" s="50"/>
      <c r="AH371" s="50"/>
      <c r="AI371" s="11"/>
      <c r="AJ371" s="50"/>
      <c r="AK371" s="50"/>
      <c r="AL371" s="50"/>
      <c r="AM371" s="11"/>
      <c r="AN371" s="50"/>
      <c r="AO371" s="50"/>
      <c r="AP371" s="50"/>
      <c r="AQ371" s="11"/>
      <c r="AR371" s="50"/>
      <c r="AS371" s="50"/>
      <c r="AT371" s="50"/>
      <c r="AU371" s="11"/>
      <c r="AV371" s="50"/>
      <c r="AW371" s="50"/>
      <c r="AX371" s="50"/>
      <c r="AY371" s="50"/>
      <c r="AZ371" s="50"/>
      <c r="BA371" s="50"/>
      <c r="BB371" s="50"/>
      <c r="BC371" s="50"/>
      <c r="BD371" s="50"/>
      <c r="BE371" s="20"/>
      <c r="BF371" s="518"/>
      <c r="BG371" s="484"/>
      <c r="BH371" s="484"/>
      <c r="BI371" s="527"/>
      <c r="BJ371" s="484"/>
      <c r="BK371" s="484"/>
      <c r="BL371" s="484"/>
      <c r="BM371" s="484"/>
    </row>
    <row r="372" spans="1:65" s="22" customFormat="1" x14ac:dyDescent="0.25">
      <c r="A372" s="20"/>
      <c r="B372" s="515"/>
      <c r="C372" s="11"/>
      <c r="D372" s="11"/>
      <c r="E372" s="11"/>
      <c r="F372" s="21"/>
      <c r="G372" s="11"/>
      <c r="H372" s="50"/>
      <c r="I372" s="50"/>
      <c r="J372" s="50"/>
      <c r="K372" s="11"/>
      <c r="L372" s="50"/>
      <c r="M372" s="50"/>
      <c r="N372" s="50"/>
      <c r="O372" s="50"/>
      <c r="P372" s="50"/>
      <c r="Q372" s="11"/>
      <c r="R372" s="50"/>
      <c r="S372" s="50"/>
      <c r="T372" s="50"/>
      <c r="U372" s="11"/>
      <c r="V372" s="50"/>
      <c r="W372" s="50"/>
      <c r="X372" s="50"/>
      <c r="Y372" s="50"/>
      <c r="Z372" s="50"/>
      <c r="AA372" s="11"/>
      <c r="AB372" s="50"/>
      <c r="AC372" s="50"/>
      <c r="AD372" s="50"/>
      <c r="AE372" s="11"/>
      <c r="AF372" s="50"/>
      <c r="AG372" s="50"/>
      <c r="AH372" s="50"/>
      <c r="AI372" s="11"/>
      <c r="AJ372" s="50"/>
      <c r="AK372" s="50"/>
      <c r="AL372" s="50"/>
      <c r="AM372" s="11"/>
      <c r="AN372" s="50"/>
      <c r="AO372" s="50"/>
      <c r="AP372" s="50"/>
      <c r="AQ372" s="11"/>
      <c r="AR372" s="50"/>
      <c r="AS372" s="50"/>
      <c r="AT372" s="50"/>
      <c r="AU372" s="11"/>
      <c r="AV372" s="50"/>
      <c r="AW372" s="50"/>
      <c r="AX372" s="50"/>
      <c r="AY372" s="50"/>
      <c r="AZ372" s="50"/>
      <c r="BA372" s="50"/>
      <c r="BB372" s="50"/>
      <c r="BC372" s="50"/>
      <c r="BD372" s="50"/>
      <c r="BE372" s="20"/>
      <c r="BF372" s="518"/>
      <c r="BG372" s="484"/>
      <c r="BH372" s="484"/>
      <c r="BI372" s="527"/>
      <c r="BJ372" s="484"/>
      <c r="BK372" s="484"/>
      <c r="BL372" s="484"/>
      <c r="BM372" s="484"/>
    </row>
    <row r="373" spans="1:65" s="22" customFormat="1" x14ac:dyDescent="0.25">
      <c r="A373" s="20"/>
      <c r="B373" s="515"/>
      <c r="C373" s="11"/>
      <c r="D373" s="11"/>
      <c r="E373" s="11"/>
      <c r="F373" s="21"/>
      <c r="G373" s="11"/>
      <c r="H373" s="50"/>
      <c r="I373" s="50"/>
      <c r="J373" s="50"/>
      <c r="K373" s="11"/>
      <c r="L373" s="50"/>
      <c r="M373" s="50"/>
      <c r="N373" s="50"/>
      <c r="O373" s="50"/>
      <c r="P373" s="50"/>
      <c r="Q373" s="11"/>
      <c r="R373" s="50"/>
      <c r="S373" s="50"/>
      <c r="T373" s="50"/>
      <c r="U373" s="11"/>
      <c r="V373" s="50"/>
      <c r="W373" s="50"/>
      <c r="X373" s="50"/>
      <c r="Y373" s="50"/>
      <c r="Z373" s="50"/>
      <c r="AA373" s="11"/>
      <c r="AB373" s="50"/>
      <c r="AC373" s="50"/>
      <c r="AD373" s="50"/>
      <c r="AE373" s="11"/>
      <c r="AF373" s="50"/>
      <c r="AG373" s="50"/>
      <c r="AH373" s="50"/>
      <c r="AI373" s="11"/>
      <c r="AJ373" s="50"/>
      <c r="AK373" s="50"/>
      <c r="AL373" s="50"/>
      <c r="AM373" s="11"/>
      <c r="AN373" s="50"/>
      <c r="AO373" s="50"/>
      <c r="AP373" s="50"/>
      <c r="AQ373" s="11"/>
      <c r="AR373" s="50"/>
      <c r="AS373" s="50"/>
      <c r="AT373" s="50"/>
      <c r="AU373" s="11"/>
      <c r="AV373" s="50"/>
      <c r="AW373" s="50"/>
      <c r="AX373" s="50"/>
      <c r="AY373" s="50"/>
      <c r="AZ373" s="50"/>
      <c r="BA373" s="50"/>
      <c r="BB373" s="50"/>
      <c r="BC373" s="50"/>
      <c r="BD373" s="50"/>
      <c r="BE373" s="20"/>
      <c r="BF373" s="518"/>
      <c r="BG373" s="484"/>
      <c r="BH373" s="484"/>
      <c r="BI373" s="527"/>
      <c r="BJ373" s="484"/>
      <c r="BK373" s="484"/>
      <c r="BL373" s="484"/>
      <c r="BM373" s="484"/>
    </row>
    <row r="374" spans="1:65" s="22" customFormat="1" x14ac:dyDescent="0.25">
      <c r="A374" s="20"/>
      <c r="B374" s="515"/>
      <c r="C374" s="11"/>
      <c r="D374" s="11"/>
      <c r="E374" s="11"/>
      <c r="F374" s="21"/>
      <c r="G374" s="11"/>
      <c r="H374" s="50"/>
      <c r="I374" s="50"/>
      <c r="J374" s="50"/>
      <c r="K374" s="11"/>
      <c r="L374" s="50"/>
      <c r="M374" s="50"/>
      <c r="N374" s="50"/>
      <c r="O374" s="50"/>
      <c r="P374" s="50"/>
      <c r="Q374" s="11"/>
      <c r="R374" s="50"/>
      <c r="S374" s="50"/>
      <c r="T374" s="50"/>
      <c r="U374" s="11"/>
      <c r="V374" s="50"/>
      <c r="W374" s="50"/>
      <c r="X374" s="50"/>
      <c r="Y374" s="50"/>
      <c r="Z374" s="50"/>
      <c r="AA374" s="11"/>
      <c r="AB374" s="50"/>
      <c r="AC374" s="50"/>
      <c r="AD374" s="50"/>
      <c r="AE374" s="11"/>
      <c r="AF374" s="50"/>
      <c r="AG374" s="50"/>
      <c r="AH374" s="50"/>
      <c r="AI374" s="11"/>
      <c r="AJ374" s="50"/>
      <c r="AK374" s="50"/>
      <c r="AL374" s="50"/>
      <c r="AM374" s="11"/>
      <c r="AN374" s="50"/>
      <c r="AO374" s="50"/>
      <c r="AP374" s="50"/>
      <c r="AQ374" s="11"/>
      <c r="AR374" s="50"/>
      <c r="AS374" s="50"/>
      <c r="AT374" s="50"/>
      <c r="AU374" s="11"/>
      <c r="AV374" s="50"/>
      <c r="AW374" s="50"/>
      <c r="AX374" s="50"/>
      <c r="AY374" s="50"/>
      <c r="AZ374" s="50"/>
      <c r="BA374" s="50"/>
      <c r="BB374" s="50"/>
      <c r="BC374" s="50"/>
      <c r="BD374" s="50"/>
      <c r="BE374" s="20"/>
      <c r="BF374" s="518"/>
      <c r="BG374" s="484"/>
      <c r="BH374" s="484"/>
      <c r="BI374" s="527"/>
      <c r="BJ374" s="484"/>
      <c r="BK374" s="484"/>
      <c r="BL374" s="484"/>
      <c r="BM374" s="484"/>
    </row>
    <row r="375" spans="1:65" s="22" customFormat="1" x14ac:dyDescent="0.25">
      <c r="A375" s="20"/>
      <c r="B375" s="515"/>
      <c r="C375" s="11"/>
      <c r="D375" s="11"/>
      <c r="E375" s="11"/>
      <c r="F375" s="21"/>
      <c r="G375" s="11"/>
      <c r="H375" s="50"/>
      <c r="I375" s="50"/>
      <c r="J375" s="50"/>
      <c r="K375" s="11"/>
      <c r="L375" s="50"/>
      <c r="M375" s="50"/>
      <c r="N375" s="50"/>
      <c r="O375" s="50"/>
      <c r="P375" s="50"/>
      <c r="Q375" s="11"/>
      <c r="R375" s="50"/>
      <c r="S375" s="50"/>
      <c r="T375" s="50"/>
      <c r="U375" s="11"/>
      <c r="V375" s="50"/>
      <c r="W375" s="50"/>
      <c r="X375" s="50"/>
      <c r="Y375" s="50"/>
      <c r="Z375" s="50"/>
      <c r="AA375" s="11"/>
      <c r="AB375" s="50"/>
      <c r="AC375" s="50"/>
      <c r="AD375" s="50"/>
      <c r="AE375" s="11"/>
      <c r="AF375" s="50"/>
      <c r="AG375" s="50"/>
      <c r="AH375" s="50"/>
      <c r="AI375" s="11"/>
      <c r="AJ375" s="50"/>
      <c r="AK375" s="50"/>
      <c r="AL375" s="50"/>
      <c r="AM375" s="11"/>
      <c r="AN375" s="50"/>
      <c r="AO375" s="50"/>
      <c r="AP375" s="50"/>
      <c r="AQ375" s="11"/>
      <c r="AR375" s="50"/>
      <c r="AS375" s="50"/>
      <c r="AT375" s="50"/>
      <c r="AU375" s="11"/>
      <c r="AV375" s="50"/>
      <c r="AW375" s="50"/>
      <c r="AX375" s="50"/>
      <c r="AY375" s="50"/>
      <c r="AZ375" s="50"/>
      <c r="BA375" s="50"/>
      <c r="BB375" s="50"/>
      <c r="BC375" s="50"/>
      <c r="BD375" s="50"/>
      <c r="BE375" s="20"/>
      <c r="BF375" s="518"/>
      <c r="BG375" s="484"/>
      <c r="BH375" s="484"/>
      <c r="BI375" s="527"/>
      <c r="BJ375" s="484"/>
      <c r="BK375" s="484"/>
      <c r="BL375" s="484"/>
      <c r="BM375" s="484"/>
    </row>
    <row r="376" spans="1:65" s="22" customFormat="1" x14ac:dyDescent="0.25">
      <c r="A376" s="20"/>
      <c r="B376" s="515"/>
      <c r="C376" s="11"/>
      <c r="D376" s="11"/>
      <c r="E376" s="11"/>
      <c r="F376" s="21"/>
      <c r="G376" s="11"/>
      <c r="H376" s="50"/>
      <c r="I376" s="50"/>
      <c r="J376" s="50"/>
      <c r="K376" s="11"/>
      <c r="L376" s="50"/>
      <c r="M376" s="50"/>
      <c r="N376" s="50"/>
      <c r="O376" s="50"/>
      <c r="P376" s="50"/>
      <c r="Q376" s="11"/>
      <c r="R376" s="50"/>
      <c r="S376" s="50"/>
      <c r="T376" s="50"/>
      <c r="U376" s="11"/>
      <c r="V376" s="50"/>
      <c r="W376" s="50"/>
      <c r="X376" s="50"/>
      <c r="Y376" s="50"/>
      <c r="Z376" s="50"/>
      <c r="AA376" s="11"/>
      <c r="AB376" s="50"/>
      <c r="AC376" s="50"/>
      <c r="AD376" s="50"/>
      <c r="AE376" s="11"/>
      <c r="AF376" s="50"/>
      <c r="AG376" s="50"/>
      <c r="AH376" s="50"/>
      <c r="AI376" s="11"/>
      <c r="AJ376" s="50"/>
      <c r="AK376" s="50"/>
      <c r="AL376" s="50"/>
      <c r="AM376" s="11"/>
      <c r="AN376" s="50"/>
      <c r="AO376" s="50"/>
      <c r="AP376" s="50"/>
      <c r="AQ376" s="11"/>
      <c r="AR376" s="50"/>
      <c r="AS376" s="50"/>
      <c r="AT376" s="50"/>
      <c r="AU376" s="11"/>
      <c r="AV376" s="50"/>
      <c r="AW376" s="50"/>
      <c r="AX376" s="50"/>
      <c r="AY376" s="50"/>
      <c r="AZ376" s="50"/>
      <c r="BA376" s="50"/>
      <c r="BB376" s="50"/>
      <c r="BC376" s="50"/>
      <c r="BD376" s="50"/>
      <c r="BE376" s="20"/>
      <c r="BF376" s="518"/>
      <c r="BG376" s="484"/>
      <c r="BH376" s="484"/>
      <c r="BI376" s="527"/>
      <c r="BJ376" s="484"/>
      <c r="BK376" s="484"/>
      <c r="BL376" s="484"/>
      <c r="BM376" s="484"/>
    </row>
    <row r="377" spans="1:65" s="22" customFormat="1" x14ac:dyDescent="0.25">
      <c r="A377" s="20"/>
      <c r="B377" s="515"/>
      <c r="C377" s="11"/>
      <c r="D377" s="11"/>
      <c r="E377" s="11"/>
      <c r="F377" s="21"/>
      <c r="G377" s="11"/>
      <c r="H377" s="50"/>
      <c r="I377" s="50"/>
      <c r="J377" s="50"/>
      <c r="K377" s="11"/>
      <c r="L377" s="50"/>
      <c r="M377" s="50"/>
      <c r="N377" s="50"/>
      <c r="O377" s="50"/>
      <c r="P377" s="50"/>
      <c r="Q377" s="11"/>
      <c r="R377" s="50"/>
      <c r="S377" s="50"/>
      <c r="T377" s="50"/>
      <c r="U377" s="11"/>
      <c r="V377" s="50"/>
      <c r="W377" s="50"/>
      <c r="X377" s="50"/>
      <c r="Y377" s="50"/>
      <c r="Z377" s="50"/>
      <c r="AA377" s="11"/>
      <c r="AB377" s="50"/>
      <c r="AC377" s="50"/>
      <c r="AD377" s="50"/>
      <c r="AE377" s="11"/>
      <c r="AF377" s="50"/>
      <c r="AG377" s="50"/>
      <c r="AH377" s="50"/>
      <c r="AI377" s="11"/>
      <c r="AJ377" s="50"/>
      <c r="AK377" s="50"/>
      <c r="AL377" s="50"/>
      <c r="AM377" s="11"/>
      <c r="AN377" s="50"/>
      <c r="AO377" s="50"/>
      <c r="AP377" s="50"/>
      <c r="AQ377" s="11"/>
      <c r="AR377" s="50"/>
      <c r="AS377" s="50"/>
      <c r="AT377" s="50"/>
      <c r="AU377" s="11"/>
      <c r="AV377" s="50"/>
      <c r="AW377" s="50"/>
      <c r="AX377" s="50"/>
      <c r="AY377" s="50"/>
      <c r="AZ377" s="50"/>
      <c r="BA377" s="50"/>
      <c r="BB377" s="50"/>
      <c r="BC377" s="50"/>
      <c r="BD377" s="50"/>
      <c r="BE377" s="20"/>
      <c r="BF377" s="518"/>
      <c r="BG377" s="484"/>
      <c r="BH377" s="484"/>
      <c r="BI377" s="527"/>
      <c r="BJ377" s="484"/>
      <c r="BK377" s="484"/>
      <c r="BL377" s="484"/>
      <c r="BM377" s="484"/>
    </row>
    <row r="378" spans="1:65" s="22" customFormat="1" x14ac:dyDescent="0.25">
      <c r="A378" s="20"/>
      <c r="B378" s="515"/>
      <c r="C378" s="11"/>
      <c r="D378" s="11"/>
      <c r="E378" s="11"/>
      <c r="F378" s="21"/>
      <c r="G378" s="11"/>
      <c r="H378" s="50"/>
      <c r="I378" s="50"/>
      <c r="J378" s="50"/>
      <c r="K378" s="11"/>
      <c r="L378" s="50"/>
      <c r="M378" s="50"/>
      <c r="N378" s="50"/>
      <c r="O378" s="50"/>
      <c r="P378" s="50"/>
      <c r="Q378" s="11"/>
      <c r="R378" s="50"/>
      <c r="S378" s="50"/>
      <c r="T378" s="50"/>
      <c r="U378" s="11"/>
      <c r="V378" s="50"/>
      <c r="W378" s="50"/>
      <c r="X378" s="50"/>
      <c r="Y378" s="50"/>
      <c r="Z378" s="50"/>
      <c r="AA378" s="11"/>
      <c r="AB378" s="50"/>
      <c r="AC378" s="50"/>
      <c r="AD378" s="50"/>
      <c r="AE378" s="11"/>
      <c r="AF378" s="50"/>
      <c r="AG378" s="50"/>
      <c r="AH378" s="50"/>
      <c r="AI378" s="11"/>
      <c r="AJ378" s="50"/>
      <c r="AK378" s="50"/>
      <c r="AL378" s="50"/>
      <c r="AM378" s="11"/>
      <c r="AN378" s="50"/>
      <c r="AO378" s="50"/>
      <c r="AP378" s="50"/>
      <c r="AQ378" s="11"/>
      <c r="AR378" s="50"/>
      <c r="AS378" s="50"/>
      <c r="AT378" s="50"/>
      <c r="AU378" s="11"/>
      <c r="AV378" s="50"/>
      <c r="AW378" s="50"/>
      <c r="AX378" s="50"/>
      <c r="AY378" s="50"/>
      <c r="AZ378" s="50"/>
      <c r="BA378" s="50"/>
      <c r="BB378" s="50"/>
      <c r="BC378" s="50"/>
      <c r="BD378" s="50"/>
      <c r="BE378" s="20"/>
      <c r="BF378" s="518"/>
      <c r="BG378" s="484"/>
      <c r="BH378" s="484"/>
      <c r="BI378" s="527"/>
      <c r="BJ378" s="484"/>
      <c r="BK378" s="484"/>
      <c r="BL378" s="484"/>
      <c r="BM378" s="484"/>
    </row>
    <row r="379" spans="1:65" s="22" customFormat="1" x14ac:dyDescent="0.25">
      <c r="A379" s="20"/>
      <c r="B379" s="515"/>
      <c r="C379" s="11"/>
      <c r="D379" s="11"/>
      <c r="E379" s="11"/>
      <c r="F379" s="21"/>
      <c r="G379" s="11"/>
      <c r="H379" s="50"/>
      <c r="I379" s="50"/>
      <c r="J379" s="50"/>
      <c r="K379" s="11"/>
      <c r="L379" s="50"/>
      <c r="M379" s="50"/>
      <c r="N379" s="50"/>
      <c r="O379" s="50"/>
      <c r="P379" s="50"/>
      <c r="Q379" s="11"/>
      <c r="R379" s="50"/>
      <c r="S379" s="50"/>
      <c r="T379" s="50"/>
      <c r="U379" s="11"/>
      <c r="V379" s="50"/>
      <c r="W379" s="50"/>
      <c r="X379" s="50"/>
      <c r="Y379" s="50"/>
      <c r="Z379" s="50"/>
      <c r="AA379" s="11"/>
      <c r="AB379" s="50"/>
      <c r="AC379" s="50"/>
      <c r="AD379" s="50"/>
      <c r="AE379" s="11"/>
      <c r="AF379" s="50"/>
      <c r="AG379" s="50"/>
      <c r="AH379" s="50"/>
      <c r="AI379" s="11"/>
      <c r="AJ379" s="50"/>
      <c r="AK379" s="50"/>
      <c r="AL379" s="50"/>
      <c r="AM379" s="11"/>
      <c r="AN379" s="50"/>
      <c r="AO379" s="50"/>
      <c r="AP379" s="50"/>
      <c r="AQ379" s="11"/>
      <c r="AR379" s="50"/>
      <c r="AS379" s="50"/>
      <c r="AT379" s="50"/>
      <c r="AU379" s="11"/>
      <c r="AV379" s="50"/>
      <c r="AW379" s="50"/>
      <c r="AX379" s="50"/>
      <c r="AY379" s="50"/>
      <c r="AZ379" s="50"/>
      <c r="BA379" s="50"/>
      <c r="BB379" s="50"/>
      <c r="BC379" s="50"/>
      <c r="BD379" s="50"/>
      <c r="BE379" s="20"/>
      <c r="BF379" s="518"/>
      <c r="BG379" s="484"/>
      <c r="BH379" s="484"/>
      <c r="BI379" s="527"/>
      <c r="BJ379" s="484"/>
      <c r="BK379" s="484"/>
      <c r="BL379" s="484"/>
      <c r="BM379" s="484"/>
    </row>
    <row r="380" spans="1:65" s="22" customFormat="1" x14ac:dyDescent="0.25">
      <c r="A380" s="20"/>
      <c r="B380" s="515"/>
      <c r="C380" s="11"/>
      <c r="D380" s="11"/>
      <c r="E380" s="11"/>
      <c r="F380" s="21"/>
      <c r="G380" s="11"/>
      <c r="H380" s="50"/>
      <c r="I380" s="50"/>
      <c r="J380" s="50"/>
      <c r="K380" s="11"/>
      <c r="L380" s="50"/>
      <c r="M380" s="50"/>
      <c r="N380" s="50"/>
      <c r="O380" s="50"/>
      <c r="P380" s="50"/>
      <c r="Q380" s="11"/>
      <c r="R380" s="50"/>
      <c r="S380" s="50"/>
      <c r="T380" s="50"/>
      <c r="U380" s="11"/>
      <c r="V380" s="50"/>
      <c r="W380" s="50"/>
      <c r="X380" s="50"/>
      <c r="Y380" s="50"/>
      <c r="Z380" s="50"/>
      <c r="AA380" s="11"/>
      <c r="AB380" s="50"/>
      <c r="AC380" s="50"/>
      <c r="AD380" s="50"/>
      <c r="AE380" s="11"/>
      <c r="AF380" s="50"/>
      <c r="AG380" s="50"/>
      <c r="AH380" s="50"/>
      <c r="AI380" s="11"/>
      <c r="AJ380" s="50"/>
      <c r="AK380" s="50"/>
      <c r="AL380" s="50"/>
      <c r="AM380" s="11"/>
      <c r="AN380" s="50"/>
      <c r="AO380" s="50"/>
      <c r="AP380" s="50"/>
      <c r="AQ380" s="11"/>
      <c r="AR380" s="50"/>
      <c r="AS380" s="50"/>
      <c r="AT380" s="50"/>
      <c r="AU380" s="11"/>
      <c r="AV380" s="50"/>
      <c r="AW380" s="50"/>
      <c r="AX380" s="50"/>
      <c r="AY380" s="50"/>
      <c r="AZ380" s="50"/>
      <c r="BA380" s="50"/>
      <c r="BB380" s="50"/>
      <c r="BC380" s="50"/>
      <c r="BD380" s="50"/>
      <c r="BE380" s="20"/>
      <c r="BF380" s="518"/>
      <c r="BG380" s="484"/>
      <c r="BH380" s="484"/>
      <c r="BI380" s="527"/>
      <c r="BJ380" s="484"/>
      <c r="BK380" s="484"/>
      <c r="BL380" s="484"/>
      <c r="BM380" s="484"/>
    </row>
    <row r="381" spans="1:65" s="22" customFormat="1" x14ac:dyDescent="0.25">
      <c r="A381" s="20"/>
      <c r="B381" s="515"/>
      <c r="C381" s="11"/>
      <c r="D381" s="11"/>
      <c r="E381" s="11"/>
      <c r="F381" s="21"/>
      <c r="G381" s="11"/>
      <c r="H381" s="50"/>
      <c r="I381" s="50"/>
      <c r="J381" s="50"/>
      <c r="K381" s="11"/>
      <c r="L381" s="50"/>
      <c r="M381" s="50"/>
      <c r="N381" s="50"/>
      <c r="O381" s="50"/>
      <c r="P381" s="50"/>
      <c r="Q381" s="11"/>
      <c r="R381" s="50"/>
      <c r="S381" s="50"/>
      <c r="T381" s="50"/>
      <c r="U381" s="11"/>
      <c r="V381" s="50"/>
      <c r="W381" s="50"/>
      <c r="X381" s="50"/>
      <c r="Y381" s="50"/>
      <c r="Z381" s="50"/>
      <c r="AA381" s="11"/>
      <c r="AB381" s="50"/>
      <c r="AC381" s="50"/>
      <c r="AD381" s="50"/>
      <c r="AE381" s="11"/>
      <c r="AF381" s="50"/>
      <c r="AG381" s="50"/>
      <c r="AH381" s="50"/>
      <c r="AI381" s="11"/>
      <c r="AJ381" s="50"/>
      <c r="AK381" s="50"/>
      <c r="AL381" s="50"/>
      <c r="AM381" s="11"/>
      <c r="AN381" s="50"/>
      <c r="AO381" s="50"/>
      <c r="AP381" s="50"/>
      <c r="AQ381" s="11"/>
      <c r="AR381" s="50"/>
      <c r="AS381" s="50"/>
      <c r="AT381" s="50"/>
      <c r="AU381" s="11"/>
      <c r="AV381" s="50"/>
      <c r="AW381" s="50"/>
      <c r="AX381" s="50"/>
      <c r="AY381" s="50"/>
      <c r="AZ381" s="50"/>
      <c r="BA381" s="50"/>
      <c r="BB381" s="50"/>
      <c r="BC381" s="50"/>
      <c r="BD381" s="50"/>
      <c r="BE381" s="20"/>
      <c r="BF381" s="518"/>
      <c r="BG381" s="484"/>
      <c r="BH381" s="484"/>
      <c r="BI381" s="527"/>
      <c r="BJ381" s="484"/>
      <c r="BK381" s="484"/>
      <c r="BL381" s="484"/>
      <c r="BM381" s="484"/>
    </row>
    <row r="382" spans="1:65" s="22" customFormat="1" x14ac:dyDescent="0.25">
      <c r="A382" s="20"/>
      <c r="B382" s="515"/>
      <c r="C382" s="11"/>
      <c r="D382" s="11"/>
      <c r="E382" s="11"/>
      <c r="F382" s="21"/>
      <c r="G382" s="11"/>
      <c r="H382" s="50"/>
      <c r="I382" s="50"/>
      <c r="J382" s="50"/>
      <c r="K382" s="11"/>
      <c r="L382" s="50"/>
      <c r="M382" s="50"/>
      <c r="N382" s="50"/>
      <c r="O382" s="50"/>
      <c r="P382" s="50"/>
      <c r="Q382" s="11"/>
      <c r="R382" s="50"/>
      <c r="S382" s="50"/>
      <c r="T382" s="50"/>
      <c r="U382" s="11"/>
      <c r="V382" s="50"/>
      <c r="W382" s="50"/>
      <c r="X382" s="50"/>
      <c r="Y382" s="50"/>
      <c r="Z382" s="50"/>
      <c r="AA382" s="11"/>
      <c r="AB382" s="50"/>
      <c r="AC382" s="50"/>
      <c r="AD382" s="50"/>
      <c r="AE382" s="11"/>
      <c r="AF382" s="50"/>
      <c r="AG382" s="50"/>
      <c r="AH382" s="50"/>
      <c r="AI382" s="11"/>
      <c r="AJ382" s="50"/>
      <c r="AK382" s="50"/>
      <c r="AL382" s="50"/>
      <c r="AM382" s="11"/>
      <c r="AN382" s="50"/>
      <c r="AO382" s="50"/>
      <c r="AP382" s="50"/>
      <c r="AQ382" s="11"/>
      <c r="AR382" s="50"/>
      <c r="AS382" s="50"/>
      <c r="AT382" s="50"/>
      <c r="AU382" s="11"/>
      <c r="AV382" s="50"/>
      <c r="AW382" s="50"/>
      <c r="AX382" s="50"/>
      <c r="AY382" s="50"/>
      <c r="AZ382" s="50"/>
      <c r="BA382" s="50"/>
      <c r="BB382" s="50"/>
      <c r="BC382" s="50"/>
      <c r="BD382" s="50"/>
      <c r="BE382" s="20"/>
      <c r="BF382" s="518"/>
      <c r="BG382" s="484"/>
      <c r="BH382" s="484"/>
      <c r="BI382" s="527"/>
      <c r="BJ382" s="484"/>
      <c r="BK382" s="484"/>
      <c r="BL382" s="484"/>
      <c r="BM382" s="484"/>
    </row>
    <row r="383" spans="1:65" s="22" customFormat="1" x14ac:dyDescent="0.25">
      <c r="A383" s="20"/>
      <c r="B383" s="515"/>
      <c r="C383" s="11"/>
      <c r="D383" s="11"/>
      <c r="E383" s="11"/>
      <c r="F383" s="21"/>
      <c r="G383" s="11"/>
      <c r="H383" s="50"/>
      <c r="I383" s="50"/>
      <c r="J383" s="50"/>
      <c r="K383" s="11"/>
      <c r="L383" s="50"/>
      <c r="M383" s="50"/>
      <c r="N383" s="50"/>
      <c r="O383" s="50"/>
      <c r="P383" s="50"/>
      <c r="Q383" s="11"/>
      <c r="R383" s="50"/>
      <c r="S383" s="50"/>
      <c r="T383" s="50"/>
      <c r="U383" s="11"/>
      <c r="V383" s="50"/>
      <c r="W383" s="50"/>
      <c r="X383" s="50"/>
      <c r="Y383" s="50"/>
      <c r="Z383" s="50"/>
      <c r="AA383" s="11"/>
      <c r="AB383" s="50"/>
      <c r="AC383" s="50"/>
      <c r="AD383" s="50"/>
      <c r="AE383" s="11"/>
      <c r="AF383" s="50"/>
      <c r="AG383" s="50"/>
      <c r="AH383" s="50"/>
      <c r="AI383" s="11"/>
      <c r="AJ383" s="50"/>
      <c r="AK383" s="50"/>
      <c r="AL383" s="50"/>
      <c r="AM383" s="11"/>
      <c r="AN383" s="50"/>
      <c r="AO383" s="50"/>
      <c r="AP383" s="50"/>
      <c r="AQ383" s="11"/>
      <c r="AR383" s="50"/>
      <c r="AS383" s="50"/>
      <c r="AT383" s="50"/>
      <c r="AU383" s="11"/>
      <c r="AV383" s="50"/>
      <c r="AW383" s="50"/>
      <c r="AX383" s="50"/>
      <c r="AY383" s="50"/>
      <c r="AZ383" s="50"/>
      <c r="BA383" s="50"/>
      <c r="BB383" s="50"/>
      <c r="BC383" s="50"/>
      <c r="BD383" s="50"/>
      <c r="BE383" s="20"/>
      <c r="BF383" s="518"/>
      <c r="BG383" s="484"/>
      <c r="BH383" s="484"/>
      <c r="BI383" s="527"/>
      <c r="BJ383" s="484"/>
      <c r="BK383" s="484"/>
      <c r="BL383" s="484"/>
      <c r="BM383" s="484"/>
    </row>
    <row r="384" spans="1:65" s="22" customFormat="1" x14ac:dyDescent="0.25">
      <c r="A384" s="20"/>
      <c r="B384" s="515"/>
      <c r="C384" s="11"/>
      <c r="D384" s="11"/>
      <c r="E384" s="11"/>
      <c r="F384" s="21"/>
      <c r="G384" s="11"/>
      <c r="H384" s="50"/>
      <c r="I384" s="50"/>
      <c r="J384" s="50"/>
      <c r="K384" s="11"/>
      <c r="L384" s="50"/>
      <c r="M384" s="50"/>
      <c r="N384" s="50"/>
      <c r="O384" s="50"/>
      <c r="P384" s="50"/>
      <c r="Q384" s="11"/>
      <c r="R384" s="50"/>
      <c r="S384" s="50"/>
      <c r="T384" s="50"/>
      <c r="U384" s="11"/>
      <c r="V384" s="50"/>
      <c r="W384" s="50"/>
      <c r="X384" s="50"/>
      <c r="Y384" s="50"/>
      <c r="Z384" s="50"/>
      <c r="AA384" s="11"/>
      <c r="AB384" s="50"/>
      <c r="AC384" s="50"/>
      <c r="AD384" s="50"/>
      <c r="AE384" s="11"/>
      <c r="AF384" s="50"/>
      <c r="AG384" s="50"/>
      <c r="AH384" s="50"/>
      <c r="AI384" s="11"/>
      <c r="AJ384" s="50"/>
      <c r="AK384" s="50"/>
      <c r="AL384" s="50"/>
      <c r="AM384" s="11"/>
      <c r="AN384" s="50"/>
      <c r="AO384" s="50"/>
      <c r="AP384" s="50"/>
      <c r="AQ384" s="11"/>
      <c r="AR384" s="50"/>
      <c r="AS384" s="50"/>
      <c r="AT384" s="50"/>
      <c r="AU384" s="11"/>
      <c r="AV384" s="50"/>
      <c r="AW384" s="50"/>
      <c r="AX384" s="50"/>
      <c r="AY384" s="50"/>
      <c r="AZ384" s="50"/>
      <c r="BA384" s="50"/>
      <c r="BB384" s="50"/>
      <c r="BC384" s="50"/>
      <c r="BD384" s="50"/>
      <c r="BE384" s="20"/>
      <c r="BF384" s="518"/>
      <c r="BG384" s="484"/>
      <c r="BH384" s="484"/>
      <c r="BI384" s="527"/>
      <c r="BJ384" s="484"/>
      <c r="BK384" s="484"/>
      <c r="BL384" s="484"/>
      <c r="BM384" s="484"/>
    </row>
    <row r="385" spans="1:65" s="22" customFormat="1" x14ac:dyDescent="0.25">
      <c r="A385" s="20"/>
      <c r="B385" s="515"/>
      <c r="C385" s="11"/>
      <c r="D385" s="11"/>
      <c r="E385" s="11"/>
      <c r="F385" s="21"/>
      <c r="G385" s="11"/>
      <c r="H385" s="50"/>
      <c r="I385" s="50"/>
      <c r="J385" s="50"/>
      <c r="K385" s="11"/>
      <c r="L385" s="50"/>
      <c r="M385" s="50"/>
      <c r="N385" s="50"/>
      <c r="O385" s="50"/>
      <c r="P385" s="50"/>
      <c r="Q385" s="11"/>
      <c r="R385" s="50"/>
      <c r="S385" s="50"/>
      <c r="T385" s="50"/>
      <c r="U385" s="11"/>
      <c r="V385" s="50"/>
      <c r="W385" s="50"/>
      <c r="X385" s="50"/>
      <c r="Y385" s="50"/>
      <c r="Z385" s="50"/>
      <c r="AA385" s="11"/>
      <c r="AB385" s="50"/>
      <c r="AC385" s="50"/>
      <c r="AD385" s="50"/>
      <c r="AE385" s="11"/>
      <c r="AF385" s="50"/>
      <c r="AG385" s="50"/>
      <c r="AH385" s="50"/>
      <c r="AI385" s="11"/>
      <c r="AJ385" s="50"/>
      <c r="AK385" s="50"/>
      <c r="AL385" s="50"/>
      <c r="AM385" s="11"/>
      <c r="AN385" s="50"/>
      <c r="AO385" s="50"/>
      <c r="AP385" s="50"/>
      <c r="AQ385" s="11"/>
      <c r="AR385" s="50"/>
      <c r="AS385" s="50"/>
      <c r="AT385" s="50"/>
      <c r="AU385" s="11"/>
      <c r="AV385" s="50"/>
      <c r="AW385" s="50"/>
      <c r="AX385" s="50"/>
      <c r="AY385" s="50"/>
      <c r="AZ385" s="50"/>
      <c r="BA385" s="50"/>
      <c r="BB385" s="50"/>
      <c r="BC385" s="50"/>
      <c r="BD385" s="50"/>
      <c r="BE385" s="20"/>
      <c r="BF385" s="518"/>
      <c r="BG385" s="484"/>
      <c r="BH385" s="484"/>
      <c r="BI385" s="527"/>
      <c r="BJ385" s="484"/>
      <c r="BK385" s="484"/>
      <c r="BL385" s="484"/>
      <c r="BM385" s="484"/>
    </row>
    <row r="386" spans="1:65" s="22" customFormat="1" x14ac:dyDescent="0.25">
      <c r="A386" s="20"/>
      <c r="B386" s="515"/>
      <c r="C386" s="11"/>
      <c r="D386" s="11"/>
      <c r="E386" s="11"/>
      <c r="F386" s="21"/>
      <c r="G386" s="11"/>
      <c r="H386" s="50"/>
      <c r="I386" s="50"/>
      <c r="J386" s="50"/>
      <c r="K386" s="11"/>
      <c r="L386" s="50"/>
      <c r="M386" s="50"/>
      <c r="N386" s="50"/>
      <c r="O386" s="50"/>
      <c r="P386" s="50"/>
      <c r="Q386" s="11"/>
      <c r="R386" s="50"/>
      <c r="S386" s="50"/>
      <c r="T386" s="50"/>
      <c r="U386" s="11"/>
      <c r="V386" s="50"/>
      <c r="W386" s="50"/>
      <c r="X386" s="50"/>
      <c r="Y386" s="50"/>
      <c r="Z386" s="50"/>
      <c r="AA386" s="11"/>
      <c r="AB386" s="50"/>
      <c r="AC386" s="50"/>
      <c r="AD386" s="50"/>
      <c r="AE386" s="11"/>
      <c r="AF386" s="50"/>
      <c r="AG386" s="50"/>
      <c r="AH386" s="50"/>
      <c r="AI386" s="11"/>
      <c r="AJ386" s="50"/>
      <c r="AK386" s="50"/>
      <c r="AL386" s="50"/>
      <c r="AM386" s="11"/>
      <c r="AN386" s="50"/>
      <c r="AO386" s="50"/>
      <c r="AP386" s="50"/>
      <c r="AQ386" s="11"/>
      <c r="AR386" s="50"/>
      <c r="AS386" s="50"/>
      <c r="AT386" s="50"/>
      <c r="AU386" s="11"/>
      <c r="AV386" s="50"/>
      <c r="AW386" s="50"/>
      <c r="AX386" s="50"/>
      <c r="AY386" s="50"/>
      <c r="AZ386" s="50"/>
      <c r="BA386" s="50"/>
      <c r="BB386" s="50"/>
      <c r="BC386" s="50"/>
      <c r="BD386" s="50"/>
      <c r="BE386" s="20"/>
      <c r="BF386" s="518"/>
      <c r="BG386" s="484"/>
      <c r="BH386" s="484"/>
      <c r="BI386" s="527"/>
      <c r="BJ386" s="484"/>
      <c r="BK386" s="484"/>
      <c r="BL386" s="484"/>
      <c r="BM386" s="484"/>
    </row>
    <row r="387" spans="1:65" s="22" customFormat="1" x14ac:dyDescent="0.25">
      <c r="A387" s="20"/>
      <c r="B387" s="515"/>
      <c r="C387" s="11"/>
      <c r="D387" s="11"/>
      <c r="E387" s="11"/>
      <c r="F387" s="21"/>
      <c r="G387" s="11"/>
      <c r="H387" s="50"/>
      <c r="I387" s="50"/>
      <c r="J387" s="50"/>
      <c r="K387" s="11"/>
      <c r="L387" s="50"/>
      <c r="M387" s="50"/>
      <c r="N387" s="50"/>
      <c r="O387" s="50"/>
      <c r="P387" s="50"/>
      <c r="Q387" s="11"/>
      <c r="R387" s="50"/>
      <c r="S387" s="50"/>
      <c r="T387" s="50"/>
      <c r="U387" s="11"/>
      <c r="V387" s="50"/>
      <c r="W387" s="50"/>
      <c r="X387" s="50"/>
      <c r="Y387" s="50"/>
      <c r="Z387" s="50"/>
      <c r="AA387" s="11"/>
      <c r="AB387" s="50"/>
      <c r="AC387" s="50"/>
      <c r="AD387" s="50"/>
      <c r="AE387" s="11"/>
      <c r="AF387" s="50"/>
      <c r="AG387" s="50"/>
      <c r="AH387" s="50"/>
      <c r="AI387" s="11"/>
      <c r="AJ387" s="50"/>
      <c r="AK387" s="50"/>
      <c r="AL387" s="50"/>
      <c r="AM387" s="11"/>
      <c r="AN387" s="50"/>
      <c r="AO387" s="50"/>
      <c r="AP387" s="50"/>
      <c r="AQ387" s="11"/>
      <c r="AR387" s="50"/>
      <c r="AS387" s="50"/>
      <c r="AT387" s="50"/>
      <c r="AU387" s="11"/>
      <c r="AV387" s="50"/>
      <c r="AW387" s="50"/>
      <c r="AX387" s="50"/>
      <c r="AY387" s="50"/>
      <c r="AZ387" s="50"/>
      <c r="BA387" s="50"/>
      <c r="BB387" s="50"/>
      <c r="BC387" s="50"/>
      <c r="BD387" s="50"/>
      <c r="BE387" s="20"/>
      <c r="BF387" s="518"/>
      <c r="BG387" s="484"/>
      <c r="BH387" s="484"/>
      <c r="BI387" s="527"/>
      <c r="BJ387" s="484"/>
      <c r="BK387" s="484"/>
      <c r="BL387" s="484"/>
      <c r="BM387" s="484"/>
    </row>
    <row r="388" spans="1:65" s="22" customFormat="1" x14ac:dyDescent="0.25">
      <c r="A388" s="20"/>
      <c r="B388" s="515"/>
      <c r="C388" s="11"/>
      <c r="D388" s="11"/>
      <c r="E388" s="11"/>
      <c r="F388" s="21"/>
      <c r="G388" s="11"/>
      <c r="H388" s="50"/>
      <c r="I388" s="50"/>
      <c r="J388" s="50"/>
      <c r="K388" s="11"/>
      <c r="L388" s="50"/>
      <c r="M388" s="50"/>
      <c r="N388" s="50"/>
      <c r="O388" s="50"/>
      <c r="P388" s="50"/>
      <c r="Q388" s="11"/>
      <c r="R388" s="50"/>
      <c r="S388" s="50"/>
      <c r="T388" s="50"/>
      <c r="U388" s="11"/>
      <c r="V388" s="50"/>
      <c r="W388" s="50"/>
      <c r="X388" s="50"/>
      <c r="Y388" s="50"/>
      <c r="Z388" s="50"/>
      <c r="AA388" s="11"/>
      <c r="AB388" s="50"/>
      <c r="AC388" s="50"/>
      <c r="AD388" s="50"/>
      <c r="AE388" s="11"/>
      <c r="AF388" s="50"/>
      <c r="AG388" s="50"/>
      <c r="AH388" s="50"/>
      <c r="AI388" s="11"/>
      <c r="AJ388" s="50"/>
      <c r="AK388" s="50"/>
      <c r="AL388" s="50"/>
      <c r="AM388" s="11"/>
      <c r="AN388" s="50"/>
      <c r="AO388" s="50"/>
      <c r="AP388" s="50"/>
      <c r="AQ388" s="11"/>
      <c r="AR388" s="50"/>
      <c r="AS388" s="50"/>
      <c r="AT388" s="50"/>
      <c r="AU388" s="11"/>
      <c r="AV388" s="50"/>
      <c r="AW388" s="50"/>
      <c r="AX388" s="50"/>
      <c r="AY388" s="50"/>
      <c r="AZ388" s="50"/>
      <c r="BA388" s="50"/>
      <c r="BB388" s="50"/>
      <c r="BC388" s="50"/>
      <c r="BD388" s="50"/>
      <c r="BE388" s="20"/>
      <c r="BF388" s="518"/>
      <c r="BG388" s="484"/>
      <c r="BH388" s="484"/>
      <c r="BI388" s="527"/>
      <c r="BJ388" s="484"/>
      <c r="BK388" s="484"/>
      <c r="BL388" s="484"/>
      <c r="BM388" s="484"/>
    </row>
    <row r="389" spans="1:65" s="22" customFormat="1" x14ac:dyDescent="0.25">
      <c r="A389" s="20"/>
      <c r="B389" s="515"/>
      <c r="C389" s="11"/>
      <c r="D389" s="11"/>
      <c r="E389" s="11"/>
      <c r="F389" s="21"/>
      <c r="G389" s="11"/>
      <c r="H389" s="50"/>
      <c r="I389" s="50"/>
      <c r="J389" s="50"/>
      <c r="K389" s="11"/>
      <c r="L389" s="50"/>
      <c r="M389" s="50"/>
      <c r="N389" s="50"/>
      <c r="O389" s="50"/>
      <c r="P389" s="50"/>
      <c r="Q389" s="11"/>
      <c r="R389" s="50"/>
      <c r="S389" s="50"/>
      <c r="T389" s="50"/>
      <c r="U389" s="11"/>
      <c r="V389" s="50"/>
      <c r="W389" s="50"/>
      <c r="X389" s="50"/>
      <c r="Y389" s="50"/>
      <c r="Z389" s="50"/>
      <c r="AA389" s="11"/>
      <c r="AB389" s="50"/>
      <c r="AC389" s="50"/>
      <c r="AD389" s="50"/>
      <c r="AE389" s="11"/>
      <c r="AF389" s="50"/>
      <c r="AG389" s="50"/>
      <c r="AH389" s="50"/>
      <c r="AI389" s="11"/>
      <c r="AJ389" s="50"/>
      <c r="AK389" s="50"/>
      <c r="AL389" s="50"/>
      <c r="AM389" s="11"/>
      <c r="AN389" s="50"/>
      <c r="AO389" s="50"/>
      <c r="AP389" s="50"/>
      <c r="AQ389" s="11"/>
      <c r="AR389" s="50"/>
      <c r="AS389" s="50"/>
      <c r="AT389" s="50"/>
      <c r="AU389" s="11"/>
      <c r="AV389" s="50"/>
      <c r="AW389" s="50"/>
      <c r="AX389" s="50"/>
      <c r="AY389" s="50"/>
      <c r="AZ389" s="50"/>
      <c r="BA389" s="50"/>
      <c r="BB389" s="50"/>
      <c r="BC389" s="50"/>
      <c r="BD389" s="50"/>
      <c r="BE389" s="20"/>
      <c r="BF389" s="518"/>
      <c r="BG389" s="484"/>
      <c r="BH389" s="484"/>
      <c r="BI389" s="527"/>
      <c r="BJ389" s="484"/>
      <c r="BK389" s="484"/>
      <c r="BL389" s="484"/>
      <c r="BM389" s="484"/>
    </row>
    <row r="390" spans="1:65" s="22" customFormat="1" x14ac:dyDescent="0.25">
      <c r="A390" s="20"/>
      <c r="B390" s="515"/>
      <c r="C390" s="11"/>
      <c r="D390" s="11"/>
      <c r="E390" s="11"/>
      <c r="F390" s="21"/>
      <c r="G390" s="11"/>
      <c r="H390" s="50"/>
      <c r="I390" s="50"/>
      <c r="J390" s="50"/>
      <c r="K390" s="11"/>
      <c r="L390" s="50"/>
      <c r="M390" s="50"/>
      <c r="N390" s="50"/>
      <c r="O390" s="50"/>
      <c r="P390" s="50"/>
      <c r="Q390" s="11"/>
      <c r="R390" s="50"/>
      <c r="S390" s="50"/>
      <c r="T390" s="50"/>
      <c r="U390" s="11"/>
      <c r="V390" s="50"/>
      <c r="W390" s="50"/>
      <c r="X390" s="50"/>
      <c r="Y390" s="50"/>
      <c r="Z390" s="50"/>
      <c r="AA390" s="11"/>
      <c r="AB390" s="50"/>
      <c r="AC390" s="50"/>
      <c r="AD390" s="50"/>
      <c r="AE390" s="11"/>
      <c r="AF390" s="50"/>
      <c r="AG390" s="50"/>
      <c r="AH390" s="50"/>
      <c r="AI390" s="11"/>
      <c r="AJ390" s="50"/>
      <c r="AK390" s="50"/>
      <c r="AL390" s="50"/>
      <c r="AM390" s="11"/>
      <c r="AN390" s="50"/>
      <c r="AO390" s="50"/>
      <c r="AP390" s="50"/>
      <c r="AQ390" s="11"/>
      <c r="AR390" s="50"/>
      <c r="AS390" s="50"/>
      <c r="AT390" s="50"/>
      <c r="AU390" s="11"/>
      <c r="AV390" s="50"/>
      <c r="AW390" s="50"/>
      <c r="AX390" s="50"/>
      <c r="AY390" s="50"/>
      <c r="AZ390" s="50"/>
      <c r="BA390" s="50"/>
      <c r="BB390" s="50"/>
      <c r="BC390" s="50"/>
      <c r="BD390" s="50"/>
      <c r="BE390" s="20"/>
      <c r="BF390" s="518"/>
      <c r="BG390" s="484"/>
      <c r="BH390" s="484"/>
      <c r="BI390" s="527"/>
      <c r="BJ390" s="484"/>
      <c r="BK390" s="484"/>
      <c r="BL390" s="484"/>
      <c r="BM390" s="484"/>
    </row>
    <row r="391" spans="1:65" s="22" customFormat="1" x14ac:dyDescent="0.25">
      <c r="A391" s="20"/>
      <c r="B391" s="515"/>
      <c r="C391" s="11"/>
      <c r="D391" s="11"/>
      <c r="E391" s="11"/>
      <c r="F391" s="21"/>
      <c r="G391" s="11"/>
      <c r="H391" s="50"/>
      <c r="I391" s="50"/>
      <c r="J391" s="50"/>
      <c r="K391" s="11"/>
      <c r="L391" s="50"/>
      <c r="M391" s="50"/>
      <c r="N391" s="50"/>
      <c r="O391" s="50"/>
      <c r="P391" s="50"/>
      <c r="Q391" s="11"/>
      <c r="R391" s="50"/>
      <c r="S391" s="50"/>
      <c r="T391" s="50"/>
      <c r="U391" s="11"/>
      <c r="V391" s="50"/>
      <c r="W391" s="50"/>
      <c r="X391" s="50"/>
      <c r="Y391" s="50"/>
      <c r="Z391" s="50"/>
      <c r="AA391" s="11"/>
      <c r="AB391" s="50"/>
      <c r="AC391" s="50"/>
      <c r="AD391" s="50"/>
      <c r="AE391" s="11"/>
      <c r="AF391" s="50"/>
      <c r="AG391" s="50"/>
      <c r="AH391" s="50"/>
      <c r="AI391" s="11"/>
      <c r="AJ391" s="50"/>
      <c r="AK391" s="50"/>
      <c r="AL391" s="50"/>
      <c r="AM391" s="11"/>
      <c r="AN391" s="50"/>
      <c r="AO391" s="50"/>
      <c r="AP391" s="50"/>
      <c r="AQ391" s="11"/>
      <c r="AR391" s="50"/>
      <c r="AS391" s="50"/>
      <c r="AT391" s="50"/>
      <c r="AU391" s="11"/>
      <c r="AV391" s="50"/>
      <c r="AW391" s="50"/>
      <c r="AX391" s="50"/>
      <c r="AY391" s="50"/>
      <c r="AZ391" s="50"/>
      <c r="BA391" s="50"/>
      <c r="BB391" s="50"/>
      <c r="BC391" s="50"/>
      <c r="BD391" s="50"/>
      <c r="BE391" s="20"/>
      <c r="BF391" s="518"/>
      <c r="BG391" s="484"/>
      <c r="BH391" s="484"/>
      <c r="BI391" s="527"/>
      <c r="BJ391" s="484"/>
      <c r="BK391" s="484"/>
      <c r="BL391" s="484"/>
      <c r="BM391" s="484"/>
    </row>
    <row r="392" spans="1:65" s="22" customFormat="1" x14ac:dyDescent="0.25">
      <c r="A392" s="20"/>
      <c r="B392" s="515"/>
      <c r="C392" s="11"/>
      <c r="D392" s="11"/>
      <c r="E392" s="11"/>
      <c r="F392" s="21"/>
      <c r="G392" s="11"/>
      <c r="H392" s="50"/>
      <c r="I392" s="50"/>
      <c r="J392" s="50"/>
      <c r="K392" s="11"/>
      <c r="L392" s="50"/>
      <c r="M392" s="50"/>
      <c r="N392" s="50"/>
      <c r="O392" s="50"/>
      <c r="P392" s="50"/>
      <c r="Q392" s="11"/>
      <c r="R392" s="50"/>
      <c r="S392" s="50"/>
      <c r="T392" s="50"/>
      <c r="U392" s="11"/>
      <c r="V392" s="50"/>
      <c r="W392" s="50"/>
      <c r="X392" s="50"/>
      <c r="Y392" s="50"/>
      <c r="Z392" s="50"/>
      <c r="AA392" s="11"/>
      <c r="AB392" s="50"/>
      <c r="AC392" s="50"/>
      <c r="AD392" s="50"/>
      <c r="AE392" s="11"/>
      <c r="AF392" s="50"/>
      <c r="AG392" s="50"/>
      <c r="AH392" s="50"/>
      <c r="AI392" s="11"/>
      <c r="AJ392" s="50"/>
      <c r="AK392" s="50"/>
      <c r="AL392" s="50"/>
      <c r="AM392" s="11"/>
      <c r="AN392" s="50"/>
      <c r="AO392" s="50"/>
      <c r="AP392" s="50"/>
      <c r="AQ392" s="11"/>
      <c r="AR392" s="50"/>
      <c r="AS392" s="50"/>
      <c r="AT392" s="50"/>
      <c r="AU392" s="11"/>
      <c r="AV392" s="50"/>
      <c r="AW392" s="50"/>
      <c r="AX392" s="50"/>
      <c r="AY392" s="50"/>
      <c r="AZ392" s="50"/>
      <c r="BA392" s="50"/>
      <c r="BB392" s="50"/>
      <c r="BC392" s="50"/>
      <c r="BD392" s="50"/>
      <c r="BE392" s="20"/>
      <c r="BF392" s="518"/>
      <c r="BG392" s="484"/>
      <c r="BH392" s="484"/>
      <c r="BI392" s="527"/>
      <c r="BJ392" s="484"/>
      <c r="BK392" s="484"/>
      <c r="BL392" s="484"/>
      <c r="BM392" s="484"/>
    </row>
    <row r="393" spans="1:65" s="22" customFormat="1" x14ac:dyDescent="0.25">
      <c r="A393" s="20"/>
      <c r="B393" s="515"/>
      <c r="C393" s="11"/>
      <c r="D393" s="11"/>
      <c r="E393" s="11"/>
      <c r="F393" s="21"/>
      <c r="G393" s="11"/>
      <c r="H393" s="50"/>
      <c r="I393" s="50"/>
      <c r="J393" s="50"/>
      <c r="K393" s="11"/>
      <c r="L393" s="50"/>
      <c r="M393" s="50"/>
      <c r="N393" s="50"/>
      <c r="O393" s="50"/>
      <c r="P393" s="50"/>
      <c r="Q393" s="11"/>
      <c r="R393" s="50"/>
      <c r="S393" s="50"/>
      <c r="T393" s="50"/>
      <c r="U393" s="11"/>
      <c r="V393" s="50"/>
      <c r="W393" s="50"/>
      <c r="X393" s="50"/>
      <c r="Y393" s="50"/>
      <c r="Z393" s="50"/>
      <c r="AA393" s="11"/>
      <c r="AB393" s="50"/>
      <c r="AC393" s="50"/>
      <c r="AD393" s="50"/>
      <c r="AE393" s="11"/>
      <c r="AF393" s="50"/>
      <c r="AG393" s="50"/>
      <c r="AH393" s="50"/>
      <c r="AI393" s="11"/>
      <c r="AJ393" s="50"/>
      <c r="AK393" s="50"/>
      <c r="AL393" s="50"/>
      <c r="AM393" s="11"/>
      <c r="AN393" s="50"/>
      <c r="AO393" s="50"/>
      <c r="AP393" s="50"/>
      <c r="AQ393" s="11"/>
      <c r="AR393" s="50"/>
      <c r="AS393" s="50"/>
      <c r="AT393" s="50"/>
      <c r="AU393" s="11"/>
      <c r="AV393" s="50"/>
      <c r="AW393" s="50"/>
      <c r="AX393" s="50"/>
      <c r="AY393" s="50"/>
      <c r="AZ393" s="50"/>
      <c r="BA393" s="50"/>
      <c r="BB393" s="50"/>
      <c r="BC393" s="50"/>
      <c r="BD393" s="50"/>
      <c r="BE393" s="20"/>
      <c r="BF393" s="518"/>
      <c r="BG393" s="484"/>
      <c r="BH393" s="484"/>
      <c r="BI393" s="527"/>
      <c r="BJ393" s="484"/>
      <c r="BK393" s="484"/>
      <c r="BL393" s="484"/>
      <c r="BM393" s="484"/>
    </row>
    <row r="394" spans="1:65" s="22" customFormat="1" x14ac:dyDescent="0.25">
      <c r="A394" s="20"/>
      <c r="B394" s="515"/>
      <c r="C394" s="11"/>
      <c r="D394" s="11"/>
      <c r="E394" s="11"/>
      <c r="F394" s="21"/>
      <c r="G394" s="11"/>
      <c r="H394" s="50"/>
      <c r="I394" s="50"/>
      <c r="J394" s="50"/>
      <c r="K394" s="11"/>
      <c r="L394" s="50"/>
      <c r="M394" s="50"/>
      <c r="N394" s="50"/>
      <c r="O394" s="50"/>
      <c r="P394" s="50"/>
      <c r="Q394" s="11"/>
      <c r="R394" s="50"/>
      <c r="S394" s="50"/>
      <c r="T394" s="50"/>
      <c r="U394" s="11"/>
      <c r="V394" s="50"/>
      <c r="W394" s="50"/>
      <c r="X394" s="50"/>
      <c r="Y394" s="50"/>
      <c r="Z394" s="50"/>
      <c r="AA394" s="11"/>
      <c r="AB394" s="50"/>
      <c r="AC394" s="50"/>
      <c r="AD394" s="50"/>
      <c r="AE394" s="11"/>
      <c r="AF394" s="50"/>
      <c r="AG394" s="50"/>
      <c r="AH394" s="50"/>
      <c r="AI394" s="11"/>
      <c r="AJ394" s="50"/>
      <c r="AK394" s="50"/>
      <c r="AL394" s="50"/>
      <c r="AM394" s="11"/>
      <c r="AN394" s="50"/>
      <c r="AO394" s="50"/>
      <c r="AP394" s="50"/>
      <c r="AQ394" s="11"/>
      <c r="AR394" s="50"/>
      <c r="AS394" s="50"/>
      <c r="AT394" s="50"/>
      <c r="AU394" s="11"/>
      <c r="AV394" s="50"/>
      <c r="AW394" s="50"/>
      <c r="AX394" s="50"/>
      <c r="AY394" s="50"/>
      <c r="AZ394" s="50"/>
      <c r="BA394" s="50"/>
      <c r="BB394" s="50"/>
      <c r="BC394" s="50"/>
      <c r="BD394" s="50"/>
      <c r="BE394" s="20"/>
      <c r="BF394" s="518"/>
      <c r="BG394" s="484"/>
      <c r="BH394" s="484"/>
      <c r="BI394" s="527"/>
      <c r="BJ394" s="484"/>
      <c r="BK394" s="484"/>
      <c r="BL394" s="484"/>
      <c r="BM394" s="484"/>
    </row>
    <row r="395" spans="1:65" s="22" customFormat="1" x14ac:dyDescent="0.25">
      <c r="A395" s="20"/>
      <c r="B395" s="515"/>
      <c r="C395" s="11"/>
      <c r="D395" s="11"/>
      <c r="E395" s="11"/>
      <c r="F395" s="21"/>
      <c r="G395" s="11"/>
      <c r="H395" s="50"/>
      <c r="I395" s="50"/>
      <c r="J395" s="50"/>
      <c r="K395" s="11"/>
      <c r="L395" s="50"/>
      <c r="M395" s="50"/>
      <c r="N395" s="50"/>
      <c r="O395" s="50"/>
      <c r="P395" s="50"/>
      <c r="Q395" s="11"/>
      <c r="R395" s="50"/>
      <c r="S395" s="50"/>
      <c r="T395" s="50"/>
      <c r="U395" s="11"/>
      <c r="V395" s="50"/>
      <c r="W395" s="50"/>
      <c r="X395" s="50"/>
      <c r="Y395" s="50"/>
      <c r="Z395" s="50"/>
      <c r="AA395" s="11"/>
      <c r="AB395" s="50"/>
      <c r="AC395" s="50"/>
      <c r="AD395" s="50"/>
      <c r="AE395" s="11"/>
      <c r="AF395" s="50"/>
      <c r="AG395" s="50"/>
      <c r="AH395" s="50"/>
      <c r="AI395" s="11"/>
      <c r="AJ395" s="50"/>
      <c r="AK395" s="50"/>
      <c r="AL395" s="50"/>
      <c r="AM395" s="11"/>
      <c r="AN395" s="50"/>
      <c r="AO395" s="50"/>
      <c r="AP395" s="50"/>
      <c r="AQ395" s="11"/>
      <c r="AR395" s="50"/>
      <c r="AS395" s="50"/>
      <c r="AT395" s="50"/>
      <c r="AU395" s="11"/>
      <c r="AV395" s="50"/>
      <c r="AW395" s="50"/>
      <c r="AX395" s="50"/>
      <c r="AY395" s="50"/>
      <c r="AZ395" s="50"/>
      <c r="BA395" s="50"/>
      <c r="BB395" s="50"/>
      <c r="BC395" s="50"/>
      <c r="BD395" s="50"/>
      <c r="BE395" s="20"/>
      <c r="BF395" s="518"/>
      <c r="BG395" s="484"/>
      <c r="BH395" s="484"/>
      <c r="BI395" s="527"/>
      <c r="BJ395" s="484"/>
      <c r="BK395" s="484"/>
      <c r="BL395" s="484"/>
      <c r="BM395" s="484"/>
    </row>
    <row r="396" spans="1:65" s="22" customFormat="1" x14ac:dyDescent="0.25">
      <c r="A396" s="20"/>
      <c r="B396" s="515"/>
      <c r="C396" s="11"/>
      <c r="D396" s="11"/>
      <c r="E396" s="11"/>
      <c r="F396" s="21"/>
      <c r="G396" s="11"/>
      <c r="H396" s="50"/>
      <c r="I396" s="50"/>
      <c r="J396" s="50"/>
      <c r="K396" s="11"/>
      <c r="L396" s="50"/>
      <c r="M396" s="50"/>
      <c r="N396" s="50"/>
      <c r="O396" s="50"/>
      <c r="P396" s="50"/>
      <c r="Q396" s="11"/>
      <c r="R396" s="50"/>
      <c r="S396" s="50"/>
      <c r="T396" s="50"/>
      <c r="U396" s="11"/>
      <c r="V396" s="50"/>
      <c r="W396" s="50"/>
      <c r="X396" s="50"/>
      <c r="Y396" s="50"/>
      <c r="Z396" s="50"/>
      <c r="AA396" s="11"/>
      <c r="AB396" s="50"/>
      <c r="AC396" s="50"/>
      <c r="AD396" s="50"/>
      <c r="AE396" s="11"/>
      <c r="AF396" s="50"/>
      <c r="AG396" s="50"/>
      <c r="AH396" s="50"/>
      <c r="AI396" s="11"/>
      <c r="AJ396" s="50"/>
      <c r="AK396" s="50"/>
      <c r="AL396" s="50"/>
      <c r="AM396" s="11"/>
      <c r="AN396" s="50"/>
      <c r="AO396" s="50"/>
      <c r="AP396" s="50"/>
      <c r="AQ396" s="11"/>
      <c r="AR396" s="50"/>
      <c r="AS396" s="50"/>
      <c r="AT396" s="50"/>
      <c r="AU396" s="11"/>
      <c r="AV396" s="50"/>
      <c r="AW396" s="50"/>
      <c r="AX396" s="50"/>
      <c r="AY396" s="50"/>
      <c r="AZ396" s="50"/>
      <c r="BA396" s="50"/>
      <c r="BB396" s="50"/>
      <c r="BC396" s="50"/>
      <c r="BD396" s="50"/>
      <c r="BE396" s="20"/>
      <c r="BF396" s="518"/>
      <c r="BG396" s="484"/>
      <c r="BH396" s="484"/>
      <c r="BI396" s="527"/>
      <c r="BJ396" s="484"/>
      <c r="BK396" s="484"/>
      <c r="BL396" s="484"/>
      <c r="BM396" s="484"/>
    </row>
    <row r="397" spans="1:65" s="22" customFormat="1" x14ac:dyDescent="0.25">
      <c r="A397" s="20"/>
      <c r="B397" s="515"/>
      <c r="C397" s="11"/>
      <c r="D397" s="11"/>
      <c r="E397" s="11"/>
      <c r="F397" s="21"/>
      <c r="G397" s="11"/>
      <c r="H397" s="50"/>
      <c r="I397" s="50"/>
      <c r="J397" s="50"/>
      <c r="K397" s="11"/>
      <c r="L397" s="50"/>
      <c r="M397" s="50"/>
      <c r="N397" s="50"/>
      <c r="O397" s="50"/>
      <c r="P397" s="50"/>
      <c r="Q397" s="11"/>
      <c r="R397" s="50"/>
      <c r="S397" s="50"/>
      <c r="T397" s="50"/>
      <c r="U397" s="11"/>
      <c r="V397" s="50"/>
      <c r="W397" s="50"/>
      <c r="X397" s="50"/>
      <c r="Y397" s="50"/>
      <c r="Z397" s="50"/>
      <c r="AA397" s="11"/>
      <c r="AB397" s="50"/>
      <c r="AC397" s="50"/>
      <c r="AD397" s="50"/>
      <c r="AE397" s="11"/>
      <c r="AF397" s="50"/>
      <c r="AG397" s="50"/>
      <c r="AH397" s="50"/>
      <c r="AI397" s="11"/>
      <c r="AJ397" s="50"/>
      <c r="AK397" s="50"/>
      <c r="AL397" s="50"/>
      <c r="AM397" s="11"/>
      <c r="AN397" s="50"/>
      <c r="AO397" s="50"/>
      <c r="AP397" s="50"/>
      <c r="AQ397" s="11"/>
      <c r="AR397" s="50"/>
      <c r="AS397" s="50"/>
      <c r="AT397" s="50"/>
      <c r="AU397" s="11"/>
      <c r="AV397" s="50"/>
      <c r="AW397" s="50"/>
      <c r="AX397" s="50"/>
      <c r="AY397" s="50"/>
      <c r="AZ397" s="50"/>
      <c r="BA397" s="50"/>
      <c r="BB397" s="50"/>
      <c r="BC397" s="50"/>
      <c r="BD397" s="50"/>
      <c r="BE397" s="20"/>
      <c r="BF397" s="518"/>
      <c r="BG397" s="484"/>
      <c r="BH397" s="484"/>
      <c r="BI397" s="527"/>
      <c r="BJ397" s="484"/>
      <c r="BK397" s="484"/>
      <c r="BL397" s="484"/>
      <c r="BM397" s="484"/>
    </row>
    <row r="398" spans="1:65" s="22" customFormat="1" x14ac:dyDescent="0.25">
      <c r="A398" s="20"/>
      <c r="B398" s="515"/>
      <c r="C398" s="11"/>
      <c r="D398" s="11"/>
      <c r="E398" s="11"/>
      <c r="F398" s="21"/>
      <c r="G398" s="11"/>
      <c r="H398" s="50"/>
      <c r="I398" s="50"/>
      <c r="J398" s="50"/>
      <c r="K398" s="11"/>
      <c r="L398" s="50"/>
      <c r="M398" s="50"/>
      <c r="N398" s="50"/>
      <c r="O398" s="50"/>
      <c r="P398" s="50"/>
      <c r="Q398" s="11"/>
      <c r="R398" s="50"/>
      <c r="S398" s="50"/>
      <c r="T398" s="50"/>
      <c r="U398" s="11"/>
      <c r="V398" s="50"/>
      <c r="W398" s="50"/>
      <c r="X398" s="50"/>
      <c r="Y398" s="50"/>
      <c r="Z398" s="50"/>
      <c r="AA398" s="11"/>
      <c r="AB398" s="50"/>
      <c r="AC398" s="50"/>
      <c r="AD398" s="50"/>
      <c r="AE398" s="11"/>
      <c r="AF398" s="50"/>
      <c r="AG398" s="50"/>
      <c r="AH398" s="50"/>
      <c r="AI398" s="11"/>
      <c r="AJ398" s="50"/>
      <c r="AK398" s="50"/>
      <c r="AL398" s="50"/>
      <c r="AM398" s="11"/>
      <c r="AN398" s="50"/>
      <c r="AO398" s="50"/>
      <c r="AP398" s="50"/>
      <c r="AQ398" s="11"/>
      <c r="AR398" s="50"/>
      <c r="AS398" s="50"/>
      <c r="AT398" s="50"/>
      <c r="AU398" s="11"/>
      <c r="AV398" s="50"/>
      <c r="AW398" s="50"/>
      <c r="AX398" s="50"/>
      <c r="AY398" s="50"/>
      <c r="AZ398" s="50"/>
      <c r="BA398" s="50"/>
      <c r="BB398" s="50"/>
      <c r="BC398" s="50"/>
      <c r="BD398" s="50"/>
      <c r="BE398" s="20"/>
      <c r="BF398" s="518"/>
      <c r="BG398" s="484"/>
      <c r="BH398" s="484"/>
      <c r="BI398" s="527"/>
      <c r="BJ398" s="484"/>
      <c r="BK398" s="484"/>
      <c r="BL398" s="484"/>
      <c r="BM398" s="484"/>
    </row>
    <row r="399" spans="1:65" s="22" customFormat="1" x14ac:dyDescent="0.25">
      <c r="A399" s="20"/>
      <c r="B399" s="515"/>
      <c r="C399" s="11"/>
      <c r="D399" s="11"/>
      <c r="E399" s="11"/>
      <c r="F399" s="21"/>
      <c r="G399" s="11"/>
      <c r="H399" s="50"/>
      <c r="I399" s="50"/>
      <c r="J399" s="50"/>
      <c r="K399" s="11"/>
      <c r="L399" s="50"/>
      <c r="M399" s="50"/>
      <c r="N399" s="50"/>
      <c r="O399" s="50"/>
      <c r="P399" s="50"/>
      <c r="Q399" s="11"/>
      <c r="R399" s="50"/>
      <c r="S399" s="50"/>
      <c r="T399" s="50"/>
      <c r="U399" s="11"/>
      <c r="V399" s="50"/>
      <c r="W399" s="50"/>
      <c r="X399" s="50"/>
      <c r="Y399" s="50"/>
      <c r="Z399" s="50"/>
      <c r="AA399" s="11"/>
      <c r="AB399" s="50"/>
      <c r="AC399" s="50"/>
      <c r="AD399" s="50"/>
      <c r="AE399" s="11"/>
      <c r="AF399" s="50"/>
      <c r="AG399" s="50"/>
      <c r="AH399" s="50"/>
      <c r="AI399" s="11"/>
      <c r="AJ399" s="50"/>
      <c r="AK399" s="50"/>
      <c r="AL399" s="50"/>
      <c r="AM399" s="11"/>
      <c r="AN399" s="50"/>
      <c r="AO399" s="50"/>
      <c r="AP399" s="50"/>
      <c r="AQ399" s="11"/>
      <c r="AR399" s="50"/>
      <c r="AS399" s="50"/>
      <c r="AT399" s="50"/>
      <c r="AU399" s="11"/>
      <c r="AV399" s="50"/>
      <c r="AW399" s="50"/>
      <c r="AX399" s="50"/>
      <c r="AY399" s="50"/>
      <c r="AZ399" s="50"/>
      <c r="BA399" s="50"/>
      <c r="BB399" s="50"/>
      <c r="BC399" s="50"/>
      <c r="BD399" s="50"/>
      <c r="BE399" s="20"/>
      <c r="BF399" s="518"/>
      <c r="BG399" s="484"/>
      <c r="BH399" s="484"/>
      <c r="BI399" s="527"/>
      <c r="BJ399" s="484"/>
      <c r="BK399" s="484"/>
      <c r="BL399" s="484"/>
      <c r="BM399" s="484"/>
    </row>
    <row r="400" spans="1:65" s="22" customFormat="1" x14ac:dyDescent="0.25">
      <c r="A400" s="20"/>
      <c r="B400" s="515"/>
      <c r="C400" s="11"/>
      <c r="D400" s="11"/>
      <c r="E400" s="11"/>
      <c r="F400" s="21"/>
      <c r="G400" s="11"/>
      <c r="H400" s="50"/>
      <c r="I400" s="50"/>
      <c r="J400" s="50"/>
      <c r="K400" s="11"/>
      <c r="L400" s="50"/>
      <c r="M400" s="50"/>
      <c r="N400" s="50"/>
      <c r="O400" s="50"/>
      <c r="P400" s="50"/>
      <c r="Q400" s="11"/>
      <c r="R400" s="50"/>
      <c r="S400" s="50"/>
      <c r="T400" s="50"/>
      <c r="U400" s="11"/>
      <c r="V400" s="50"/>
      <c r="W400" s="50"/>
      <c r="X400" s="50"/>
      <c r="Y400" s="50"/>
      <c r="Z400" s="50"/>
      <c r="AA400" s="11"/>
      <c r="AB400" s="50"/>
      <c r="AC400" s="50"/>
      <c r="AD400" s="50"/>
      <c r="AE400" s="11"/>
      <c r="AF400" s="50"/>
      <c r="AG400" s="50"/>
      <c r="AH400" s="50"/>
      <c r="AI400" s="11"/>
      <c r="AJ400" s="50"/>
      <c r="AK400" s="50"/>
      <c r="AL400" s="50"/>
      <c r="AM400" s="11"/>
      <c r="AN400" s="50"/>
      <c r="AO400" s="50"/>
      <c r="AP400" s="50"/>
      <c r="AQ400" s="11"/>
      <c r="AR400" s="50"/>
      <c r="AS400" s="50"/>
      <c r="AT400" s="50"/>
      <c r="AU400" s="11"/>
      <c r="AV400" s="50"/>
      <c r="AW400" s="50"/>
      <c r="AX400" s="50"/>
      <c r="AY400" s="50"/>
      <c r="AZ400" s="50"/>
      <c r="BA400" s="50"/>
      <c r="BB400" s="50"/>
      <c r="BC400" s="50"/>
      <c r="BD400" s="50"/>
      <c r="BE400" s="20"/>
      <c r="BF400" s="518"/>
      <c r="BG400" s="484"/>
      <c r="BH400" s="484"/>
      <c r="BI400" s="527"/>
      <c r="BJ400" s="484"/>
      <c r="BK400" s="484"/>
      <c r="BL400" s="484"/>
      <c r="BM400" s="484"/>
    </row>
    <row r="401" spans="1:65" s="22" customFormat="1" x14ac:dyDescent="0.25">
      <c r="A401" s="20"/>
      <c r="B401" s="515"/>
      <c r="C401" s="11"/>
      <c r="D401" s="11"/>
      <c r="E401" s="11"/>
      <c r="F401" s="21"/>
      <c r="G401" s="11"/>
      <c r="H401" s="50"/>
      <c r="I401" s="50"/>
      <c r="J401" s="50"/>
      <c r="K401" s="11"/>
      <c r="L401" s="50"/>
      <c r="M401" s="50"/>
      <c r="N401" s="50"/>
      <c r="O401" s="50"/>
      <c r="P401" s="50"/>
      <c r="Q401" s="11"/>
      <c r="R401" s="50"/>
      <c r="S401" s="50"/>
      <c r="T401" s="50"/>
      <c r="U401" s="11"/>
      <c r="V401" s="50"/>
      <c r="W401" s="50"/>
      <c r="X401" s="50"/>
      <c r="Y401" s="50"/>
      <c r="Z401" s="50"/>
      <c r="AA401" s="11"/>
      <c r="AB401" s="50"/>
      <c r="AC401" s="50"/>
      <c r="AD401" s="50"/>
      <c r="AE401" s="11"/>
      <c r="AF401" s="50"/>
      <c r="AG401" s="50"/>
      <c r="AH401" s="50"/>
      <c r="AI401" s="11"/>
      <c r="AJ401" s="50"/>
      <c r="AK401" s="50"/>
      <c r="AL401" s="50"/>
      <c r="AM401" s="11"/>
      <c r="AN401" s="50"/>
      <c r="AO401" s="50"/>
      <c r="AP401" s="50"/>
      <c r="AQ401" s="11"/>
      <c r="AR401" s="50"/>
      <c r="AS401" s="50"/>
      <c r="AT401" s="50"/>
      <c r="AU401" s="11"/>
      <c r="AV401" s="50"/>
      <c r="AW401" s="50"/>
      <c r="AX401" s="50"/>
      <c r="AY401" s="50"/>
      <c r="AZ401" s="50"/>
      <c r="BA401" s="50"/>
      <c r="BB401" s="50"/>
      <c r="BC401" s="50"/>
      <c r="BD401" s="50"/>
      <c r="BE401" s="20"/>
      <c r="BF401" s="518"/>
      <c r="BG401" s="484"/>
      <c r="BH401" s="484"/>
      <c r="BI401" s="527"/>
      <c r="BJ401" s="484"/>
      <c r="BK401" s="484"/>
      <c r="BL401" s="484"/>
      <c r="BM401" s="484"/>
    </row>
    <row r="402" spans="1:65" s="22" customFormat="1" x14ac:dyDescent="0.25">
      <c r="A402" s="20"/>
      <c r="B402" s="515"/>
      <c r="C402" s="11"/>
      <c r="D402" s="11"/>
      <c r="E402" s="11"/>
      <c r="F402" s="21"/>
      <c r="G402" s="11"/>
      <c r="H402" s="50"/>
      <c r="I402" s="50"/>
      <c r="J402" s="50"/>
      <c r="K402" s="11"/>
      <c r="L402" s="50"/>
      <c r="M402" s="50"/>
      <c r="N402" s="50"/>
      <c r="O402" s="50"/>
      <c r="P402" s="50"/>
      <c r="Q402" s="11"/>
      <c r="R402" s="50"/>
      <c r="S402" s="50"/>
      <c r="T402" s="50"/>
      <c r="U402" s="11"/>
      <c r="V402" s="50"/>
      <c r="W402" s="50"/>
      <c r="X402" s="50"/>
      <c r="Y402" s="50"/>
      <c r="Z402" s="50"/>
      <c r="AA402" s="11"/>
      <c r="AB402" s="50"/>
      <c r="AC402" s="50"/>
      <c r="AD402" s="50"/>
      <c r="AE402" s="11"/>
      <c r="AF402" s="50"/>
      <c r="AG402" s="50"/>
      <c r="AH402" s="50"/>
      <c r="AI402" s="11"/>
      <c r="AJ402" s="50"/>
      <c r="AK402" s="50"/>
      <c r="AL402" s="50"/>
      <c r="AM402" s="11"/>
      <c r="AN402" s="50"/>
      <c r="AO402" s="50"/>
      <c r="AP402" s="50"/>
      <c r="AQ402" s="11"/>
      <c r="AR402" s="50"/>
      <c r="AS402" s="50"/>
      <c r="AT402" s="50"/>
      <c r="AU402" s="11"/>
      <c r="AV402" s="50"/>
      <c r="AW402" s="50"/>
      <c r="AX402" s="50"/>
      <c r="AY402" s="50"/>
      <c r="AZ402" s="50"/>
      <c r="BA402" s="50"/>
      <c r="BB402" s="50"/>
      <c r="BC402" s="50"/>
      <c r="BD402" s="50"/>
      <c r="BE402" s="20"/>
      <c r="BF402" s="518"/>
      <c r="BG402" s="484"/>
      <c r="BH402" s="484"/>
      <c r="BI402" s="527"/>
      <c r="BJ402" s="484"/>
      <c r="BK402" s="484"/>
      <c r="BL402" s="484"/>
      <c r="BM402" s="484"/>
    </row>
    <row r="403" spans="1:65" s="22" customFormat="1" x14ac:dyDescent="0.25">
      <c r="A403" s="20"/>
      <c r="B403" s="515"/>
      <c r="C403" s="11"/>
      <c r="D403" s="11"/>
      <c r="E403" s="11"/>
      <c r="F403" s="21"/>
      <c r="G403" s="11"/>
      <c r="H403" s="50"/>
      <c r="I403" s="50"/>
      <c r="J403" s="50"/>
      <c r="K403" s="11"/>
      <c r="L403" s="50"/>
      <c r="M403" s="50"/>
      <c r="N403" s="50"/>
      <c r="O403" s="50"/>
      <c r="P403" s="50"/>
      <c r="Q403" s="11"/>
      <c r="R403" s="50"/>
      <c r="S403" s="50"/>
      <c r="T403" s="50"/>
      <c r="U403" s="11"/>
      <c r="V403" s="50"/>
      <c r="W403" s="50"/>
      <c r="X403" s="50"/>
      <c r="Y403" s="50"/>
      <c r="Z403" s="50"/>
      <c r="AA403" s="11"/>
      <c r="AB403" s="50"/>
      <c r="AC403" s="50"/>
      <c r="AD403" s="50"/>
      <c r="AE403" s="11"/>
      <c r="AF403" s="50"/>
      <c r="AG403" s="50"/>
      <c r="AH403" s="50"/>
      <c r="AI403" s="11"/>
      <c r="AJ403" s="50"/>
      <c r="AK403" s="50"/>
      <c r="AL403" s="50"/>
      <c r="AM403" s="11"/>
      <c r="AN403" s="50"/>
      <c r="AO403" s="50"/>
      <c r="AP403" s="50"/>
      <c r="AQ403" s="11"/>
      <c r="AR403" s="50"/>
      <c r="AS403" s="50"/>
      <c r="AT403" s="50"/>
      <c r="AU403" s="11"/>
      <c r="AV403" s="50"/>
      <c r="AW403" s="50"/>
      <c r="AX403" s="50"/>
      <c r="AY403" s="50"/>
      <c r="AZ403" s="50"/>
      <c r="BA403" s="50"/>
      <c r="BB403" s="50"/>
      <c r="BC403" s="50"/>
      <c r="BD403" s="50"/>
      <c r="BE403" s="20"/>
      <c r="BF403" s="518"/>
      <c r="BG403" s="484"/>
      <c r="BH403" s="484"/>
      <c r="BI403" s="527"/>
      <c r="BJ403" s="484"/>
      <c r="BK403" s="484"/>
      <c r="BL403" s="484"/>
      <c r="BM403" s="484"/>
    </row>
    <row r="404" spans="1:65" s="22" customFormat="1" x14ac:dyDescent="0.25">
      <c r="A404" s="20"/>
      <c r="B404" s="515"/>
      <c r="C404" s="11"/>
      <c r="D404" s="11"/>
      <c r="E404" s="11"/>
      <c r="F404" s="21"/>
      <c r="G404" s="11"/>
      <c r="H404" s="50"/>
      <c r="I404" s="50"/>
      <c r="J404" s="50"/>
      <c r="K404" s="11"/>
      <c r="L404" s="50"/>
      <c r="M404" s="50"/>
      <c r="N404" s="50"/>
      <c r="O404" s="50"/>
      <c r="P404" s="50"/>
      <c r="Q404" s="11"/>
      <c r="R404" s="50"/>
      <c r="S404" s="50"/>
      <c r="T404" s="50"/>
      <c r="U404" s="11"/>
      <c r="V404" s="50"/>
      <c r="W404" s="50"/>
      <c r="X404" s="50"/>
      <c r="Y404" s="50"/>
      <c r="Z404" s="50"/>
      <c r="AA404" s="11"/>
      <c r="AB404" s="50"/>
      <c r="AC404" s="50"/>
      <c r="AD404" s="50"/>
      <c r="AE404" s="11"/>
      <c r="AF404" s="50"/>
      <c r="AG404" s="50"/>
      <c r="AH404" s="50"/>
      <c r="AI404" s="11"/>
      <c r="AJ404" s="50"/>
      <c r="AK404" s="50"/>
      <c r="AL404" s="50"/>
      <c r="AM404" s="11"/>
      <c r="AN404" s="50"/>
      <c r="AO404" s="50"/>
      <c r="AP404" s="50"/>
      <c r="AQ404" s="11"/>
      <c r="AR404" s="50"/>
      <c r="AS404" s="50"/>
      <c r="AT404" s="50"/>
      <c r="AU404" s="11"/>
      <c r="AV404" s="50"/>
      <c r="AW404" s="50"/>
      <c r="AX404" s="50"/>
      <c r="AY404" s="50"/>
      <c r="AZ404" s="50"/>
      <c r="BA404" s="50"/>
      <c r="BB404" s="50"/>
      <c r="BC404" s="50"/>
      <c r="BD404" s="50"/>
      <c r="BE404" s="20"/>
      <c r="BF404" s="518"/>
      <c r="BG404" s="484"/>
      <c r="BH404" s="484"/>
      <c r="BI404" s="527"/>
      <c r="BJ404" s="484"/>
      <c r="BK404" s="484"/>
      <c r="BL404" s="484"/>
      <c r="BM404" s="484"/>
    </row>
    <row r="405" spans="1:65" s="22" customFormat="1" x14ac:dyDescent="0.25">
      <c r="A405" s="20"/>
      <c r="B405" s="515"/>
      <c r="C405" s="11"/>
      <c r="D405" s="11"/>
      <c r="E405" s="11"/>
      <c r="F405" s="21"/>
      <c r="G405" s="11"/>
      <c r="H405" s="50"/>
      <c r="I405" s="50"/>
      <c r="J405" s="50"/>
      <c r="K405" s="11"/>
      <c r="L405" s="50"/>
      <c r="M405" s="50"/>
      <c r="N405" s="50"/>
      <c r="O405" s="50"/>
      <c r="P405" s="50"/>
      <c r="Q405" s="11"/>
      <c r="R405" s="50"/>
      <c r="S405" s="50"/>
      <c r="T405" s="50"/>
      <c r="U405" s="11"/>
      <c r="V405" s="50"/>
      <c r="W405" s="50"/>
      <c r="X405" s="50"/>
      <c r="Y405" s="50"/>
      <c r="Z405" s="50"/>
      <c r="AA405" s="11"/>
      <c r="AB405" s="50"/>
      <c r="AC405" s="50"/>
      <c r="AD405" s="50"/>
      <c r="AE405" s="11"/>
      <c r="AF405" s="50"/>
      <c r="AG405" s="50"/>
      <c r="AH405" s="50"/>
      <c r="AI405" s="11"/>
      <c r="AJ405" s="50"/>
      <c r="AK405" s="50"/>
      <c r="AL405" s="50"/>
      <c r="AM405" s="11"/>
      <c r="AN405" s="50"/>
      <c r="AO405" s="50"/>
      <c r="AP405" s="50"/>
      <c r="AQ405" s="11"/>
      <c r="AR405" s="50"/>
      <c r="AS405" s="50"/>
      <c r="AT405" s="50"/>
      <c r="AU405" s="11"/>
      <c r="AV405" s="50"/>
      <c r="AW405" s="50"/>
      <c r="AX405" s="50"/>
      <c r="AY405" s="50"/>
      <c r="AZ405" s="50"/>
      <c r="BA405" s="50"/>
      <c r="BB405" s="50"/>
      <c r="BC405" s="50"/>
      <c r="BD405" s="50"/>
      <c r="BE405" s="20"/>
      <c r="BF405" s="518"/>
      <c r="BG405" s="484"/>
      <c r="BH405" s="484"/>
      <c r="BI405" s="527"/>
      <c r="BJ405" s="484"/>
      <c r="BK405" s="484"/>
      <c r="BL405" s="484"/>
      <c r="BM405" s="484"/>
    </row>
    <row r="406" spans="1:65" s="22" customFormat="1" x14ac:dyDescent="0.25">
      <c r="A406" s="20"/>
      <c r="B406" s="515"/>
      <c r="C406" s="11"/>
      <c r="D406" s="11"/>
      <c r="E406" s="11"/>
      <c r="F406" s="21"/>
      <c r="G406" s="11"/>
      <c r="H406" s="50"/>
      <c r="I406" s="50"/>
      <c r="J406" s="50"/>
      <c r="K406" s="11"/>
      <c r="L406" s="50"/>
      <c r="M406" s="50"/>
      <c r="N406" s="50"/>
      <c r="O406" s="50"/>
      <c r="P406" s="50"/>
      <c r="Q406" s="11"/>
      <c r="R406" s="50"/>
      <c r="S406" s="50"/>
      <c r="T406" s="50"/>
      <c r="U406" s="11"/>
      <c r="V406" s="50"/>
      <c r="W406" s="50"/>
      <c r="X406" s="50"/>
      <c r="Y406" s="50"/>
      <c r="Z406" s="50"/>
      <c r="AA406" s="11"/>
      <c r="AB406" s="50"/>
      <c r="AC406" s="50"/>
      <c r="AD406" s="50"/>
      <c r="AE406" s="11"/>
      <c r="AF406" s="50"/>
      <c r="AG406" s="50"/>
      <c r="AH406" s="50"/>
      <c r="AI406" s="11"/>
      <c r="AJ406" s="50"/>
      <c r="AK406" s="50"/>
      <c r="AL406" s="50"/>
      <c r="AM406" s="11"/>
      <c r="AN406" s="50"/>
      <c r="AO406" s="50"/>
      <c r="AP406" s="50"/>
      <c r="AQ406" s="11"/>
      <c r="AR406" s="50"/>
      <c r="AS406" s="50"/>
      <c r="AT406" s="50"/>
      <c r="AU406" s="11"/>
      <c r="AV406" s="50"/>
      <c r="AW406" s="50"/>
      <c r="AX406" s="50"/>
      <c r="AY406" s="50"/>
      <c r="AZ406" s="50"/>
      <c r="BA406" s="50"/>
      <c r="BB406" s="50"/>
      <c r="BC406" s="50"/>
      <c r="BD406" s="50"/>
      <c r="BE406" s="20"/>
      <c r="BF406" s="518"/>
      <c r="BG406" s="484"/>
      <c r="BH406" s="484"/>
      <c r="BI406" s="527"/>
      <c r="BJ406" s="484"/>
      <c r="BK406" s="484"/>
      <c r="BL406" s="484"/>
      <c r="BM406" s="484"/>
    </row>
    <row r="407" spans="1:65" s="22" customFormat="1" x14ac:dyDescent="0.25">
      <c r="A407" s="20"/>
      <c r="B407" s="515"/>
      <c r="C407" s="11"/>
      <c r="D407" s="11"/>
      <c r="E407" s="11"/>
      <c r="F407" s="21"/>
      <c r="G407" s="11"/>
      <c r="H407" s="50"/>
      <c r="I407" s="50"/>
      <c r="J407" s="50"/>
      <c r="K407" s="11"/>
      <c r="L407" s="50"/>
      <c r="M407" s="50"/>
      <c r="N407" s="50"/>
      <c r="O407" s="50"/>
      <c r="P407" s="50"/>
      <c r="Q407" s="11"/>
      <c r="R407" s="50"/>
      <c r="S407" s="50"/>
      <c r="T407" s="50"/>
      <c r="U407" s="11"/>
      <c r="V407" s="50"/>
      <c r="W407" s="50"/>
      <c r="X407" s="50"/>
      <c r="Y407" s="50"/>
      <c r="Z407" s="50"/>
      <c r="AA407" s="11"/>
      <c r="AB407" s="50"/>
      <c r="AC407" s="50"/>
      <c r="AD407" s="50"/>
      <c r="AE407" s="11"/>
      <c r="AF407" s="50"/>
      <c r="AG407" s="50"/>
      <c r="AH407" s="50"/>
      <c r="AI407" s="11"/>
      <c r="AJ407" s="50"/>
      <c r="AK407" s="50"/>
      <c r="AL407" s="50"/>
      <c r="AM407" s="11"/>
      <c r="AN407" s="50"/>
      <c r="AO407" s="50"/>
      <c r="AP407" s="50"/>
      <c r="AQ407" s="11"/>
      <c r="AR407" s="50"/>
      <c r="AS407" s="50"/>
      <c r="AT407" s="50"/>
      <c r="AU407" s="11"/>
      <c r="AV407" s="50"/>
      <c r="AW407" s="50"/>
      <c r="AX407" s="50"/>
      <c r="AY407" s="50"/>
      <c r="AZ407" s="50"/>
      <c r="BA407" s="50"/>
      <c r="BB407" s="50"/>
      <c r="BC407" s="50"/>
      <c r="BD407" s="50"/>
      <c r="BE407" s="20"/>
      <c r="BF407" s="518"/>
      <c r="BG407" s="484"/>
      <c r="BH407" s="484"/>
      <c r="BI407" s="527"/>
      <c r="BJ407" s="484"/>
      <c r="BK407" s="484"/>
      <c r="BL407" s="484"/>
      <c r="BM407" s="484"/>
    </row>
    <row r="408" spans="1:65" s="22" customFormat="1" x14ac:dyDescent="0.25">
      <c r="A408" s="20"/>
      <c r="B408" s="515"/>
      <c r="C408" s="11"/>
      <c r="D408" s="11"/>
      <c r="E408" s="11"/>
      <c r="F408" s="21"/>
      <c r="G408" s="11"/>
      <c r="H408" s="50"/>
      <c r="I408" s="50"/>
      <c r="J408" s="50"/>
      <c r="K408" s="11"/>
      <c r="L408" s="50"/>
      <c r="M408" s="50"/>
      <c r="N408" s="50"/>
      <c r="O408" s="50"/>
      <c r="P408" s="50"/>
      <c r="Q408" s="11"/>
      <c r="R408" s="50"/>
      <c r="S408" s="50"/>
      <c r="T408" s="50"/>
      <c r="U408" s="11"/>
      <c r="V408" s="50"/>
      <c r="W408" s="50"/>
      <c r="X408" s="50"/>
      <c r="Y408" s="50"/>
      <c r="Z408" s="50"/>
      <c r="AA408" s="11"/>
      <c r="AB408" s="50"/>
      <c r="AC408" s="50"/>
      <c r="AD408" s="50"/>
      <c r="AE408" s="11"/>
      <c r="AF408" s="50"/>
      <c r="AG408" s="50"/>
      <c r="AH408" s="50"/>
      <c r="AI408" s="11"/>
      <c r="AJ408" s="50"/>
      <c r="AK408" s="50"/>
      <c r="AL408" s="50"/>
      <c r="AM408" s="11"/>
      <c r="AN408" s="50"/>
      <c r="AO408" s="50"/>
      <c r="AP408" s="50"/>
      <c r="AQ408" s="11"/>
      <c r="AR408" s="50"/>
      <c r="AS408" s="50"/>
      <c r="AT408" s="50"/>
      <c r="AU408" s="11"/>
      <c r="AV408" s="50"/>
      <c r="AW408" s="50"/>
      <c r="AX408" s="50"/>
      <c r="AY408" s="50"/>
      <c r="AZ408" s="50"/>
      <c r="BA408" s="50"/>
      <c r="BB408" s="50"/>
      <c r="BC408" s="50"/>
      <c r="BD408" s="50"/>
      <c r="BE408" s="20"/>
      <c r="BF408" s="518"/>
      <c r="BG408" s="484"/>
      <c r="BH408" s="484"/>
      <c r="BI408" s="527"/>
      <c r="BJ408" s="484"/>
      <c r="BK408" s="484"/>
      <c r="BL408" s="484"/>
      <c r="BM408" s="484"/>
    </row>
    <row r="409" spans="1:65" s="22" customFormat="1" x14ac:dyDescent="0.25">
      <c r="A409" s="20"/>
      <c r="B409" s="515"/>
      <c r="C409" s="11"/>
      <c r="D409" s="11"/>
      <c r="E409" s="11"/>
      <c r="F409" s="21"/>
      <c r="G409" s="11"/>
      <c r="H409" s="50"/>
      <c r="I409" s="50"/>
      <c r="J409" s="50"/>
      <c r="K409" s="11"/>
      <c r="L409" s="50"/>
      <c r="M409" s="50"/>
      <c r="N409" s="50"/>
      <c r="O409" s="50"/>
      <c r="P409" s="50"/>
      <c r="Q409" s="11"/>
      <c r="R409" s="50"/>
      <c r="S409" s="50"/>
      <c r="T409" s="50"/>
      <c r="U409" s="11"/>
      <c r="V409" s="50"/>
      <c r="W409" s="50"/>
      <c r="X409" s="50"/>
      <c r="Y409" s="50"/>
      <c r="Z409" s="50"/>
      <c r="AA409" s="11"/>
      <c r="AB409" s="50"/>
      <c r="AC409" s="50"/>
      <c r="AD409" s="50"/>
      <c r="AE409" s="11"/>
      <c r="AF409" s="50"/>
      <c r="AG409" s="50"/>
      <c r="AH409" s="50"/>
      <c r="AI409" s="11"/>
      <c r="AJ409" s="50"/>
      <c r="AK409" s="50"/>
      <c r="AL409" s="50"/>
      <c r="AM409" s="11"/>
      <c r="AN409" s="50"/>
      <c r="AO409" s="50"/>
      <c r="AP409" s="50"/>
      <c r="AQ409" s="11"/>
      <c r="AR409" s="50"/>
      <c r="AS409" s="50"/>
      <c r="AT409" s="50"/>
      <c r="AU409" s="11"/>
      <c r="AV409" s="50"/>
      <c r="AW409" s="50"/>
      <c r="AX409" s="50"/>
      <c r="AY409" s="50"/>
      <c r="AZ409" s="50"/>
      <c r="BA409" s="50"/>
      <c r="BB409" s="50"/>
      <c r="BC409" s="50"/>
      <c r="BD409" s="50"/>
      <c r="BE409" s="20"/>
      <c r="BF409" s="518"/>
      <c r="BG409" s="484"/>
      <c r="BH409" s="484"/>
      <c r="BI409" s="527"/>
      <c r="BJ409" s="484"/>
      <c r="BK409" s="484"/>
      <c r="BL409" s="484"/>
      <c r="BM409" s="484"/>
    </row>
    <row r="410" spans="1:65" s="22" customFormat="1" x14ac:dyDescent="0.25">
      <c r="A410" s="20"/>
      <c r="B410" s="515"/>
      <c r="C410" s="11"/>
      <c r="D410" s="11"/>
      <c r="E410" s="11"/>
      <c r="F410" s="21"/>
      <c r="G410" s="11"/>
      <c r="H410" s="50"/>
      <c r="I410" s="50"/>
      <c r="J410" s="50"/>
      <c r="K410" s="11"/>
      <c r="L410" s="50"/>
      <c r="M410" s="50"/>
      <c r="N410" s="50"/>
      <c r="O410" s="50"/>
      <c r="P410" s="50"/>
      <c r="Q410" s="11"/>
      <c r="R410" s="50"/>
      <c r="S410" s="50"/>
      <c r="T410" s="50"/>
      <c r="U410" s="11"/>
      <c r="V410" s="50"/>
      <c r="W410" s="50"/>
      <c r="X410" s="50"/>
      <c r="Y410" s="50"/>
      <c r="Z410" s="50"/>
      <c r="AA410" s="11"/>
      <c r="AB410" s="50"/>
      <c r="AC410" s="50"/>
      <c r="AD410" s="50"/>
      <c r="AE410" s="11"/>
      <c r="AF410" s="50"/>
      <c r="AG410" s="50"/>
      <c r="AH410" s="50"/>
      <c r="AI410" s="11"/>
      <c r="AJ410" s="50"/>
      <c r="AK410" s="50"/>
      <c r="AL410" s="50"/>
      <c r="AM410" s="11"/>
      <c r="AN410" s="50"/>
      <c r="AO410" s="50"/>
      <c r="AP410" s="50"/>
      <c r="AQ410" s="11"/>
      <c r="AR410" s="50"/>
      <c r="AS410" s="50"/>
      <c r="AT410" s="50"/>
      <c r="AU410" s="11"/>
      <c r="AV410" s="50"/>
      <c r="AW410" s="50"/>
      <c r="AX410" s="50"/>
      <c r="AY410" s="50"/>
      <c r="AZ410" s="50"/>
      <c r="BA410" s="50"/>
      <c r="BB410" s="50"/>
      <c r="BC410" s="50"/>
      <c r="BD410" s="50"/>
      <c r="BE410" s="20"/>
      <c r="BF410" s="518"/>
      <c r="BG410" s="484"/>
      <c r="BH410" s="484"/>
      <c r="BI410" s="527"/>
      <c r="BJ410" s="484"/>
      <c r="BK410" s="484"/>
      <c r="BL410" s="484"/>
      <c r="BM410" s="484"/>
    </row>
    <row r="411" spans="1:65" s="22" customFormat="1" x14ac:dyDescent="0.25">
      <c r="A411" s="20"/>
      <c r="B411" s="515"/>
      <c r="C411" s="11"/>
      <c r="D411" s="11"/>
      <c r="E411" s="11"/>
      <c r="F411" s="21"/>
      <c r="G411" s="11"/>
      <c r="H411" s="50"/>
      <c r="I411" s="50"/>
      <c r="J411" s="50"/>
      <c r="K411" s="11"/>
      <c r="L411" s="50"/>
      <c r="M411" s="50"/>
      <c r="N411" s="50"/>
      <c r="O411" s="50"/>
      <c r="P411" s="50"/>
      <c r="Q411" s="11"/>
      <c r="R411" s="50"/>
      <c r="S411" s="50"/>
      <c r="T411" s="50"/>
      <c r="U411" s="11"/>
      <c r="V411" s="50"/>
      <c r="W411" s="50"/>
      <c r="X411" s="50"/>
      <c r="Y411" s="50"/>
      <c r="Z411" s="50"/>
      <c r="AA411" s="11"/>
      <c r="AB411" s="50"/>
      <c r="AC411" s="50"/>
      <c r="AD411" s="50"/>
      <c r="AE411" s="11"/>
      <c r="AF411" s="50"/>
      <c r="AG411" s="50"/>
      <c r="AH411" s="50"/>
      <c r="AI411" s="11"/>
      <c r="AJ411" s="50"/>
      <c r="AK411" s="50"/>
      <c r="AL411" s="50"/>
      <c r="AM411" s="11"/>
      <c r="AN411" s="50"/>
      <c r="AO411" s="50"/>
      <c r="AP411" s="50"/>
      <c r="AQ411" s="11"/>
      <c r="AR411" s="50"/>
      <c r="AS411" s="50"/>
      <c r="AT411" s="50"/>
      <c r="AU411" s="11"/>
      <c r="AV411" s="50"/>
      <c r="AW411" s="50"/>
      <c r="AX411" s="50"/>
      <c r="AY411" s="50"/>
      <c r="AZ411" s="50"/>
      <c r="BA411" s="50"/>
      <c r="BB411" s="50"/>
      <c r="BC411" s="50"/>
      <c r="BD411" s="50"/>
      <c r="BE411" s="20"/>
      <c r="BF411" s="518"/>
      <c r="BG411" s="484"/>
      <c r="BH411" s="484"/>
      <c r="BI411" s="527"/>
      <c r="BJ411" s="484"/>
      <c r="BK411" s="484"/>
      <c r="BL411" s="484"/>
      <c r="BM411" s="484"/>
    </row>
    <row r="412" spans="1:65" s="22" customFormat="1" x14ac:dyDescent="0.25">
      <c r="A412" s="20"/>
      <c r="B412" s="515"/>
      <c r="C412" s="11"/>
      <c r="D412" s="11"/>
      <c r="E412" s="11"/>
      <c r="F412" s="21"/>
      <c r="G412" s="11"/>
      <c r="H412" s="50"/>
      <c r="I412" s="50"/>
      <c r="J412" s="50"/>
      <c r="K412" s="11"/>
      <c r="L412" s="50"/>
      <c r="M412" s="50"/>
      <c r="N412" s="50"/>
      <c r="O412" s="50"/>
      <c r="P412" s="50"/>
      <c r="Q412" s="11"/>
      <c r="R412" s="50"/>
      <c r="S412" s="50"/>
      <c r="T412" s="50"/>
      <c r="U412" s="11"/>
      <c r="V412" s="50"/>
      <c r="W412" s="50"/>
      <c r="X412" s="50"/>
      <c r="Y412" s="50"/>
      <c r="Z412" s="50"/>
      <c r="AA412" s="11"/>
      <c r="AB412" s="50"/>
      <c r="AC412" s="50"/>
      <c r="AD412" s="50"/>
      <c r="AE412" s="11"/>
      <c r="AF412" s="50"/>
      <c r="AG412" s="50"/>
      <c r="AH412" s="50"/>
      <c r="AI412" s="11"/>
      <c r="AJ412" s="50"/>
      <c r="AK412" s="50"/>
      <c r="AL412" s="50"/>
      <c r="AM412" s="11"/>
      <c r="AN412" s="50"/>
      <c r="AO412" s="50"/>
      <c r="AP412" s="50"/>
      <c r="AQ412" s="11"/>
      <c r="AR412" s="50"/>
      <c r="AS412" s="50"/>
      <c r="AT412" s="50"/>
      <c r="AU412" s="11"/>
      <c r="AV412" s="50"/>
      <c r="AW412" s="50"/>
      <c r="AX412" s="50"/>
      <c r="AY412" s="50"/>
      <c r="AZ412" s="50"/>
      <c r="BA412" s="50"/>
      <c r="BB412" s="50"/>
      <c r="BC412" s="50"/>
      <c r="BD412" s="50"/>
      <c r="BE412" s="20"/>
      <c r="BF412" s="518"/>
      <c r="BG412" s="484"/>
      <c r="BH412" s="484"/>
      <c r="BI412" s="527"/>
      <c r="BJ412" s="484"/>
      <c r="BK412" s="484"/>
      <c r="BL412" s="484"/>
      <c r="BM412" s="484"/>
    </row>
    <row r="413" spans="1:65" s="22" customFormat="1" x14ac:dyDescent="0.25">
      <c r="A413" s="20"/>
      <c r="B413" s="515"/>
      <c r="C413" s="11"/>
      <c r="D413" s="11"/>
      <c r="E413" s="11"/>
      <c r="F413" s="21"/>
      <c r="G413" s="11"/>
      <c r="H413" s="50"/>
      <c r="I413" s="50"/>
      <c r="J413" s="50"/>
      <c r="K413" s="11"/>
      <c r="L413" s="50"/>
      <c r="M413" s="50"/>
      <c r="N413" s="50"/>
      <c r="O413" s="50"/>
      <c r="P413" s="50"/>
      <c r="Q413" s="11"/>
      <c r="R413" s="50"/>
      <c r="S413" s="50"/>
      <c r="T413" s="50"/>
      <c r="U413" s="11"/>
      <c r="V413" s="50"/>
      <c r="W413" s="50"/>
      <c r="X413" s="50"/>
      <c r="Y413" s="50"/>
      <c r="Z413" s="50"/>
      <c r="AA413" s="11"/>
      <c r="AB413" s="50"/>
      <c r="AC413" s="50"/>
      <c r="AD413" s="50"/>
      <c r="AE413" s="11"/>
      <c r="AF413" s="50"/>
      <c r="AG413" s="50"/>
      <c r="AH413" s="50"/>
      <c r="AI413" s="11"/>
      <c r="AJ413" s="50"/>
      <c r="AK413" s="50"/>
      <c r="AL413" s="50"/>
      <c r="AM413" s="11"/>
      <c r="AN413" s="50"/>
      <c r="AO413" s="50"/>
      <c r="AP413" s="50"/>
      <c r="AQ413" s="11"/>
      <c r="AR413" s="50"/>
      <c r="AS413" s="50"/>
      <c r="AT413" s="50"/>
      <c r="AU413" s="11"/>
      <c r="AV413" s="50"/>
      <c r="AW413" s="50"/>
      <c r="AX413" s="50"/>
      <c r="AY413" s="50"/>
      <c r="AZ413" s="50"/>
      <c r="BA413" s="50"/>
      <c r="BB413" s="50"/>
      <c r="BC413" s="50"/>
      <c r="BD413" s="50"/>
      <c r="BE413" s="20"/>
      <c r="BF413" s="518"/>
      <c r="BG413" s="484"/>
      <c r="BH413" s="484"/>
      <c r="BI413" s="527"/>
      <c r="BJ413" s="484"/>
      <c r="BK413" s="484"/>
      <c r="BL413" s="484"/>
      <c r="BM413" s="484"/>
    </row>
    <row r="414" spans="1:65" s="22" customFormat="1" x14ac:dyDescent="0.25">
      <c r="A414" s="20"/>
      <c r="B414" s="515"/>
      <c r="C414" s="11"/>
      <c r="D414" s="11"/>
      <c r="E414" s="11"/>
      <c r="F414" s="21"/>
      <c r="G414" s="11"/>
      <c r="H414" s="50"/>
      <c r="I414" s="50"/>
      <c r="J414" s="50"/>
      <c r="K414" s="11"/>
      <c r="L414" s="50"/>
      <c r="M414" s="50"/>
      <c r="N414" s="50"/>
      <c r="O414" s="50"/>
      <c r="P414" s="50"/>
      <c r="Q414" s="11"/>
      <c r="R414" s="50"/>
      <c r="S414" s="50"/>
      <c r="T414" s="50"/>
      <c r="U414" s="11"/>
      <c r="V414" s="50"/>
      <c r="W414" s="50"/>
      <c r="X414" s="50"/>
      <c r="Y414" s="50"/>
      <c r="Z414" s="50"/>
      <c r="AA414" s="11"/>
      <c r="AB414" s="50"/>
      <c r="AC414" s="50"/>
      <c r="AD414" s="50"/>
      <c r="AE414" s="11"/>
      <c r="AF414" s="50"/>
      <c r="AG414" s="50"/>
      <c r="AH414" s="50"/>
      <c r="AI414" s="11"/>
      <c r="AJ414" s="50"/>
      <c r="AK414" s="50"/>
      <c r="AL414" s="50"/>
      <c r="AM414" s="11"/>
      <c r="AN414" s="50"/>
      <c r="AO414" s="50"/>
      <c r="AP414" s="50"/>
      <c r="AQ414" s="11"/>
      <c r="AR414" s="50"/>
      <c r="AS414" s="50"/>
      <c r="AT414" s="50"/>
      <c r="AU414" s="11"/>
      <c r="AV414" s="50"/>
      <c r="AW414" s="50"/>
      <c r="AX414" s="50"/>
      <c r="AY414" s="50"/>
      <c r="AZ414" s="50"/>
      <c r="BA414" s="50"/>
      <c r="BB414" s="50"/>
      <c r="BC414" s="50"/>
      <c r="BD414" s="50"/>
      <c r="BE414" s="20"/>
      <c r="BF414" s="518"/>
      <c r="BG414" s="484"/>
      <c r="BH414" s="484"/>
      <c r="BI414" s="527"/>
      <c r="BJ414" s="484"/>
      <c r="BK414" s="484"/>
      <c r="BL414" s="484"/>
      <c r="BM414" s="484"/>
    </row>
    <row r="415" spans="1:65" s="22" customFormat="1" x14ac:dyDescent="0.25">
      <c r="A415" s="20"/>
      <c r="B415" s="515"/>
      <c r="C415" s="11"/>
      <c r="D415" s="11"/>
      <c r="E415" s="11"/>
      <c r="F415" s="21"/>
      <c r="G415" s="11"/>
      <c r="H415" s="50"/>
      <c r="I415" s="50"/>
      <c r="J415" s="50"/>
      <c r="K415" s="11"/>
      <c r="L415" s="50"/>
      <c r="M415" s="50"/>
      <c r="N415" s="50"/>
      <c r="O415" s="50"/>
      <c r="P415" s="50"/>
      <c r="Q415" s="11"/>
      <c r="R415" s="50"/>
      <c r="S415" s="50"/>
      <c r="T415" s="50"/>
      <c r="U415" s="11"/>
      <c r="V415" s="50"/>
      <c r="W415" s="50"/>
      <c r="X415" s="50"/>
      <c r="Y415" s="50"/>
      <c r="Z415" s="50"/>
      <c r="AA415" s="11"/>
      <c r="AB415" s="50"/>
      <c r="AC415" s="50"/>
      <c r="AD415" s="50"/>
      <c r="AE415" s="11"/>
      <c r="AF415" s="50"/>
      <c r="AG415" s="50"/>
      <c r="AH415" s="50"/>
      <c r="AI415" s="11"/>
      <c r="AJ415" s="50"/>
      <c r="AK415" s="50"/>
      <c r="AL415" s="50"/>
      <c r="AM415" s="11"/>
      <c r="AN415" s="50"/>
      <c r="AO415" s="50"/>
      <c r="AP415" s="50"/>
      <c r="AQ415" s="11"/>
      <c r="AR415" s="50"/>
      <c r="AS415" s="50"/>
      <c r="AT415" s="50"/>
      <c r="AU415" s="11"/>
      <c r="AV415" s="50"/>
      <c r="AW415" s="50"/>
      <c r="AX415" s="50"/>
      <c r="AY415" s="50"/>
      <c r="AZ415" s="50"/>
      <c r="BA415" s="50"/>
      <c r="BB415" s="50"/>
      <c r="BC415" s="50"/>
      <c r="BD415" s="50"/>
      <c r="BE415" s="20"/>
      <c r="BF415" s="518"/>
      <c r="BG415" s="484"/>
      <c r="BH415" s="484"/>
      <c r="BI415" s="527"/>
      <c r="BJ415" s="484"/>
      <c r="BK415" s="484"/>
      <c r="BL415" s="484"/>
      <c r="BM415" s="484"/>
    </row>
    <row r="416" spans="1:65" s="22" customFormat="1" x14ac:dyDescent="0.25">
      <c r="A416" s="20"/>
      <c r="B416" s="515"/>
      <c r="C416" s="11"/>
      <c r="D416" s="11"/>
      <c r="E416" s="11"/>
      <c r="F416" s="21"/>
      <c r="G416" s="11"/>
      <c r="H416" s="50"/>
      <c r="I416" s="50"/>
      <c r="J416" s="50"/>
      <c r="K416" s="11"/>
      <c r="L416" s="50"/>
      <c r="M416" s="50"/>
      <c r="N416" s="50"/>
      <c r="O416" s="50"/>
      <c r="P416" s="50"/>
      <c r="Q416" s="11"/>
      <c r="R416" s="50"/>
      <c r="S416" s="50"/>
      <c r="T416" s="50"/>
      <c r="U416" s="11"/>
      <c r="V416" s="50"/>
      <c r="W416" s="50"/>
      <c r="X416" s="50"/>
      <c r="Y416" s="50"/>
      <c r="Z416" s="50"/>
      <c r="AA416" s="11"/>
      <c r="AB416" s="50"/>
      <c r="AC416" s="50"/>
      <c r="AD416" s="50"/>
      <c r="AE416" s="11"/>
      <c r="AF416" s="50"/>
      <c r="AG416" s="50"/>
      <c r="AH416" s="50"/>
      <c r="AI416" s="11"/>
      <c r="AJ416" s="50"/>
      <c r="AK416" s="50"/>
      <c r="AL416" s="50"/>
      <c r="AM416" s="11"/>
      <c r="AN416" s="50"/>
      <c r="AO416" s="50"/>
      <c r="AP416" s="50"/>
      <c r="AQ416" s="11"/>
      <c r="AR416" s="50"/>
      <c r="AS416" s="50"/>
      <c r="AT416" s="50"/>
      <c r="AU416" s="11"/>
      <c r="AV416" s="50"/>
      <c r="AW416" s="50"/>
      <c r="AX416" s="50"/>
      <c r="AY416" s="50"/>
      <c r="AZ416" s="50"/>
      <c r="BA416" s="50"/>
      <c r="BB416" s="50"/>
      <c r="BC416" s="50"/>
      <c r="BD416" s="50"/>
      <c r="BE416" s="20"/>
      <c r="BF416" s="518"/>
      <c r="BG416" s="484"/>
      <c r="BH416" s="484"/>
      <c r="BI416" s="527"/>
      <c r="BJ416" s="484"/>
      <c r="BK416" s="484"/>
      <c r="BL416" s="484"/>
      <c r="BM416" s="484"/>
    </row>
    <row r="417" spans="1:65" s="22" customFormat="1" x14ac:dyDescent="0.25">
      <c r="A417" s="20"/>
      <c r="B417" s="515"/>
      <c r="C417" s="11"/>
      <c r="D417" s="11"/>
      <c r="E417" s="11"/>
      <c r="F417" s="21"/>
      <c r="G417" s="11"/>
      <c r="H417" s="50"/>
      <c r="I417" s="50"/>
      <c r="J417" s="50"/>
      <c r="K417" s="11"/>
      <c r="L417" s="50"/>
      <c r="M417" s="50"/>
      <c r="N417" s="50"/>
      <c r="O417" s="50"/>
      <c r="P417" s="50"/>
      <c r="Q417" s="11"/>
      <c r="R417" s="50"/>
      <c r="S417" s="50"/>
      <c r="T417" s="50"/>
      <c r="U417" s="11"/>
      <c r="V417" s="50"/>
      <c r="W417" s="50"/>
      <c r="X417" s="50"/>
      <c r="Y417" s="50"/>
      <c r="Z417" s="50"/>
      <c r="AA417" s="11"/>
      <c r="AB417" s="50"/>
      <c r="AC417" s="50"/>
      <c r="AD417" s="50"/>
      <c r="AE417" s="11"/>
      <c r="AF417" s="50"/>
      <c r="AG417" s="50"/>
      <c r="AH417" s="50"/>
      <c r="AI417" s="11"/>
      <c r="AJ417" s="50"/>
      <c r="AK417" s="50"/>
      <c r="AL417" s="50"/>
      <c r="AM417" s="11"/>
      <c r="AN417" s="50"/>
      <c r="AO417" s="50"/>
      <c r="AP417" s="50"/>
      <c r="AQ417" s="11"/>
      <c r="AR417" s="50"/>
      <c r="AS417" s="50"/>
      <c r="AT417" s="50"/>
      <c r="AU417" s="11"/>
      <c r="AV417" s="50"/>
      <c r="AW417" s="50"/>
      <c r="AX417" s="50"/>
      <c r="AY417" s="50"/>
      <c r="AZ417" s="50"/>
      <c r="BA417" s="50"/>
      <c r="BB417" s="50"/>
      <c r="BC417" s="50"/>
      <c r="BD417" s="50"/>
      <c r="BE417" s="20"/>
      <c r="BF417" s="518"/>
      <c r="BG417" s="484"/>
      <c r="BH417" s="484"/>
      <c r="BI417" s="527"/>
      <c r="BJ417" s="484"/>
      <c r="BK417" s="484"/>
      <c r="BL417" s="484"/>
      <c r="BM417" s="484"/>
    </row>
    <row r="418" spans="1:65" s="22" customFormat="1" x14ac:dyDescent="0.25">
      <c r="A418" s="20"/>
      <c r="B418" s="515"/>
      <c r="C418" s="11"/>
      <c r="D418" s="11"/>
      <c r="E418" s="11"/>
      <c r="F418" s="21"/>
      <c r="G418" s="11"/>
      <c r="H418" s="50"/>
      <c r="I418" s="50"/>
      <c r="J418" s="50"/>
      <c r="K418" s="11"/>
      <c r="L418" s="50"/>
      <c r="M418" s="50"/>
      <c r="N418" s="50"/>
      <c r="O418" s="50"/>
      <c r="P418" s="50"/>
      <c r="Q418" s="11"/>
      <c r="R418" s="50"/>
      <c r="S418" s="50"/>
      <c r="T418" s="50"/>
      <c r="U418" s="11"/>
      <c r="V418" s="50"/>
      <c r="W418" s="50"/>
      <c r="X418" s="50"/>
      <c r="Y418" s="50"/>
      <c r="Z418" s="50"/>
      <c r="AA418" s="11"/>
      <c r="AB418" s="50"/>
      <c r="AC418" s="50"/>
      <c r="AD418" s="50"/>
      <c r="AE418" s="11"/>
      <c r="AF418" s="50"/>
      <c r="AG418" s="50"/>
      <c r="AH418" s="50"/>
      <c r="AI418" s="11"/>
      <c r="AJ418" s="50"/>
      <c r="AK418" s="50"/>
      <c r="AL418" s="50"/>
      <c r="AM418" s="11"/>
      <c r="AN418" s="50"/>
      <c r="AO418" s="50"/>
      <c r="AP418" s="50"/>
      <c r="AQ418" s="11"/>
      <c r="AR418" s="50"/>
      <c r="AS418" s="50"/>
      <c r="AT418" s="50"/>
      <c r="AU418" s="11"/>
      <c r="AV418" s="50"/>
      <c r="AW418" s="50"/>
      <c r="AX418" s="50"/>
      <c r="AY418" s="50"/>
      <c r="AZ418" s="50"/>
      <c r="BA418" s="50"/>
      <c r="BB418" s="50"/>
      <c r="BC418" s="50"/>
      <c r="BD418" s="50"/>
      <c r="BE418" s="20"/>
      <c r="BF418" s="518"/>
      <c r="BG418" s="484"/>
      <c r="BH418" s="484"/>
      <c r="BI418" s="527"/>
      <c r="BJ418" s="484"/>
      <c r="BK418" s="484"/>
      <c r="BL418" s="484"/>
      <c r="BM418" s="484"/>
    </row>
    <row r="419" spans="1:65" s="22" customFormat="1" x14ac:dyDescent="0.25">
      <c r="A419" s="20"/>
      <c r="B419" s="515"/>
      <c r="C419" s="11"/>
      <c r="D419" s="11"/>
      <c r="E419" s="11"/>
      <c r="F419" s="21"/>
      <c r="G419" s="11"/>
      <c r="H419" s="50"/>
      <c r="I419" s="50"/>
      <c r="J419" s="50"/>
      <c r="K419" s="11"/>
      <c r="L419" s="50"/>
      <c r="M419" s="50"/>
      <c r="N419" s="50"/>
      <c r="O419" s="50"/>
      <c r="P419" s="50"/>
      <c r="Q419" s="11"/>
      <c r="R419" s="50"/>
      <c r="S419" s="50"/>
      <c r="T419" s="50"/>
      <c r="U419" s="11"/>
      <c r="V419" s="50"/>
      <c r="W419" s="50"/>
      <c r="X419" s="50"/>
      <c r="Y419" s="50"/>
      <c r="Z419" s="50"/>
      <c r="AA419" s="11"/>
      <c r="AB419" s="50"/>
      <c r="AC419" s="50"/>
      <c r="AD419" s="50"/>
      <c r="AE419" s="11"/>
      <c r="AF419" s="50"/>
      <c r="AG419" s="50"/>
      <c r="AH419" s="50"/>
      <c r="AI419" s="11"/>
      <c r="AJ419" s="50"/>
      <c r="AK419" s="50"/>
      <c r="AL419" s="50"/>
      <c r="AM419" s="11"/>
      <c r="AN419" s="50"/>
      <c r="AO419" s="50"/>
      <c r="AP419" s="50"/>
      <c r="AQ419" s="11"/>
      <c r="AR419" s="50"/>
      <c r="AS419" s="50"/>
      <c r="AT419" s="50"/>
      <c r="AU419" s="11"/>
      <c r="AV419" s="50"/>
      <c r="AW419" s="50"/>
      <c r="AX419" s="50"/>
      <c r="AY419" s="50"/>
      <c r="AZ419" s="50"/>
      <c r="BA419" s="50"/>
      <c r="BB419" s="50"/>
      <c r="BC419" s="50"/>
      <c r="BD419" s="50"/>
      <c r="BE419" s="20"/>
      <c r="BF419" s="518"/>
      <c r="BG419" s="484"/>
      <c r="BH419" s="484"/>
      <c r="BI419" s="527"/>
      <c r="BJ419" s="484"/>
      <c r="BK419" s="484"/>
      <c r="BL419" s="484"/>
      <c r="BM419" s="484"/>
    </row>
    <row r="420" spans="1:65" s="22" customFormat="1" x14ac:dyDescent="0.25">
      <c r="A420" s="20"/>
      <c r="B420" s="515"/>
      <c r="C420" s="11"/>
      <c r="D420" s="11"/>
      <c r="E420" s="11"/>
      <c r="F420" s="21"/>
      <c r="G420" s="11"/>
      <c r="H420" s="50"/>
      <c r="I420" s="50"/>
      <c r="J420" s="50"/>
      <c r="K420" s="11"/>
      <c r="L420" s="50"/>
      <c r="M420" s="50"/>
      <c r="N420" s="50"/>
      <c r="O420" s="50"/>
      <c r="P420" s="50"/>
      <c r="Q420" s="11"/>
      <c r="R420" s="50"/>
      <c r="S420" s="50"/>
      <c r="T420" s="50"/>
      <c r="U420" s="11"/>
      <c r="V420" s="50"/>
      <c r="W420" s="50"/>
      <c r="X420" s="50"/>
      <c r="Y420" s="50"/>
      <c r="Z420" s="50"/>
      <c r="AA420" s="11"/>
      <c r="AB420" s="50"/>
      <c r="AC420" s="50"/>
      <c r="AD420" s="50"/>
      <c r="AE420" s="11"/>
      <c r="AF420" s="50"/>
      <c r="AG420" s="50"/>
      <c r="AH420" s="50"/>
      <c r="AI420" s="11"/>
      <c r="AJ420" s="50"/>
      <c r="AK420" s="50"/>
      <c r="AL420" s="50"/>
      <c r="AM420" s="11"/>
      <c r="AN420" s="50"/>
      <c r="AO420" s="50"/>
      <c r="AP420" s="50"/>
      <c r="AQ420" s="11"/>
      <c r="AR420" s="50"/>
      <c r="AS420" s="50"/>
      <c r="AT420" s="50"/>
      <c r="AU420" s="11"/>
      <c r="AV420" s="50"/>
      <c r="AW420" s="50"/>
      <c r="AX420" s="50"/>
      <c r="AY420" s="50"/>
      <c r="AZ420" s="50"/>
      <c r="BA420" s="50"/>
      <c r="BB420" s="50"/>
      <c r="BC420" s="50"/>
      <c r="BD420" s="50"/>
      <c r="BE420" s="20"/>
      <c r="BF420" s="518"/>
      <c r="BG420" s="484"/>
      <c r="BH420" s="484"/>
      <c r="BI420" s="527"/>
      <c r="BJ420" s="484"/>
      <c r="BK420" s="484"/>
      <c r="BL420" s="484"/>
      <c r="BM420" s="484"/>
    </row>
    <row r="421" spans="1:65" s="22" customFormat="1" x14ac:dyDescent="0.25">
      <c r="A421" s="20"/>
      <c r="B421" s="515"/>
      <c r="C421" s="11"/>
      <c r="D421" s="11"/>
      <c r="E421" s="11"/>
      <c r="F421" s="21"/>
      <c r="G421" s="11"/>
      <c r="H421" s="50"/>
      <c r="I421" s="50"/>
      <c r="J421" s="50"/>
      <c r="K421" s="11"/>
      <c r="L421" s="50"/>
      <c r="M421" s="50"/>
      <c r="N421" s="50"/>
      <c r="O421" s="50"/>
      <c r="P421" s="50"/>
      <c r="Q421" s="11"/>
      <c r="R421" s="50"/>
      <c r="S421" s="50"/>
      <c r="T421" s="50"/>
      <c r="U421" s="11"/>
      <c r="V421" s="50"/>
      <c r="W421" s="50"/>
      <c r="X421" s="50"/>
      <c r="Y421" s="50"/>
      <c r="Z421" s="50"/>
      <c r="AA421" s="11"/>
      <c r="AB421" s="50"/>
      <c r="AC421" s="50"/>
      <c r="AD421" s="50"/>
      <c r="AE421" s="11"/>
      <c r="AF421" s="50"/>
      <c r="AG421" s="50"/>
      <c r="AH421" s="50"/>
      <c r="AI421" s="11"/>
      <c r="AJ421" s="50"/>
      <c r="AK421" s="50"/>
      <c r="AL421" s="50"/>
      <c r="AM421" s="11"/>
      <c r="AN421" s="50"/>
      <c r="AO421" s="50"/>
      <c r="AP421" s="50"/>
      <c r="AQ421" s="11"/>
      <c r="AR421" s="50"/>
      <c r="AS421" s="50"/>
      <c r="AT421" s="50"/>
      <c r="AU421" s="11"/>
      <c r="AV421" s="50"/>
      <c r="AW421" s="50"/>
      <c r="AX421" s="50"/>
      <c r="AY421" s="50"/>
      <c r="AZ421" s="50"/>
      <c r="BA421" s="50"/>
      <c r="BB421" s="50"/>
      <c r="BC421" s="50"/>
      <c r="BD421" s="50"/>
      <c r="BE421" s="20"/>
      <c r="BF421" s="518"/>
      <c r="BG421" s="484"/>
      <c r="BH421" s="484"/>
      <c r="BI421" s="527"/>
      <c r="BJ421" s="484"/>
      <c r="BK421" s="484"/>
      <c r="BL421" s="484"/>
      <c r="BM421" s="484"/>
    </row>
    <row r="422" spans="1:65" s="22" customFormat="1" x14ac:dyDescent="0.25">
      <c r="A422" s="20"/>
      <c r="B422" s="515"/>
      <c r="C422" s="11"/>
      <c r="D422" s="11"/>
      <c r="E422" s="11"/>
      <c r="F422" s="21"/>
      <c r="G422" s="11"/>
      <c r="H422" s="50"/>
      <c r="I422" s="50"/>
      <c r="J422" s="50"/>
      <c r="K422" s="11"/>
      <c r="L422" s="50"/>
      <c r="M422" s="50"/>
      <c r="N422" s="50"/>
      <c r="O422" s="50"/>
      <c r="P422" s="50"/>
      <c r="Q422" s="11"/>
      <c r="R422" s="50"/>
      <c r="S422" s="50"/>
      <c r="T422" s="50"/>
      <c r="U422" s="11"/>
      <c r="V422" s="50"/>
      <c r="W422" s="50"/>
      <c r="X422" s="50"/>
      <c r="Y422" s="50"/>
      <c r="Z422" s="50"/>
      <c r="AA422" s="11"/>
      <c r="AB422" s="50"/>
      <c r="AC422" s="50"/>
      <c r="AD422" s="50"/>
      <c r="AE422" s="11"/>
      <c r="AF422" s="50"/>
      <c r="AG422" s="50"/>
      <c r="AH422" s="50"/>
      <c r="AI422" s="11"/>
      <c r="AJ422" s="50"/>
      <c r="AK422" s="50"/>
      <c r="AL422" s="50"/>
      <c r="AM422" s="11"/>
      <c r="AN422" s="50"/>
      <c r="AO422" s="50"/>
      <c r="AP422" s="50"/>
      <c r="AQ422" s="11"/>
      <c r="AR422" s="50"/>
      <c r="AS422" s="50"/>
      <c r="AT422" s="50"/>
      <c r="AU422" s="11"/>
      <c r="AV422" s="50"/>
      <c r="AW422" s="50"/>
      <c r="AX422" s="50"/>
      <c r="AY422" s="50"/>
      <c r="AZ422" s="50"/>
      <c r="BA422" s="50"/>
      <c r="BB422" s="50"/>
      <c r="BC422" s="50"/>
      <c r="BD422" s="50"/>
      <c r="BE422" s="20"/>
      <c r="BF422" s="518"/>
      <c r="BG422" s="484"/>
      <c r="BH422" s="484"/>
      <c r="BI422" s="527"/>
      <c r="BJ422" s="484"/>
      <c r="BK422" s="484"/>
      <c r="BL422" s="484"/>
      <c r="BM422" s="484"/>
    </row>
    <row r="423" spans="1:65" s="22" customFormat="1" x14ac:dyDescent="0.25">
      <c r="A423" s="20"/>
      <c r="B423" s="515"/>
      <c r="C423" s="11"/>
      <c r="D423" s="11"/>
      <c r="E423" s="11"/>
      <c r="F423" s="21"/>
      <c r="G423" s="11"/>
      <c r="H423" s="50"/>
      <c r="I423" s="50"/>
      <c r="J423" s="50"/>
      <c r="K423" s="11"/>
      <c r="L423" s="50"/>
      <c r="M423" s="50"/>
      <c r="N423" s="50"/>
      <c r="O423" s="50"/>
      <c r="P423" s="50"/>
      <c r="Q423" s="11"/>
      <c r="R423" s="50"/>
      <c r="S423" s="50"/>
      <c r="T423" s="50"/>
      <c r="U423" s="11"/>
      <c r="V423" s="50"/>
      <c r="W423" s="50"/>
      <c r="X423" s="50"/>
      <c r="Y423" s="50"/>
      <c r="Z423" s="50"/>
      <c r="AA423" s="11"/>
      <c r="AB423" s="50"/>
      <c r="AC423" s="50"/>
      <c r="AD423" s="50"/>
      <c r="AE423" s="11"/>
      <c r="AF423" s="50"/>
      <c r="AG423" s="50"/>
      <c r="AH423" s="50"/>
      <c r="AI423" s="11"/>
      <c r="AJ423" s="50"/>
      <c r="AK423" s="50"/>
      <c r="AL423" s="50"/>
      <c r="AM423" s="11"/>
      <c r="AN423" s="50"/>
      <c r="AO423" s="50"/>
      <c r="AP423" s="50"/>
      <c r="AQ423" s="11"/>
      <c r="AR423" s="50"/>
      <c r="AS423" s="50"/>
      <c r="AT423" s="50"/>
      <c r="AU423" s="11"/>
      <c r="AV423" s="50"/>
      <c r="AW423" s="50"/>
      <c r="AX423" s="50"/>
      <c r="AY423" s="50"/>
      <c r="AZ423" s="50"/>
      <c r="BA423" s="50"/>
      <c r="BB423" s="50"/>
      <c r="BC423" s="50"/>
      <c r="BD423" s="50"/>
      <c r="BE423" s="20"/>
      <c r="BF423" s="518"/>
      <c r="BG423" s="484"/>
      <c r="BH423" s="484"/>
      <c r="BI423" s="527"/>
      <c r="BJ423" s="484"/>
      <c r="BK423" s="484"/>
      <c r="BL423" s="484"/>
      <c r="BM423" s="484"/>
    </row>
    <row r="424" spans="1:65" s="22" customFormat="1" x14ac:dyDescent="0.25">
      <c r="A424" s="20"/>
      <c r="B424" s="515"/>
      <c r="C424" s="11"/>
      <c r="D424" s="11"/>
      <c r="E424" s="11"/>
      <c r="F424" s="21"/>
      <c r="G424" s="11"/>
      <c r="H424" s="50"/>
      <c r="I424" s="50"/>
      <c r="J424" s="50"/>
      <c r="K424" s="11"/>
      <c r="L424" s="50"/>
      <c r="M424" s="50"/>
      <c r="N424" s="50"/>
      <c r="O424" s="50"/>
      <c r="P424" s="50"/>
      <c r="Q424" s="11"/>
      <c r="R424" s="50"/>
      <c r="S424" s="50"/>
      <c r="T424" s="50"/>
      <c r="U424" s="11"/>
      <c r="V424" s="50"/>
      <c r="W424" s="50"/>
      <c r="X424" s="50"/>
      <c r="Y424" s="50"/>
      <c r="Z424" s="50"/>
      <c r="AA424" s="11"/>
      <c r="AB424" s="50"/>
      <c r="AC424" s="50"/>
      <c r="AD424" s="50"/>
      <c r="AE424" s="11"/>
      <c r="AF424" s="50"/>
      <c r="AG424" s="50"/>
      <c r="AH424" s="50"/>
      <c r="AI424" s="11"/>
      <c r="AJ424" s="50"/>
      <c r="AK424" s="50"/>
      <c r="AL424" s="50"/>
      <c r="AM424" s="11"/>
      <c r="AN424" s="50"/>
      <c r="AO424" s="50"/>
      <c r="AP424" s="50"/>
      <c r="AQ424" s="11"/>
      <c r="AR424" s="50"/>
      <c r="AS424" s="50"/>
      <c r="AT424" s="50"/>
      <c r="AU424" s="11"/>
      <c r="AV424" s="50"/>
      <c r="AW424" s="50"/>
      <c r="AX424" s="50"/>
      <c r="AY424" s="50"/>
      <c r="AZ424" s="50"/>
      <c r="BA424" s="50"/>
      <c r="BB424" s="50"/>
      <c r="BC424" s="50"/>
      <c r="BD424" s="50"/>
      <c r="BE424" s="20"/>
      <c r="BF424" s="518"/>
      <c r="BG424" s="484"/>
      <c r="BH424" s="484"/>
      <c r="BI424" s="527"/>
      <c r="BJ424" s="484"/>
      <c r="BK424" s="484"/>
      <c r="BL424" s="484"/>
      <c r="BM424" s="484"/>
    </row>
    <row r="425" spans="1:65" s="22" customFormat="1" x14ac:dyDescent="0.25">
      <c r="A425" s="20"/>
      <c r="B425" s="515"/>
      <c r="C425" s="11"/>
      <c r="D425" s="11"/>
      <c r="E425" s="11"/>
      <c r="F425" s="21"/>
      <c r="G425" s="11"/>
      <c r="H425" s="50"/>
      <c r="I425" s="50"/>
      <c r="J425" s="50"/>
      <c r="K425" s="11"/>
      <c r="L425" s="50"/>
      <c r="M425" s="50"/>
      <c r="N425" s="50"/>
      <c r="O425" s="50"/>
      <c r="P425" s="50"/>
      <c r="Q425" s="11"/>
      <c r="R425" s="50"/>
      <c r="S425" s="50"/>
      <c r="T425" s="50"/>
      <c r="U425" s="11"/>
      <c r="V425" s="50"/>
      <c r="W425" s="50"/>
      <c r="X425" s="50"/>
      <c r="Y425" s="50"/>
      <c r="Z425" s="50"/>
      <c r="AA425" s="11"/>
      <c r="AB425" s="50"/>
      <c r="AC425" s="50"/>
      <c r="AD425" s="50"/>
      <c r="AE425" s="11"/>
      <c r="AF425" s="50"/>
      <c r="AG425" s="50"/>
      <c r="AH425" s="50"/>
      <c r="AI425" s="11"/>
      <c r="AJ425" s="50"/>
      <c r="AK425" s="50"/>
      <c r="AL425" s="50"/>
      <c r="AM425" s="11"/>
      <c r="AN425" s="50"/>
      <c r="AO425" s="50"/>
      <c r="AP425" s="50"/>
      <c r="AQ425" s="11"/>
      <c r="AR425" s="50"/>
      <c r="AS425" s="50"/>
      <c r="AT425" s="50"/>
      <c r="AU425" s="11"/>
      <c r="AV425" s="50"/>
      <c r="AW425" s="50"/>
      <c r="AX425" s="50"/>
      <c r="AY425" s="50"/>
      <c r="AZ425" s="50"/>
      <c r="BA425" s="50"/>
      <c r="BB425" s="50"/>
      <c r="BC425" s="50"/>
      <c r="BD425" s="50"/>
      <c r="BE425" s="20"/>
      <c r="BF425" s="518"/>
      <c r="BG425" s="484"/>
      <c r="BH425" s="484"/>
      <c r="BI425" s="527"/>
      <c r="BJ425" s="484"/>
      <c r="BK425" s="484"/>
      <c r="BL425" s="484"/>
      <c r="BM425" s="484"/>
    </row>
    <row r="426" spans="1:65" s="22" customFormat="1" x14ac:dyDescent="0.25">
      <c r="A426" s="20"/>
      <c r="B426" s="515"/>
      <c r="C426" s="11"/>
      <c r="D426" s="11"/>
      <c r="E426" s="11"/>
      <c r="F426" s="21"/>
      <c r="G426" s="11"/>
      <c r="H426" s="50"/>
      <c r="I426" s="50"/>
      <c r="J426" s="50"/>
      <c r="K426" s="11"/>
      <c r="L426" s="50"/>
      <c r="M426" s="50"/>
      <c r="N426" s="50"/>
      <c r="O426" s="50"/>
      <c r="P426" s="50"/>
      <c r="Q426" s="11"/>
      <c r="R426" s="50"/>
      <c r="S426" s="50"/>
      <c r="T426" s="50"/>
      <c r="U426" s="11"/>
      <c r="V426" s="50"/>
      <c r="W426" s="50"/>
      <c r="X426" s="50"/>
      <c r="Y426" s="50"/>
      <c r="Z426" s="50"/>
      <c r="AA426" s="11"/>
      <c r="AB426" s="50"/>
      <c r="AC426" s="50"/>
      <c r="AD426" s="50"/>
      <c r="AE426" s="11"/>
      <c r="AF426" s="50"/>
      <c r="AG426" s="50"/>
      <c r="AH426" s="50"/>
      <c r="AI426" s="11"/>
      <c r="AJ426" s="50"/>
      <c r="AK426" s="50"/>
      <c r="AL426" s="50"/>
      <c r="AM426" s="11"/>
      <c r="AN426" s="50"/>
      <c r="AO426" s="50"/>
      <c r="AP426" s="50"/>
      <c r="AQ426" s="11"/>
      <c r="AR426" s="50"/>
      <c r="AS426" s="50"/>
      <c r="AT426" s="50"/>
      <c r="AU426" s="11"/>
      <c r="AV426" s="50"/>
      <c r="AW426" s="50"/>
      <c r="AX426" s="50"/>
      <c r="AY426" s="50"/>
      <c r="AZ426" s="50"/>
      <c r="BA426" s="50"/>
      <c r="BB426" s="50"/>
      <c r="BC426" s="50"/>
      <c r="BD426" s="50"/>
      <c r="BE426" s="20"/>
      <c r="BF426" s="518"/>
      <c r="BG426" s="484"/>
      <c r="BH426" s="484"/>
      <c r="BI426" s="527"/>
      <c r="BJ426" s="484"/>
      <c r="BK426" s="484"/>
      <c r="BL426" s="484"/>
      <c r="BM426" s="484"/>
    </row>
    <row r="427" spans="1:65" s="22" customFormat="1" x14ac:dyDescent="0.25">
      <c r="A427" s="20"/>
      <c r="B427" s="515"/>
      <c r="C427" s="11"/>
      <c r="D427" s="11"/>
      <c r="E427" s="11"/>
      <c r="F427" s="21"/>
      <c r="G427" s="11"/>
      <c r="H427" s="50"/>
      <c r="I427" s="50"/>
      <c r="J427" s="50"/>
      <c r="K427" s="11"/>
      <c r="L427" s="50"/>
      <c r="M427" s="50"/>
      <c r="N427" s="50"/>
      <c r="O427" s="50"/>
      <c r="P427" s="50"/>
      <c r="Q427" s="11"/>
      <c r="R427" s="50"/>
      <c r="S427" s="50"/>
      <c r="T427" s="50"/>
      <c r="U427" s="11"/>
      <c r="V427" s="50"/>
      <c r="W427" s="50"/>
      <c r="X427" s="50"/>
      <c r="Y427" s="50"/>
      <c r="Z427" s="50"/>
      <c r="AA427" s="11"/>
      <c r="AB427" s="50"/>
      <c r="AC427" s="50"/>
      <c r="AD427" s="50"/>
      <c r="AE427" s="11"/>
      <c r="AF427" s="50"/>
      <c r="AG427" s="50"/>
      <c r="AH427" s="50"/>
      <c r="AI427" s="11"/>
      <c r="AJ427" s="50"/>
      <c r="AK427" s="50"/>
      <c r="AL427" s="50"/>
      <c r="AM427" s="11"/>
      <c r="AN427" s="50"/>
      <c r="AO427" s="50"/>
      <c r="AP427" s="50"/>
      <c r="AQ427" s="11"/>
      <c r="AR427" s="50"/>
      <c r="AS427" s="50"/>
      <c r="AT427" s="50"/>
      <c r="AU427" s="11"/>
      <c r="AV427" s="50"/>
      <c r="AW427" s="50"/>
      <c r="AX427" s="50"/>
      <c r="AY427" s="50"/>
      <c r="AZ427" s="50"/>
      <c r="BA427" s="50"/>
      <c r="BB427" s="50"/>
      <c r="BC427" s="50"/>
      <c r="BD427" s="50"/>
      <c r="BE427" s="20"/>
      <c r="BF427" s="518"/>
      <c r="BG427" s="484"/>
      <c r="BH427" s="484"/>
      <c r="BI427" s="527"/>
      <c r="BJ427" s="484"/>
      <c r="BK427" s="484"/>
      <c r="BL427" s="484"/>
      <c r="BM427" s="484"/>
    </row>
    <row r="428" spans="1:65" s="22" customFormat="1" x14ac:dyDescent="0.25">
      <c r="A428" s="20"/>
      <c r="B428" s="515"/>
      <c r="C428" s="11"/>
      <c r="D428" s="11"/>
      <c r="E428" s="11"/>
      <c r="F428" s="21"/>
      <c r="G428" s="11"/>
      <c r="H428" s="50"/>
      <c r="I428" s="50"/>
      <c r="J428" s="50"/>
      <c r="K428" s="11"/>
      <c r="L428" s="50"/>
      <c r="M428" s="50"/>
      <c r="N428" s="50"/>
      <c r="O428" s="50"/>
      <c r="P428" s="50"/>
      <c r="Q428" s="11"/>
      <c r="R428" s="50"/>
      <c r="S428" s="50"/>
      <c r="T428" s="50"/>
      <c r="U428" s="11"/>
      <c r="V428" s="50"/>
      <c r="W428" s="50"/>
      <c r="X428" s="50"/>
      <c r="Y428" s="50"/>
      <c r="Z428" s="50"/>
      <c r="AA428" s="11"/>
      <c r="AB428" s="50"/>
      <c r="AC428" s="50"/>
      <c r="AD428" s="50"/>
      <c r="AE428" s="11"/>
      <c r="AF428" s="50"/>
      <c r="AG428" s="50"/>
      <c r="AH428" s="50"/>
      <c r="AI428" s="11"/>
      <c r="AJ428" s="50"/>
      <c r="AK428" s="50"/>
      <c r="AL428" s="50"/>
      <c r="AM428" s="11"/>
      <c r="AN428" s="50"/>
      <c r="AO428" s="50"/>
      <c r="AP428" s="50"/>
      <c r="AQ428" s="11"/>
      <c r="AR428" s="50"/>
      <c r="AS428" s="50"/>
      <c r="AT428" s="50"/>
      <c r="AU428" s="11"/>
      <c r="AV428" s="50"/>
      <c r="AW428" s="50"/>
      <c r="AX428" s="50"/>
      <c r="AY428" s="50"/>
      <c r="AZ428" s="50"/>
      <c r="BA428" s="50"/>
      <c r="BB428" s="50"/>
      <c r="BC428" s="50"/>
      <c r="BD428" s="50"/>
      <c r="BE428" s="20"/>
      <c r="BF428" s="518"/>
      <c r="BG428" s="484"/>
      <c r="BH428" s="484"/>
      <c r="BI428" s="527"/>
      <c r="BJ428" s="484"/>
      <c r="BK428" s="484"/>
      <c r="BL428" s="484"/>
      <c r="BM428" s="484"/>
    </row>
    <row r="429" spans="1:65" s="22" customFormat="1" x14ac:dyDescent="0.25">
      <c r="A429" s="20"/>
      <c r="B429" s="515"/>
      <c r="C429" s="11"/>
      <c r="D429" s="11"/>
      <c r="E429" s="11"/>
      <c r="F429" s="21"/>
      <c r="G429" s="11"/>
      <c r="H429" s="50"/>
      <c r="I429" s="50"/>
      <c r="J429" s="50"/>
      <c r="K429" s="11"/>
      <c r="L429" s="50"/>
      <c r="M429" s="50"/>
      <c r="N429" s="50"/>
      <c r="O429" s="50"/>
      <c r="P429" s="50"/>
      <c r="Q429" s="11"/>
      <c r="R429" s="50"/>
      <c r="S429" s="50"/>
      <c r="T429" s="50"/>
      <c r="U429" s="11"/>
      <c r="V429" s="50"/>
      <c r="W429" s="50"/>
      <c r="X429" s="50"/>
      <c r="Y429" s="50"/>
      <c r="Z429" s="50"/>
      <c r="AA429" s="11"/>
      <c r="AB429" s="50"/>
      <c r="AC429" s="50"/>
      <c r="AD429" s="50"/>
      <c r="AE429" s="11"/>
      <c r="AF429" s="50"/>
      <c r="AG429" s="50"/>
      <c r="AH429" s="50"/>
      <c r="AI429" s="11"/>
      <c r="AJ429" s="50"/>
      <c r="AK429" s="50"/>
      <c r="AL429" s="50"/>
      <c r="AM429" s="11"/>
      <c r="AN429" s="50"/>
      <c r="AO429" s="50"/>
      <c r="AP429" s="50"/>
      <c r="AQ429" s="11"/>
      <c r="AR429" s="50"/>
      <c r="AS429" s="50"/>
      <c r="AT429" s="50"/>
      <c r="AU429" s="11"/>
      <c r="AV429" s="50"/>
      <c r="AW429" s="50"/>
      <c r="AX429" s="50"/>
      <c r="AY429" s="50"/>
      <c r="AZ429" s="50"/>
      <c r="BA429" s="50"/>
      <c r="BB429" s="50"/>
      <c r="BC429" s="50"/>
      <c r="BD429" s="50"/>
      <c r="BE429" s="20"/>
      <c r="BF429" s="518"/>
      <c r="BG429" s="484"/>
      <c r="BH429" s="484"/>
      <c r="BI429" s="527"/>
      <c r="BJ429" s="484"/>
      <c r="BK429" s="484"/>
      <c r="BL429" s="484"/>
      <c r="BM429" s="484"/>
    </row>
    <row r="430" spans="1:65" s="22" customFormat="1" x14ac:dyDescent="0.25">
      <c r="A430" s="20"/>
      <c r="B430" s="515"/>
      <c r="C430" s="11"/>
      <c r="D430" s="11"/>
      <c r="E430" s="11"/>
      <c r="F430" s="21"/>
      <c r="G430" s="11"/>
      <c r="H430" s="50"/>
      <c r="I430" s="50"/>
      <c r="J430" s="50"/>
      <c r="K430" s="11"/>
      <c r="L430" s="50"/>
      <c r="M430" s="50"/>
      <c r="N430" s="50"/>
      <c r="O430" s="50"/>
      <c r="P430" s="50"/>
      <c r="Q430" s="11"/>
      <c r="R430" s="50"/>
      <c r="S430" s="50"/>
      <c r="T430" s="50"/>
      <c r="U430" s="11"/>
      <c r="V430" s="50"/>
      <c r="W430" s="50"/>
      <c r="X430" s="50"/>
      <c r="Y430" s="50"/>
      <c r="Z430" s="50"/>
      <c r="AA430" s="11"/>
      <c r="AB430" s="50"/>
      <c r="AC430" s="50"/>
      <c r="AD430" s="50"/>
      <c r="AE430" s="11"/>
      <c r="AF430" s="50"/>
      <c r="AG430" s="50"/>
      <c r="AH430" s="50"/>
      <c r="AI430" s="11"/>
      <c r="AJ430" s="50"/>
      <c r="AK430" s="50"/>
      <c r="AL430" s="50"/>
      <c r="AM430" s="11"/>
      <c r="AN430" s="50"/>
      <c r="AO430" s="50"/>
      <c r="AP430" s="50"/>
      <c r="AQ430" s="11"/>
      <c r="AR430" s="50"/>
      <c r="AS430" s="50"/>
      <c r="AT430" s="50"/>
      <c r="AU430" s="11"/>
      <c r="AV430" s="50"/>
      <c r="AW430" s="50"/>
      <c r="AX430" s="50"/>
      <c r="AY430" s="50"/>
      <c r="AZ430" s="50"/>
      <c r="BA430" s="50"/>
      <c r="BB430" s="50"/>
      <c r="BC430" s="50"/>
      <c r="BD430" s="50"/>
      <c r="BE430" s="20"/>
      <c r="BF430" s="518"/>
      <c r="BG430" s="484"/>
      <c r="BH430" s="484"/>
      <c r="BI430" s="527"/>
      <c r="BJ430" s="484"/>
      <c r="BK430" s="484"/>
      <c r="BL430" s="484"/>
      <c r="BM430" s="484"/>
    </row>
    <row r="431" spans="1:65" s="22" customFormat="1" x14ac:dyDescent="0.25">
      <c r="A431" s="20"/>
      <c r="B431" s="515"/>
      <c r="C431" s="11"/>
      <c r="D431" s="11"/>
      <c r="E431" s="11"/>
      <c r="F431" s="21"/>
      <c r="G431" s="11"/>
      <c r="H431" s="50"/>
      <c r="I431" s="50"/>
      <c r="J431" s="50"/>
      <c r="K431" s="11"/>
      <c r="L431" s="50"/>
      <c r="M431" s="50"/>
      <c r="N431" s="50"/>
      <c r="O431" s="50"/>
      <c r="P431" s="50"/>
      <c r="Q431" s="11"/>
      <c r="R431" s="50"/>
      <c r="S431" s="50"/>
      <c r="T431" s="50"/>
      <c r="U431" s="11"/>
      <c r="V431" s="50"/>
      <c r="W431" s="50"/>
      <c r="X431" s="50"/>
      <c r="Y431" s="50"/>
      <c r="Z431" s="50"/>
      <c r="AA431" s="11"/>
      <c r="AB431" s="50"/>
      <c r="AC431" s="50"/>
      <c r="AD431" s="50"/>
      <c r="AE431" s="11"/>
      <c r="AF431" s="50"/>
      <c r="AG431" s="50"/>
      <c r="AH431" s="50"/>
      <c r="AI431" s="11"/>
      <c r="AJ431" s="50"/>
      <c r="AK431" s="50"/>
      <c r="AL431" s="50"/>
      <c r="AM431" s="11"/>
      <c r="AN431" s="50"/>
      <c r="AO431" s="50"/>
      <c r="AP431" s="50"/>
      <c r="AQ431" s="11"/>
      <c r="AR431" s="50"/>
      <c r="AS431" s="50"/>
      <c r="AT431" s="50"/>
      <c r="AU431" s="11"/>
      <c r="AV431" s="50"/>
      <c r="AW431" s="50"/>
      <c r="AX431" s="50"/>
      <c r="AY431" s="50"/>
      <c r="AZ431" s="50"/>
      <c r="BA431" s="50"/>
      <c r="BB431" s="50"/>
      <c r="BC431" s="50"/>
      <c r="BD431" s="50"/>
      <c r="BE431" s="20"/>
      <c r="BF431" s="518"/>
      <c r="BG431" s="484"/>
      <c r="BH431" s="484"/>
      <c r="BI431" s="527"/>
      <c r="BJ431" s="484"/>
      <c r="BK431" s="484"/>
      <c r="BL431" s="484"/>
      <c r="BM431" s="484"/>
    </row>
    <row r="432" spans="1:65" s="22" customFormat="1" x14ac:dyDescent="0.25">
      <c r="A432" s="20"/>
      <c r="B432" s="515"/>
      <c r="C432" s="11"/>
      <c r="D432" s="11"/>
      <c r="E432" s="11"/>
      <c r="F432" s="21"/>
      <c r="G432" s="11"/>
      <c r="H432" s="50"/>
      <c r="I432" s="50"/>
      <c r="J432" s="50"/>
      <c r="K432" s="11"/>
      <c r="L432" s="50"/>
      <c r="M432" s="50"/>
      <c r="N432" s="50"/>
      <c r="O432" s="50"/>
      <c r="P432" s="50"/>
      <c r="Q432" s="11"/>
      <c r="R432" s="50"/>
      <c r="S432" s="50"/>
      <c r="T432" s="50"/>
      <c r="U432" s="11"/>
      <c r="V432" s="50"/>
      <c r="W432" s="50"/>
      <c r="X432" s="50"/>
      <c r="Y432" s="50"/>
      <c r="Z432" s="50"/>
      <c r="AA432" s="11"/>
      <c r="AB432" s="50"/>
      <c r="AC432" s="50"/>
      <c r="AD432" s="50"/>
      <c r="AE432" s="11"/>
      <c r="AF432" s="50"/>
      <c r="AG432" s="50"/>
      <c r="AH432" s="50"/>
      <c r="AI432" s="11"/>
      <c r="AJ432" s="50"/>
      <c r="AK432" s="50"/>
      <c r="AL432" s="50"/>
      <c r="AM432" s="11"/>
      <c r="AN432" s="50"/>
      <c r="AO432" s="50"/>
      <c r="AP432" s="50"/>
      <c r="AQ432" s="11"/>
      <c r="AR432" s="50"/>
      <c r="AS432" s="50"/>
      <c r="AT432" s="50"/>
      <c r="AU432" s="11"/>
      <c r="AV432" s="50"/>
      <c r="AW432" s="50"/>
      <c r="AX432" s="50"/>
      <c r="AY432" s="50"/>
      <c r="AZ432" s="50"/>
      <c r="BA432" s="50"/>
      <c r="BB432" s="50"/>
      <c r="BC432" s="50"/>
      <c r="BD432" s="50"/>
      <c r="BE432" s="20"/>
      <c r="BF432" s="518"/>
      <c r="BG432" s="484"/>
      <c r="BH432" s="484"/>
      <c r="BI432" s="527"/>
      <c r="BJ432" s="484"/>
      <c r="BK432" s="484"/>
      <c r="BL432" s="484"/>
      <c r="BM432" s="484"/>
    </row>
    <row r="433" spans="1:65" s="22" customFormat="1" x14ac:dyDescent="0.25">
      <c r="A433" s="20"/>
      <c r="B433" s="515"/>
      <c r="C433" s="11"/>
      <c r="D433" s="11"/>
      <c r="E433" s="11"/>
      <c r="F433" s="21"/>
      <c r="G433" s="11"/>
      <c r="H433" s="50"/>
      <c r="I433" s="50"/>
      <c r="J433" s="50"/>
      <c r="K433" s="11"/>
      <c r="L433" s="50"/>
      <c r="M433" s="50"/>
      <c r="N433" s="50"/>
      <c r="O433" s="50"/>
      <c r="P433" s="50"/>
      <c r="Q433" s="11"/>
      <c r="R433" s="50"/>
      <c r="S433" s="50"/>
      <c r="T433" s="50"/>
      <c r="U433" s="11"/>
      <c r="V433" s="50"/>
      <c r="W433" s="50"/>
      <c r="X433" s="50"/>
      <c r="Y433" s="50"/>
      <c r="Z433" s="50"/>
      <c r="AA433" s="11"/>
      <c r="AB433" s="50"/>
      <c r="AC433" s="50"/>
      <c r="AD433" s="50"/>
      <c r="AE433" s="11"/>
      <c r="AF433" s="50"/>
      <c r="AG433" s="50"/>
      <c r="AH433" s="50"/>
      <c r="AI433" s="11"/>
      <c r="AJ433" s="50"/>
      <c r="AK433" s="50"/>
      <c r="AL433" s="50"/>
      <c r="AM433" s="11"/>
      <c r="AN433" s="50"/>
      <c r="AO433" s="50"/>
      <c r="AP433" s="50"/>
      <c r="AQ433" s="11"/>
      <c r="AR433" s="50"/>
      <c r="AS433" s="50"/>
      <c r="AT433" s="50"/>
      <c r="AU433" s="11"/>
      <c r="AV433" s="50"/>
      <c r="AW433" s="50"/>
      <c r="AX433" s="50"/>
      <c r="AY433" s="50"/>
      <c r="AZ433" s="50"/>
      <c r="BA433" s="50"/>
      <c r="BB433" s="50"/>
      <c r="BC433" s="50"/>
      <c r="BD433" s="50"/>
      <c r="BE433" s="20"/>
      <c r="BF433" s="518"/>
      <c r="BG433" s="484"/>
      <c r="BH433" s="484"/>
      <c r="BI433" s="527"/>
      <c r="BJ433" s="484"/>
      <c r="BK433" s="484"/>
      <c r="BL433" s="484"/>
      <c r="BM433" s="484"/>
    </row>
    <row r="434" spans="1:65" s="22" customFormat="1" x14ac:dyDescent="0.25">
      <c r="A434" s="20"/>
      <c r="B434" s="515"/>
      <c r="C434" s="11"/>
      <c r="D434" s="11"/>
      <c r="E434" s="11"/>
      <c r="F434" s="21"/>
      <c r="G434" s="11"/>
      <c r="H434" s="50"/>
      <c r="I434" s="50"/>
      <c r="J434" s="50"/>
      <c r="K434" s="11"/>
      <c r="L434" s="50"/>
      <c r="M434" s="50"/>
      <c r="N434" s="50"/>
      <c r="O434" s="50"/>
      <c r="P434" s="50"/>
      <c r="Q434" s="11"/>
      <c r="R434" s="50"/>
      <c r="S434" s="50"/>
      <c r="T434" s="50"/>
      <c r="U434" s="11"/>
      <c r="V434" s="50"/>
      <c r="W434" s="50"/>
      <c r="X434" s="50"/>
      <c r="Y434" s="50"/>
      <c r="Z434" s="50"/>
      <c r="AA434" s="11"/>
      <c r="AB434" s="50"/>
      <c r="AC434" s="50"/>
      <c r="AD434" s="50"/>
      <c r="AE434" s="11"/>
      <c r="AF434" s="50"/>
      <c r="AG434" s="50"/>
      <c r="AH434" s="50"/>
      <c r="AI434" s="11"/>
      <c r="AJ434" s="50"/>
      <c r="AK434" s="50"/>
      <c r="AL434" s="50"/>
      <c r="AM434" s="11"/>
      <c r="AN434" s="50"/>
      <c r="AO434" s="50"/>
      <c r="AP434" s="50"/>
      <c r="AQ434" s="11"/>
      <c r="AR434" s="50"/>
      <c r="AS434" s="50"/>
      <c r="AT434" s="50"/>
      <c r="AU434" s="11"/>
      <c r="AV434" s="50"/>
      <c r="AW434" s="50"/>
      <c r="AX434" s="50"/>
      <c r="AY434" s="50"/>
      <c r="AZ434" s="50"/>
      <c r="BA434" s="50"/>
      <c r="BB434" s="50"/>
      <c r="BC434" s="50"/>
      <c r="BD434" s="50"/>
      <c r="BE434" s="20"/>
      <c r="BF434" s="518"/>
      <c r="BG434" s="484"/>
      <c r="BH434" s="484"/>
      <c r="BI434" s="527"/>
      <c r="BJ434" s="484"/>
      <c r="BK434" s="484"/>
      <c r="BL434" s="484"/>
      <c r="BM434" s="484"/>
    </row>
    <row r="435" spans="1:65" s="22" customFormat="1" x14ac:dyDescent="0.25">
      <c r="A435" s="20"/>
      <c r="B435" s="515"/>
      <c r="C435" s="11"/>
      <c r="D435" s="11"/>
      <c r="E435" s="11"/>
      <c r="F435" s="21"/>
      <c r="G435" s="11"/>
      <c r="H435" s="50"/>
      <c r="I435" s="50"/>
      <c r="J435" s="50"/>
      <c r="K435" s="11"/>
      <c r="L435" s="50"/>
      <c r="M435" s="50"/>
      <c r="N435" s="50"/>
      <c r="O435" s="50"/>
      <c r="P435" s="50"/>
      <c r="Q435" s="11"/>
      <c r="R435" s="50"/>
      <c r="S435" s="50"/>
      <c r="T435" s="50"/>
      <c r="U435" s="11"/>
      <c r="V435" s="50"/>
      <c r="W435" s="50"/>
      <c r="X435" s="50"/>
      <c r="Y435" s="50"/>
      <c r="Z435" s="50"/>
      <c r="AA435" s="11"/>
      <c r="AB435" s="50"/>
      <c r="AC435" s="50"/>
      <c r="AD435" s="50"/>
      <c r="AE435" s="11"/>
      <c r="AF435" s="50"/>
      <c r="AG435" s="50"/>
      <c r="AH435" s="50"/>
      <c r="AI435" s="11"/>
      <c r="AJ435" s="50"/>
      <c r="AK435" s="50"/>
      <c r="AL435" s="50"/>
      <c r="AM435" s="11"/>
      <c r="AN435" s="50"/>
      <c r="AO435" s="50"/>
      <c r="AP435" s="50"/>
      <c r="AQ435" s="11"/>
      <c r="AR435" s="50"/>
      <c r="AS435" s="50"/>
      <c r="AT435" s="50"/>
      <c r="AU435" s="11"/>
      <c r="AV435" s="50"/>
      <c r="AW435" s="50"/>
      <c r="AX435" s="50"/>
      <c r="AY435" s="50"/>
      <c r="AZ435" s="50"/>
      <c r="BA435" s="50"/>
      <c r="BB435" s="50"/>
      <c r="BC435" s="50"/>
      <c r="BD435" s="50"/>
      <c r="BE435" s="20"/>
      <c r="BF435" s="518"/>
      <c r="BG435" s="484"/>
      <c r="BH435" s="484"/>
      <c r="BI435" s="527"/>
      <c r="BJ435" s="484"/>
      <c r="BK435" s="484"/>
      <c r="BL435" s="484"/>
      <c r="BM435" s="484"/>
    </row>
    <row r="436" spans="1:65" s="22" customFormat="1" x14ac:dyDescent="0.25">
      <c r="A436" s="20"/>
      <c r="B436" s="515"/>
      <c r="C436" s="11"/>
      <c r="D436" s="11"/>
      <c r="E436" s="11"/>
      <c r="F436" s="21"/>
      <c r="G436" s="11"/>
      <c r="H436" s="50"/>
      <c r="I436" s="50"/>
      <c r="J436" s="50"/>
      <c r="K436" s="11"/>
      <c r="L436" s="50"/>
      <c r="M436" s="50"/>
      <c r="N436" s="50"/>
      <c r="O436" s="50"/>
      <c r="P436" s="50"/>
      <c r="Q436" s="11"/>
      <c r="R436" s="50"/>
      <c r="S436" s="50"/>
      <c r="T436" s="50"/>
      <c r="U436" s="11"/>
      <c r="V436" s="50"/>
      <c r="W436" s="50"/>
      <c r="X436" s="50"/>
      <c r="Y436" s="50"/>
      <c r="Z436" s="50"/>
      <c r="AA436" s="11"/>
      <c r="AB436" s="50"/>
      <c r="AC436" s="50"/>
      <c r="AD436" s="50"/>
      <c r="AE436" s="11"/>
      <c r="AF436" s="50"/>
      <c r="AG436" s="50"/>
      <c r="AH436" s="50"/>
      <c r="AI436" s="11"/>
      <c r="AJ436" s="50"/>
      <c r="AK436" s="50"/>
      <c r="AL436" s="50"/>
      <c r="AM436" s="11"/>
      <c r="AN436" s="50"/>
      <c r="AO436" s="50"/>
      <c r="AP436" s="50"/>
      <c r="AQ436" s="11"/>
      <c r="AR436" s="50"/>
      <c r="AS436" s="50"/>
      <c r="AT436" s="50"/>
      <c r="AU436" s="11"/>
      <c r="AV436" s="50"/>
      <c r="AW436" s="50"/>
      <c r="AX436" s="50"/>
      <c r="AY436" s="50"/>
      <c r="AZ436" s="50"/>
      <c r="BA436" s="50"/>
      <c r="BB436" s="50"/>
      <c r="BC436" s="50"/>
      <c r="BD436" s="50"/>
      <c r="BE436" s="20"/>
      <c r="BF436" s="518"/>
      <c r="BG436" s="484"/>
      <c r="BH436" s="484"/>
      <c r="BI436" s="527"/>
      <c r="BJ436" s="484"/>
      <c r="BK436" s="484"/>
      <c r="BL436" s="484"/>
      <c r="BM436" s="484"/>
    </row>
    <row r="437" spans="1:65" s="22" customFormat="1" x14ac:dyDescent="0.25">
      <c r="A437" s="20"/>
      <c r="B437" s="515"/>
      <c r="C437" s="11"/>
      <c r="D437" s="11"/>
      <c r="E437" s="11"/>
      <c r="F437" s="21"/>
      <c r="G437" s="11"/>
      <c r="H437" s="50"/>
      <c r="I437" s="50"/>
      <c r="J437" s="50"/>
      <c r="K437" s="11"/>
      <c r="L437" s="50"/>
      <c r="M437" s="50"/>
      <c r="N437" s="50"/>
      <c r="O437" s="50"/>
      <c r="P437" s="50"/>
      <c r="Q437" s="11"/>
      <c r="R437" s="50"/>
      <c r="S437" s="50"/>
      <c r="T437" s="50"/>
      <c r="U437" s="11"/>
      <c r="V437" s="50"/>
      <c r="W437" s="50"/>
      <c r="X437" s="50"/>
      <c r="Y437" s="50"/>
      <c r="Z437" s="50"/>
      <c r="AA437" s="11"/>
      <c r="AB437" s="50"/>
      <c r="AC437" s="50"/>
      <c r="AD437" s="50"/>
      <c r="AE437" s="11"/>
      <c r="AF437" s="50"/>
      <c r="AG437" s="50"/>
      <c r="AH437" s="50"/>
      <c r="AI437" s="11"/>
      <c r="AJ437" s="50"/>
      <c r="AK437" s="50"/>
      <c r="AL437" s="50"/>
      <c r="AM437" s="11"/>
      <c r="AN437" s="50"/>
      <c r="AO437" s="50"/>
      <c r="AP437" s="50"/>
      <c r="AQ437" s="11"/>
      <c r="AR437" s="50"/>
      <c r="AS437" s="50"/>
      <c r="AT437" s="50"/>
      <c r="AU437" s="11"/>
      <c r="AV437" s="50"/>
      <c r="AW437" s="50"/>
      <c r="AX437" s="50"/>
      <c r="AY437" s="50"/>
      <c r="AZ437" s="50"/>
      <c r="BA437" s="50"/>
      <c r="BB437" s="50"/>
      <c r="BC437" s="50"/>
      <c r="BD437" s="50"/>
      <c r="BE437" s="20"/>
      <c r="BF437" s="518"/>
      <c r="BG437" s="484"/>
      <c r="BH437" s="484"/>
      <c r="BI437" s="527"/>
      <c r="BJ437" s="484"/>
      <c r="BK437" s="484"/>
      <c r="BL437" s="484"/>
      <c r="BM437" s="484"/>
    </row>
    <row r="438" spans="1:65" s="22" customFormat="1" x14ac:dyDescent="0.25">
      <c r="A438" s="20"/>
      <c r="B438" s="515"/>
      <c r="C438" s="11"/>
      <c r="D438" s="11"/>
      <c r="E438" s="11"/>
      <c r="F438" s="21"/>
      <c r="G438" s="11"/>
      <c r="H438" s="50"/>
      <c r="I438" s="50"/>
      <c r="J438" s="50"/>
      <c r="K438" s="11"/>
      <c r="L438" s="50"/>
      <c r="M438" s="50"/>
      <c r="N438" s="50"/>
      <c r="O438" s="50"/>
      <c r="P438" s="50"/>
      <c r="Q438" s="11"/>
      <c r="R438" s="50"/>
      <c r="S438" s="50"/>
      <c r="T438" s="50"/>
      <c r="U438" s="11"/>
      <c r="V438" s="50"/>
      <c r="W438" s="50"/>
      <c r="X438" s="50"/>
      <c r="Y438" s="50"/>
      <c r="Z438" s="50"/>
      <c r="AA438" s="11"/>
      <c r="AB438" s="50"/>
      <c r="AC438" s="50"/>
      <c r="AD438" s="50"/>
      <c r="AE438" s="11"/>
      <c r="AF438" s="50"/>
      <c r="AG438" s="50"/>
      <c r="AH438" s="50"/>
      <c r="AI438" s="11"/>
      <c r="AJ438" s="50"/>
      <c r="AK438" s="50"/>
      <c r="AL438" s="50"/>
      <c r="AM438" s="11"/>
      <c r="AN438" s="50"/>
      <c r="AO438" s="50"/>
      <c r="AP438" s="50"/>
      <c r="AQ438" s="11"/>
      <c r="AR438" s="50"/>
      <c r="AS438" s="50"/>
      <c r="AT438" s="50"/>
      <c r="AU438" s="11"/>
      <c r="AV438" s="50"/>
      <c r="AW438" s="50"/>
      <c r="AX438" s="50"/>
      <c r="AY438" s="50"/>
      <c r="AZ438" s="50"/>
      <c r="BA438" s="50"/>
      <c r="BB438" s="50"/>
      <c r="BC438" s="50"/>
      <c r="BD438" s="50"/>
      <c r="BE438" s="20"/>
      <c r="BF438" s="518"/>
      <c r="BG438" s="484"/>
      <c r="BH438" s="484"/>
      <c r="BI438" s="527"/>
      <c r="BJ438" s="484"/>
      <c r="BK438" s="484"/>
      <c r="BL438" s="484"/>
      <c r="BM438" s="484"/>
    </row>
    <row r="439" spans="1:65" s="22" customFormat="1" x14ac:dyDescent="0.25">
      <c r="A439" s="20"/>
      <c r="B439" s="515"/>
      <c r="C439" s="11"/>
      <c r="D439" s="11"/>
      <c r="E439" s="11"/>
      <c r="F439" s="21"/>
      <c r="G439" s="11"/>
      <c r="H439" s="50"/>
      <c r="I439" s="50"/>
      <c r="J439" s="50"/>
      <c r="K439" s="11"/>
      <c r="L439" s="50"/>
      <c r="M439" s="50"/>
      <c r="N439" s="50"/>
      <c r="O439" s="50"/>
      <c r="P439" s="50"/>
      <c r="Q439" s="11"/>
      <c r="R439" s="50"/>
      <c r="S439" s="50"/>
      <c r="T439" s="50"/>
      <c r="U439" s="11"/>
      <c r="V439" s="50"/>
      <c r="W439" s="50"/>
      <c r="X439" s="50"/>
      <c r="Y439" s="50"/>
      <c r="Z439" s="50"/>
      <c r="AA439" s="11"/>
      <c r="AB439" s="50"/>
      <c r="AC439" s="50"/>
      <c r="AD439" s="50"/>
      <c r="AE439" s="11"/>
      <c r="AF439" s="50"/>
      <c r="AG439" s="50"/>
      <c r="AH439" s="50"/>
      <c r="AI439" s="11"/>
      <c r="AJ439" s="50"/>
      <c r="AK439" s="50"/>
      <c r="AL439" s="50"/>
      <c r="AM439" s="11"/>
      <c r="AN439" s="50"/>
      <c r="AO439" s="50"/>
      <c r="AP439" s="50"/>
      <c r="AQ439" s="11"/>
      <c r="AR439" s="50"/>
      <c r="AS439" s="50"/>
      <c r="AT439" s="50"/>
      <c r="AU439" s="11"/>
      <c r="AV439" s="50"/>
      <c r="AW439" s="50"/>
      <c r="AX439" s="50"/>
      <c r="AY439" s="50"/>
      <c r="AZ439" s="50"/>
      <c r="BA439" s="50"/>
      <c r="BB439" s="50"/>
      <c r="BC439" s="50"/>
      <c r="BD439" s="50"/>
      <c r="BE439" s="20"/>
      <c r="BF439" s="518"/>
      <c r="BG439" s="484"/>
      <c r="BH439" s="484"/>
      <c r="BI439" s="527"/>
      <c r="BJ439" s="484"/>
      <c r="BK439" s="484"/>
      <c r="BL439" s="484"/>
      <c r="BM439" s="484"/>
    </row>
    <row r="440" spans="1:65" s="22" customFormat="1" x14ac:dyDescent="0.25">
      <c r="A440" s="20"/>
      <c r="B440" s="515"/>
      <c r="C440" s="11"/>
      <c r="D440" s="11"/>
      <c r="E440" s="11"/>
      <c r="F440" s="21"/>
      <c r="G440" s="11"/>
      <c r="H440" s="50"/>
      <c r="I440" s="50"/>
      <c r="J440" s="50"/>
      <c r="K440" s="11"/>
      <c r="L440" s="50"/>
      <c r="M440" s="50"/>
      <c r="N440" s="50"/>
      <c r="O440" s="50"/>
      <c r="P440" s="50"/>
      <c r="Q440" s="11"/>
      <c r="R440" s="50"/>
      <c r="S440" s="50"/>
      <c r="T440" s="50"/>
      <c r="U440" s="11"/>
      <c r="V440" s="50"/>
      <c r="W440" s="50"/>
      <c r="X440" s="50"/>
      <c r="Y440" s="50"/>
      <c r="Z440" s="50"/>
      <c r="AA440" s="11"/>
      <c r="AB440" s="50"/>
      <c r="AC440" s="50"/>
      <c r="AD440" s="50"/>
      <c r="AE440" s="11"/>
      <c r="AF440" s="50"/>
      <c r="AG440" s="50"/>
      <c r="AH440" s="50"/>
      <c r="AI440" s="11"/>
      <c r="AJ440" s="50"/>
      <c r="AK440" s="50"/>
      <c r="AL440" s="50"/>
      <c r="AM440" s="11"/>
      <c r="AN440" s="50"/>
      <c r="AO440" s="50"/>
      <c r="AP440" s="50"/>
      <c r="AQ440" s="11"/>
      <c r="AR440" s="50"/>
      <c r="AS440" s="50"/>
      <c r="AT440" s="50"/>
      <c r="AU440" s="11"/>
      <c r="AV440" s="50"/>
      <c r="AW440" s="50"/>
      <c r="AX440" s="50"/>
      <c r="AY440" s="50"/>
      <c r="AZ440" s="50"/>
      <c r="BA440" s="50"/>
      <c r="BB440" s="50"/>
      <c r="BC440" s="50"/>
      <c r="BD440" s="50"/>
      <c r="BE440" s="20"/>
      <c r="BF440" s="518"/>
      <c r="BG440" s="484"/>
      <c r="BH440" s="484"/>
      <c r="BI440" s="527"/>
      <c r="BJ440" s="484"/>
      <c r="BK440" s="484"/>
      <c r="BL440" s="484"/>
      <c r="BM440" s="484"/>
    </row>
    <row r="441" spans="1:65" s="22" customFormat="1" x14ac:dyDescent="0.25">
      <c r="A441" s="20"/>
      <c r="B441" s="515"/>
      <c r="C441" s="11"/>
      <c r="D441" s="11"/>
      <c r="E441" s="11"/>
      <c r="F441" s="21"/>
      <c r="G441" s="11"/>
      <c r="H441" s="50"/>
      <c r="I441" s="50"/>
      <c r="J441" s="50"/>
      <c r="K441" s="11"/>
      <c r="L441" s="50"/>
      <c r="M441" s="50"/>
      <c r="N441" s="50"/>
      <c r="O441" s="50"/>
      <c r="P441" s="50"/>
      <c r="Q441" s="11"/>
      <c r="R441" s="50"/>
      <c r="S441" s="50"/>
      <c r="T441" s="50"/>
      <c r="U441" s="11"/>
      <c r="V441" s="50"/>
      <c r="W441" s="50"/>
      <c r="X441" s="50"/>
      <c r="Y441" s="50"/>
      <c r="Z441" s="50"/>
      <c r="AA441" s="11"/>
      <c r="AB441" s="50"/>
      <c r="AC441" s="50"/>
      <c r="AD441" s="50"/>
      <c r="AE441" s="11"/>
      <c r="AF441" s="50"/>
      <c r="AG441" s="50"/>
      <c r="AH441" s="50"/>
      <c r="AI441" s="11"/>
      <c r="AJ441" s="50"/>
      <c r="AK441" s="50"/>
      <c r="AL441" s="50"/>
      <c r="AM441" s="11"/>
      <c r="AN441" s="50"/>
      <c r="AO441" s="50"/>
      <c r="AP441" s="50"/>
      <c r="AQ441" s="11"/>
      <c r="AR441" s="50"/>
      <c r="AS441" s="50"/>
      <c r="AT441" s="50"/>
      <c r="AU441" s="11"/>
      <c r="AV441" s="50"/>
      <c r="AW441" s="50"/>
      <c r="AX441" s="50"/>
      <c r="AY441" s="50"/>
      <c r="AZ441" s="50"/>
      <c r="BA441" s="50"/>
      <c r="BB441" s="50"/>
      <c r="BC441" s="50"/>
      <c r="BD441" s="50"/>
      <c r="BE441" s="20"/>
      <c r="BF441" s="518"/>
      <c r="BG441" s="484"/>
      <c r="BH441" s="484"/>
      <c r="BI441" s="527"/>
      <c r="BJ441" s="484"/>
      <c r="BK441" s="484"/>
      <c r="BL441" s="484"/>
      <c r="BM441" s="484"/>
    </row>
    <row r="442" spans="1:65" s="22" customFormat="1" x14ac:dyDescent="0.25">
      <c r="A442" s="20"/>
      <c r="B442" s="515"/>
      <c r="C442" s="11"/>
      <c r="D442" s="11"/>
      <c r="E442" s="11"/>
      <c r="F442" s="21"/>
      <c r="G442" s="11"/>
      <c r="H442" s="50"/>
      <c r="I442" s="50"/>
      <c r="J442" s="50"/>
      <c r="K442" s="11"/>
      <c r="L442" s="50"/>
      <c r="M442" s="50"/>
      <c r="N442" s="50"/>
      <c r="O442" s="50"/>
      <c r="P442" s="50"/>
      <c r="Q442" s="11"/>
      <c r="R442" s="50"/>
      <c r="S442" s="50"/>
      <c r="T442" s="50"/>
      <c r="U442" s="11"/>
      <c r="V442" s="50"/>
      <c r="W442" s="50"/>
      <c r="X442" s="50"/>
      <c r="Y442" s="50"/>
      <c r="Z442" s="50"/>
      <c r="AA442" s="11"/>
      <c r="AB442" s="50"/>
      <c r="AC442" s="50"/>
      <c r="AD442" s="50"/>
      <c r="AE442" s="11"/>
      <c r="AF442" s="50"/>
      <c r="AG442" s="50"/>
      <c r="AH442" s="50"/>
      <c r="AI442" s="11"/>
      <c r="AJ442" s="50"/>
      <c r="AK442" s="50"/>
      <c r="AL442" s="50"/>
      <c r="AM442" s="11"/>
      <c r="AN442" s="50"/>
      <c r="AO442" s="50"/>
      <c r="AP442" s="50"/>
      <c r="AQ442" s="11"/>
      <c r="AR442" s="50"/>
      <c r="AS442" s="50"/>
      <c r="AT442" s="50"/>
      <c r="AU442" s="11"/>
      <c r="AV442" s="50"/>
      <c r="AW442" s="50"/>
      <c r="AX442" s="50"/>
      <c r="AY442" s="50"/>
      <c r="AZ442" s="50"/>
      <c r="BA442" s="50"/>
      <c r="BB442" s="50"/>
      <c r="BC442" s="50"/>
      <c r="BD442" s="50"/>
      <c r="BE442" s="20"/>
      <c r="BF442" s="518"/>
      <c r="BG442" s="484"/>
      <c r="BH442" s="484"/>
      <c r="BI442" s="527"/>
      <c r="BJ442" s="484"/>
      <c r="BK442" s="484"/>
      <c r="BL442" s="484"/>
      <c r="BM442" s="484"/>
    </row>
    <row r="443" spans="1:65" s="22" customFormat="1" x14ac:dyDescent="0.25">
      <c r="A443" s="20"/>
      <c r="B443" s="515"/>
      <c r="C443" s="11"/>
      <c r="D443" s="11"/>
      <c r="E443" s="11"/>
      <c r="F443" s="21"/>
      <c r="G443" s="11"/>
      <c r="H443" s="50"/>
      <c r="I443" s="50"/>
      <c r="J443" s="50"/>
      <c r="K443" s="11"/>
      <c r="L443" s="50"/>
      <c r="M443" s="50"/>
      <c r="N443" s="50"/>
      <c r="O443" s="50"/>
      <c r="P443" s="50"/>
      <c r="Q443" s="11"/>
      <c r="R443" s="50"/>
      <c r="S443" s="50"/>
      <c r="T443" s="50"/>
      <c r="U443" s="11"/>
      <c r="V443" s="50"/>
      <c r="W443" s="50"/>
      <c r="X443" s="50"/>
      <c r="Y443" s="50"/>
      <c r="Z443" s="50"/>
      <c r="AA443" s="11"/>
      <c r="AB443" s="50"/>
      <c r="AC443" s="50"/>
      <c r="AD443" s="50"/>
      <c r="AE443" s="11"/>
      <c r="AF443" s="50"/>
      <c r="AG443" s="50"/>
      <c r="AH443" s="50"/>
      <c r="AI443" s="11"/>
      <c r="AJ443" s="50"/>
      <c r="AK443" s="50"/>
      <c r="AL443" s="50"/>
      <c r="AM443" s="11"/>
      <c r="AN443" s="50"/>
      <c r="AO443" s="50"/>
      <c r="AP443" s="50"/>
      <c r="AQ443" s="11"/>
      <c r="AR443" s="50"/>
      <c r="AS443" s="50"/>
      <c r="AT443" s="50"/>
      <c r="AU443" s="11"/>
      <c r="AV443" s="50"/>
      <c r="AW443" s="50"/>
      <c r="AX443" s="50"/>
      <c r="AY443" s="50"/>
      <c r="AZ443" s="50"/>
      <c r="BA443" s="50"/>
      <c r="BB443" s="50"/>
      <c r="BC443" s="50"/>
      <c r="BD443" s="50"/>
      <c r="BE443" s="20"/>
      <c r="BF443" s="518"/>
      <c r="BG443" s="484"/>
      <c r="BH443" s="484"/>
      <c r="BI443" s="527"/>
      <c r="BJ443" s="484"/>
      <c r="BK443" s="484"/>
      <c r="BL443" s="484"/>
      <c r="BM443" s="484"/>
    </row>
    <row r="444" spans="1:65" s="22" customFormat="1" x14ac:dyDescent="0.25">
      <c r="A444" s="20"/>
      <c r="B444" s="515"/>
      <c r="C444" s="11"/>
      <c r="D444" s="11"/>
      <c r="E444" s="11"/>
      <c r="F444" s="21"/>
      <c r="G444" s="11"/>
      <c r="H444" s="50"/>
      <c r="I444" s="50"/>
      <c r="J444" s="50"/>
      <c r="K444" s="11"/>
      <c r="L444" s="50"/>
      <c r="M444" s="50"/>
      <c r="N444" s="50"/>
      <c r="O444" s="50"/>
      <c r="P444" s="50"/>
      <c r="Q444" s="11"/>
      <c r="R444" s="50"/>
      <c r="S444" s="50"/>
      <c r="T444" s="50"/>
      <c r="U444" s="11"/>
      <c r="V444" s="50"/>
      <c r="W444" s="50"/>
      <c r="X444" s="50"/>
      <c r="Y444" s="50"/>
      <c r="Z444" s="50"/>
      <c r="AA444" s="11"/>
      <c r="AB444" s="50"/>
      <c r="AC444" s="50"/>
      <c r="AD444" s="50"/>
      <c r="AE444" s="11"/>
      <c r="AF444" s="50"/>
      <c r="AG444" s="50"/>
      <c r="AH444" s="50"/>
      <c r="AI444" s="11"/>
      <c r="AJ444" s="50"/>
      <c r="AK444" s="50"/>
      <c r="AL444" s="50"/>
      <c r="AM444" s="11"/>
      <c r="AN444" s="50"/>
      <c r="AO444" s="50"/>
      <c r="AP444" s="50"/>
      <c r="AQ444" s="11"/>
      <c r="AR444" s="50"/>
      <c r="AS444" s="50"/>
      <c r="AT444" s="50"/>
      <c r="AU444" s="11"/>
      <c r="AV444" s="50"/>
      <c r="AW444" s="50"/>
      <c r="AX444" s="50"/>
      <c r="AY444" s="50"/>
      <c r="AZ444" s="50"/>
      <c r="BA444" s="50"/>
      <c r="BB444" s="50"/>
      <c r="BC444" s="50"/>
      <c r="BD444" s="50"/>
      <c r="BE444" s="20"/>
      <c r="BF444" s="518"/>
      <c r="BG444" s="484"/>
      <c r="BH444" s="484"/>
      <c r="BI444" s="527"/>
      <c r="BJ444" s="484"/>
      <c r="BK444" s="484"/>
      <c r="BL444" s="484"/>
      <c r="BM444" s="484"/>
    </row>
    <row r="445" spans="1:65" s="22" customFormat="1" x14ac:dyDescent="0.25">
      <c r="A445" s="20"/>
      <c r="B445" s="515"/>
      <c r="C445" s="11"/>
      <c r="D445" s="11"/>
      <c r="E445" s="11"/>
      <c r="F445" s="21"/>
      <c r="G445" s="11"/>
      <c r="H445" s="50"/>
      <c r="I445" s="50"/>
      <c r="J445" s="50"/>
      <c r="K445" s="11"/>
      <c r="L445" s="50"/>
      <c r="M445" s="50"/>
      <c r="N445" s="50"/>
      <c r="O445" s="50"/>
      <c r="P445" s="50"/>
      <c r="Q445" s="11"/>
      <c r="R445" s="50"/>
      <c r="S445" s="50"/>
      <c r="T445" s="50"/>
      <c r="U445" s="11"/>
      <c r="V445" s="50"/>
      <c r="W445" s="50"/>
      <c r="X445" s="50"/>
      <c r="Y445" s="50"/>
      <c r="Z445" s="50"/>
      <c r="AA445" s="11"/>
      <c r="AB445" s="50"/>
      <c r="AC445" s="50"/>
      <c r="AD445" s="50"/>
      <c r="AE445" s="11"/>
      <c r="AF445" s="50"/>
      <c r="AG445" s="50"/>
      <c r="AH445" s="50"/>
      <c r="AI445" s="11"/>
      <c r="AJ445" s="50"/>
      <c r="AK445" s="50"/>
      <c r="AL445" s="50"/>
      <c r="AM445" s="11"/>
      <c r="AN445" s="50"/>
      <c r="AO445" s="50"/>
      <c r="AP445" s="50"/>
      <c r="AQ445" s="11"/>
      <c r="AR445" s="50"/>
      <c r="AS445" s="50"/>
      <c r="AT445" s="50"/>
      <c r="AU445" s="11"/>
      <c r="AV445" s="50"/>
      <c r="AW445" s="50"/>
      <c r="AX445" s="50"/>
      <c r="AY445" s="50"/>
      <c r="AZ445" s="50"/>
      <c r="BA445" s="50"/>
      <c r="BB445" s="50"/>
      <c r="BC445" s="50"/>
      <c r="BD445" s="50"/>
      <c r="BE445" s="20"/>
      <c r="BF445" s="518"/>
      <c r="BG445" s="484"/>
      <c r="BH445" s="484"/>
      <c r="BI445" s="527"/>
      <c r="BJ445" s="484"/>
      <c r="BK445" s="484"/>
      <c r="BL445" s="484"/>
      <c r="BM445" s="484"/>
    </row>
    <row r="446" spans="1:65" s="22" customFormat="1" x14ac:dyDescent="0.25">
      <c r="A446" s="20"/>
      <c r="B446" s="515"/>
      <c r="C446" s="11"/>
      <c r="D446" s="11"/>
      <c r="E446" s="11"/>
      <c r="F446" s="21"/>
      <c r="G446" s="11"/>
      <c r="H446" s="50"/>
      <c r="I446" s="50"/>
      <c r="J446" s="50"/>
      <c r="K446" s="11"/>
      <c r="L446" s="50"/>
      <c r="M446" s="50"/>
      <c r="N446" s="50"/>
      <c r="O446" s="50"/>
      <c r="P446" s="50"/>
      <c r="Q446" s="11"/>
      <c r="R446" s="50"/>
      <c r="S446" s="50"/>
      <c r="T446" s="50"/>
      <c r="U446" s="11"/>
      <c r="V446" s="50"/>
      <c r="W446" s="50"/>
      <c r="X446" s="50"/>
      <c r="Y446" s="50"/>
      <c r="Z446" s="50"/>
      <c r="AA446" s="11"/>
      <c r="AB446" s="50"/>
      <c r="AC446" s="50"/>
      <c r="AD446" s="50"/>
      <c r="AE446" s="11"/>
      <c r="AF446" s="50"/>
      <c r="AG446" s="50"/>
      <c r="AH446" s="50"/>
      <c r="AI446" s="11"/>
      <c r="AJ446" s="50"/>
      <c r="AK446" s="50"/>
      <c r="AL446" s="50"/>
      <c r="AM446" s="11"/>
      <c r="AN446" s="50"/>
      <c r="AO446" s="50"/>
      <c r="AP446" s="50"/>
      <c r="AQ446" s="11"/>
      <c r="AR446" s="50"/>
      <c r="AS446" s="50"/>
      <c r="AT446" s="50"/>
      <c r="AU446" s="11"/>
      <c r="AV446" s="50"/>
      <c r="AW446" s="50"/>
      <c r="AX446" s="50"/>
      <c r="AY446" s="50"/>
      <c r="AZ446" s="50"/>
      <c r="BA446" s="50"/>
      <c r="BB446" s="50"/>
      <c r="BC446" s="50"/>
      <c r="BD446" s="50"/>
      <c r="BE446" s="20"/>
      <c r="BF446" s="518"/>
      <c r="BG446" s="484"/>
      <c r="BH446" s="484"/>
      <c r="BI446" s="527"/>
      <c r="BJ446" s="484"/>
      <c r="BK446" s="484"/>
      <c r="BL446" s="484"/>
      <c r="BM446" s="484"/>
    </row>
    <row r="447" spans="1:65" s="22" customFormat="1" x14ac:dyDescent="0.25">
      <c r="A447" s="20"/>
      <c r="B447" s="515"/>
      <c r="C447" s="11"/>
      <c r="D447" s="11"/>
      <c r="E447" s="11"/>
      <c r="F447" s="21"/>
      <c r="G447" s="11"/>
      <c r="H447" s="50"/>
      <c r="I447" s="50"/>
      <c r="J447" s="50"/>
      <c r="K447" s="11"/>
      <c r="L447" s="50"/>
      <c r="M447" s="50"/>
      <c r="N447" s="50"/>
      <c r="O447" s="50"/>
      <c r="P447" s="50"/>
      <c r="Q447" s="11"/>
      <c r="R447" s="50"/>
      <c r="S447" s="50"/>
      <c r="T447" s="50"/>
      <c r="U447" s="11"/>
      <c r="V447" s="50"/>
      <c r="W447" s="50"/>
      <c r="X447" s="50"/>
      <c r="Y447" s="50"/>
      <c r="Z447" s="50"/>
      <c r="AA447" s="11"/>
      <c r="AB447" s="50"/>
      <c r="AC447" s="50"/>
      <c r="AD447" s="50"/>
      <c r="AE447" s="11"/>
      <c r="AF447" s="50"/>
      <c r="AG447" s="50"/>
      <c r="AH447" s="50"/>
      <c r="AI447" s="11"/>
      <c r="AJ447" s="50"/>
      <c r="AK447" s="50"/>
      <c r="AL447" s="50"/>
      <c r="AM447" s="11"/>
      <c r="AN447" s="50"/>
      <c r="AO447" s="50"/>
      <c r="AP447" s="50"/>
      <c r="AQ447" s="11"/>
      <c r="AR447" s="50"/>
      <c r="AS447" s="50"/>
      <c r="AT447" s="50"/>
      <c r="AU447" s="11"/>
      <c r="AV447" s="50"/>
      <c r="AW447" s="50"/>
      <c r="AX447" s="50"/>
      <c r="AY447" s="50"/>
      <c r="AZ447" s="50"/>
      <c r="BA447" s="50"/>
      <c r="BB447" s="50"/>
      <c r="BC447" s="50"/>
      <c r="BD447" s="50"/>
      <c r="BE447" s="20"/>
      <c r="BF447" s="518"/>
      <c r="BG447" s="484"/>
      <c r="BH447" s="484"/>
      <c r="BI447" s="527"/>
      <c r="BJ447" s="484"/>
      <c r="BK447" s="484"/>
      <c r="BL447" s="484"/>
      <c r="BM447" s="484"/>
    </row>
    <row r="448" spans="1:65" s="22" customFormat="1" x14ac:dyDescent="0.25">
      <c r="A448" s="20"/>
      <c r="B448" s="515"/>
      <c r="C448" s="11"/>
      <c r="D448" s="11"/>
      <c r="E448" s="11"/>
      <c r="F448" s="21"/>
      <c r="G448" s="11"/>
      <c r="H448" s="50"/>
      <c r="I448" s="50"/>
      <c r="J448" s="50"/>
      <c r="K448" s="11"/>
      <c r="L448" s="50"/>
      <c r="M448" s="50"/>
      <c r="N448" s="50"/>
      <c r="O448" s="50"/>
      <c r="P448" s="50"/>
      <c r="Q448" s="11"/>
      <c r="R448" s="50"/>
      <c r="S448" s="50"/>
      <c r="T448" s="50"/>
      <c r="U448" s="11"/>
      <c r="V448" s="50"/>
      <c r="W448" s="50"/>
      <c r="X448" s="50"/>
      <c r="Y448" s="50"/>
      <c r="Z448" s="50"/>
      <c r="AA448" s="11"/>
      <c r="AB448" s="50"/>
      <c r="AC448" s="50"/>
      <c r="AD448" s="50"/>
      <c r="AE448" s="11"/>
      <c r="AF448" s="50"/>
      <c r="AG448" s="50"/>
      <c r="AH448" s="50"/>
      <c r="AI448" s="11"/>
      <c r="AJ448" s="50"/>
      <c r="AK448" s="50"/>
      <c r="AL448" s="50"/>
      <c r="AM448" s="11"/>
      <c r="AN448" s="50"/>
      <c r="AO448" s="50"/>
      <c r="AP448" s="50"/>
      <c r="AQ448" s="11"/>
      <c r="AR448" s="50"/>
      <c r="AS448" s="50"/>
      <c r="AT448" s="50"/>
      <c r="AU448" s="11"/>
      <c r="AV448" s="50"/>
      <c r="AW448" s="50"/>
      <c r="AX448" s="50"/>
      <c r="AY448" s="50"/>
      <c r="AZ448" s="50"/>
      <c r="BA448" s="50"/>
      <c r="BB448" s="50"/>
      <c r="BC448" s="50"/>
      <c r="BD448" s="50"/>
      <c r="BE448" s="20"/>
      <c r="BF448" s="518"/>
      <c r="BG448" s="484"/>
      <c r="BH448" s="484"/>
      <c r="BI448" s="527"/>
      <c r="BJ448" s="484"/>
      <c r="BK448" s="484"/>
      <c r="BL448" s="484"/>
      <c r="BM448" s="484"/>
    </row>
    <row r="449" spans="1:65" s="22" customFormat="1" x14ac:dyDescent="0.25">
      <c r="A449" s="20"/>
      <c r="B449" s="515"/>
      <c r="C449" s="11"/>
      <c r="D449" s="11"/>
      <c r="E449" s="11"/>
      <c r="F449" s="21"/>
      <c r="G449" s="11"/>
      <c r="H449" s="50"/>
      <c r="I449" s="50"/>
      <c r="J449" s="50"/>
      <c r="K449" s="11"/>
      <c r="L449" s="50"/>
      <c r="M449" s="50"/>
      <c r="N449" s="50"/>
      <c r="O449" s="50"/>
      <c r="P449" s="50"/>
      <c r="Q449" s="11"/>
      <c r="R449" s="50"/>
      <c r="S449" s="50"/>
      <c r="T449" s="50"/>
      <c r="U449" s="11"/>
      <c r="V449" s="50"/>
      <c r="W449" s="50"/>
      <c r="X449" s="50"/>
      <c r="Y449" s="50"/>
      <c r="Z449" s="50"/>
      <c r="AA449" s="11"/>
      <c r="AB449" s="50"/>
      <c r="AC449" s="50"/>
      <c r="AD449" s="50"/>
      <c r="AE449" s="11"/>
      <c r="AF449" s="50"/>
      <c r="AG449" s="50"/>
      <c r="AH449" s="50"/>
      <c r="AI449" s="11"/>
      <c r="AJ449" s="50"/>
      <c r="AK449" s="50"/>
      <c r="AL449" s="50"/>
      <c r="AM449" s="11"/>
      <c r="AN449" s="50"/>
      <c r="AO449" s="50"/>
      <c r="AP449" s="50"/>
      <c r="AQ449" s="11"/>
      <c r="AR449" s="50"/>
      <c r="AS449" s="50"/>
      <c r="AT449" s="50"/>
      <c r="AU449" s="11"/>
      <c r="AV449" s="50"/>
      <c r="AW449" s="50"/>
      <c r="AX449" s="50"/>
      <c r="AY449" s="50"/>
      <c r="AZ449" s="50"/>
      <c r="BA449" s="50"/>
      <c r="BB449" s="50"/>
      <c r="BC449" s="50"/>
      <c r="BD449" s="50"/>
      <c r="BE449" s="20"/>
      <c r="BF449" s="518"/>
      <c r="BG449" s="484"/>
      <c r="BH449" s="484"/>
      <c r="BI449" s="527"/>
      <c r="BJ449" s="484"/>
      <c r="BK449" s="484"/>
      <c r="BL449" s="484"/>
      <c r="BM449" s="484"/>
    </row>
    <row r="450" spans="1:65" s="22" customFormat="1" x14ac:dyDescent="0.25">
      <c r="A450" s="20"/>
      <c r="B450" s="515"/>
      <c r="C450" s="11"/>
      <c r="D450" s="11"/>
      <c r="E450" s="11"/>
      <c r="F450" s="21"/>
      <c r="G450" s="11"/>
      <c r="H450" s="50"/>
      <c r="I450" s="50"/>
      <c r="J450" s="50"/>
      <c r="K450" s="11"/>
      <c r="L450" s="50"/>
      <c r="M450" s="50"/>
      <c r="N450" s="50"/>
      <c r="O450" s="50"/>
      <c r="P450" s="50"/>
      <c r="Q450" s="11"/>
      <c r="R450" s="50"/>
      <c r="S450" s="50"/>
      <c r="T450" s="50"/>
      <c r="U450" s="11"/>
      <c r="V450" s="50"/>
      <c r="W450" s="50"/>
      <c r="X450" s="50"/>
      <c r="Y450" s="50"/>
      <c r="Z450" s="50"/>
      <c r="AA450" s="11"/>
      <c r="AB450" s="50"/>
      <c r="AC450" s="50"/>
      <c r="AD450" s="50"/>
      <c r="AE450" s="11"/>
      <c r="AF450" s="50"/>
      <c r="AG450" s="50"/>
      <c r="AH450" s="50"/>
      <c r="AI450" s="11"/>
      <c r="AJ450" s="50"/>
      <c r="AK450" s="50"/>
      <c r="AL450" s="50"/>
      <c r="AM450" s="11"/>
      <c r="AN450" s="50"/>
      <c r="AO450" s="50"/>
      <c r="AP450" s="50"/>
      <c r="AQ450" s="11"/>
      <c r="AR450" s="50"/>
      <c r="AS450" s="50"/>
      <c r="AT450" s="50"/>
      <c r="AU450" s="11"/>
      <c r="AV450" s="50"/>
      <c r="AW450" s="50"/>
      <c r="AX450" s="50"/>
      <c r="AY450" s="50"/>
      <c r="AZ450" s="50"/>
      <c r="BA450" s="50"/>
      <c r="BB450" s="50"/>
      <c r="BC450" s="50"/>
      <c r="BD450" s="50"/>
      <c r="BE450" s="20"/>
      <c r="BF450" s="518"/>
      <c r="BG450" s="484"/>
      <c r="BH450" s="484"/>
      <c r="BI450" s="527"/>
      <c r="BJ450" s="484"/>
      <c r="BK450" s="484"/>
      <c r="BL450" s="484"/>
      <c r="BM450" s="484"/>
    </row>
    <row r="451" spans="1:65" s="22" customFormat="1" x14ac:dyDescent="0.25">
      <c r="A451" s="20"/>
      <c r="B451" s="515"/>
      <c r="C451" s="11"/>
      <c r="D451" s="11"/>
      <c r="E451" s="11"/>
      <c r="F451" s="21"/>
      <c r="G451" s="11"/>
      <c r="H451" s="50"/>
      <c r="I451" s="50"/>
      <c r="J451" s="50"/>
      <c r="K451" s="11"/>
      <c r="L451" s="50"/>
      <c r="M451" s="50"/>
      <c r="N451" s="50"/>
      <c r="O451" s="50"/>
      <c r="P451" s="50"/>
      <c r="Q451" s="11"/>
      <c r="R451" s="50"/>
      <c r="S451" s="50"/>
      <c r="T451" s="50"/>
      <c r="U451" s="11"/>
      <c r="V451" s="50"/>
      <c r="W451" s="50"/>
      <c r="X451" s="50"/>
      <c r="Y451" s="50"/>
      <c r="Z451" s="50"/>
      <c r="AA451" s="11"/>
      <c r="AB451" s="50"/>
      <c r="AC451" s="50"/>
      <c r="AD451" s="50"/>
      <c r="AE451" s="11"/>
      <c r="AF451" s="50"/>
      <c r="AG451" s="50"/>
      <c r="AH451" s="50"/>
      <c r="AI451" s="11"/>
      <c r="AJ451" s="50"/>
      <c r="AK451" s="50"/>
      <c r="AL451" s="50"/>
      <c r="AM451" s="11"/>
      <c r="AN451" s="50"/>
      <c r="AO451" s="50"/>
      <c r="AP451" s="50"/>
      <c r="AQ451" s="11"/>
      <c r="AR451" s="50"/>
      <c r="AS451" s="50"/>
      <c r="AT451" s="50"/>
      <c r="AU451" s="11"/>
      <c r="AV451" s="50"/>
      <c r="AW451" s="50"/>
      <c r="AX451" s="50"/>
      <c r="AY451" s="50"/>
      <c r="AZ451" s="50"/>
      <c r="BA451" s="50"/>
      <c r="BB451" s="50"/>
      <c r="BC451" s="50"/>
      <c r="BD451" s="50"/>
      <c r="BE451" s="20"/>
      <c r="BF451" s="518"/>
      <c r="BG451" s="484"/>
      <c r="BH451" s="484"/>
      <c r="BI451" s="527"/>
      <c r="BJ451" s="484"/>
      <c r="BK451" s="484"/>
      <c r="BL451" s="484"/>
      <c r="BM451" s="484"/>
    </row>
    <row r="452" spans="1:65" s="22" customFormat="1" x14ac:dyDescent="0.25">
      <c r="A452" s="20"/>
      <c r="B452" s="515"/>
      <c r="C452" s="11"/>
      <c r="D452" s="11"/>
      <c r="E452" s="11"/>
      <c r="F452" s="21"/>
      <c r="G452" s="11"/>
      <c r="H452" s="50"/>
      <c r="I452" s="50"/>
      <c r="J452" s="50"/>
      <c r="K452" s="11"/>
      <c r="L452" s="50"/>
      <c r="M452" s="50"/>
      <c r="N452" s="50"/>
      <c r="O452" s="50"/>
      <c r="P452" s="50"/>
      <c r="Q452" s="11"/>
      <c r="R452" s="50"/>
      <c r="S452" s="50"/>
      <c r="T452" s="50"/>
      <c r="U452" s="11"/>
      <c r="V452" s="50"/>
      <c r="W452" s="50"/>
      <c r="X452" s="50"/>
      <c r="Y452" s="50"/>
      <c r="Z452" s="50"/>
      <c r="AA452" s="11"/>
      <c r="AB452" s="50"/>
      <c r="AC452" s="50"/>
      <c r="AD452" s="50"/>
      <c r="AE452" s="11"/>
      <c r="AF452" s="50"/>
      <c r="AG452" s="50"/>
      <c r="AH452" s="50"/>
      <c r="AI452" s="11"/>
      <c r="AJ452" s="50"/>
      <c r="AK452" s="50"/>
      <c r="AL452" s="50"/>
      <c r="AM452" s="11"/>
      <c r="AN452" s="50"/>
      <c r="AO452" s="50"/>
      <c r="AP452" s="50"/>
      <c r="AQ452" s="11"/>
      <c r="AR452" s="50"/>
      <c r="AS452" s="50"/>
      <c r="AT452" s="50"/>
      <c r="AU452" s="11"/>
      <c r="AV452" s="50"/>
      <c r="AW452" s="50"/>
      <c r="AX452" s="50"/>
      <c r="AY452" s="50"/>
      <c r="AZ452" s="50"/>
      <c r="BA452" s="50"/>
      <c r="BB452" s="50"/>
      <c r="BC452" s="50"/>
      <c r="BD452" s="50"/>
      <c r="BE452" s="20"/>
      <c r="BF452" s="518"/>
      <c r="BG452" s="484"/>
      <c r="BH452" s="484"/>
      <c r="BI452" s="527"/>
      <c r="BJ452" s="484"/>
      <c r="BK452" s="484"/>
      <c r="BL452" s="484"/>
      <c r="BM452" s="484"/>
    </row>
    <row r="453" spans="1:65" s="22" customFormat="1" x14ac:dyDescent="0.25">
      <c r="A453" s="20"/>
      <c r="B453" s="515"/>
      <c r="C453" s="11"/>
      <c r="D453" s="11"/>
      <c r="E453" s="11"/>
      <c r="F453" s="21"/>
      <c r="G453" s="11"/>
      <c r="H453" s="50"/>
      <c r="I453" s="50"/>
      <c r="J453" s="50"/>
      <c r="K453" s="11"/>
      <c r="L453" s="50"/>
      <c r="M453" s="50"/>
      <c r="N453" s="50"/>
      <c r="O453" s="50"/>
      <c r="P453" s="50"/>
      <c r="Q453" s="11"/>
      <c r="R453" s="50"/>
      <c r="S453" s="50"/>
      <c r="T453" s="50"/>
      <c r="U453" s="11"/>
      <c r="V453" s="50"/>
      <c r="W453" s="50"/>
      <c r="X453" s="50"/>
      <c r="Y453" s="50"/>
      <c r="Z453" s="50"/>
      <c r="AA453" s="11"/>
      <c r="AB453" s="50"/>
      <c r="AC453" s="50"/>
      <c r="AD453" s="50"/>
      <c r="AE453" s="11"/>
      <c r="AF453" s="50"/>
      <c r="AG453" s="50"/>
      <c r="AH453" s="50"/>
      <c r="AI453" s="11"/>
      <c r="AJ453" s="50"/>
      <c r="AK453" s="50"/>
      <c r="AL453" s="50"/>
      <c r="AM453" s="11"/>
      <c r="AN453" s="50"/>
      <c r="AO453" s="50"/>
      <c r="AP453" s="50"/>
      <c r="AQ453" s="11"/>
      <c r="AR453" s="50"/>
      <c r="AS453" s="50"/>
      <c r="AT453" s="50"/>
      <c r="AU453" s="11"/>
      <c r="AV453" s="50"/>
      <c r="AW453" s="50"/>
      <c r="AX453" s="50"/>
      <c r="AY453" s="50"/>
      <c r="AZ453" s="50"/>
      <c r="BA453" s="50"/>
      <c r="BB453" s="50"/>
      <c r="BC453" s="50"/>
      <c r="BD453" s="50"/>
      <c r="BE453" s="20"/>
      <c r="BF453" s="518"/>
      <c r="BG453" s="484"/>
      <c r="BH453" s="484"/>
      <c r="BI453" s="527"/>
      <c r="BJ453" s="484"/>
      <c r="BK453" s="484"/>
      <c r="BL453" s="484"/>
      <c r="BM453" s="484"/>
    </row>
    <row r="454" spans="1:65" s="22" customFormat="1" x14ac:dyDescent="0.25">
      <c r="A454" s="20"/>
      <c r="B454" s="515"/>
      <c r="C454" s="11"/>
      <c r="D454" s="11"/>
      <c r="E454" s="11"/>
      <c r="F454" s="21"/>
      <c r="G454" s="11"/>
      <c r="H454" s="50"/>
      <c r="I454" s="50"/>
      <c r="J454" s="50"/>
      <c r="K454" s="11"/>
      <c r="L454" s="50"/>
      <c r="M454" s="50"/>
      <c r="N454" s="50"/>
      <c r="O454" s="50"/>
      <c r="P454" s="50"/>
      <c r="Q454" s="11"/>
      <c r="R454" s="50"/>
      <c r="S454" s="50"/>
      <c r="T454" s="50"/>
      <c r="U454" s="11"/>
      <c r="V454" s="50"/>
      <c r="W454" s="50"/>
      <c r="X454" s="50"/>
      <c r="Y454" s="50"/>
      <c r="Z454" s="50"/>
      <c r="AA454" s="11"/>
      <c r="AB454" s="50"/>
      <c r="AC454" s="50"/>
      <c r="AD454" s="50"/>
      <c r="AE454" s="11"/>
      <c r="AF454" s="50"/>
      <c r="AG454" s="50"/>
      <c r="AH454" s="50"/>
      <c r="AI454" s="11"/>
      <c r="AJ454" s="50"/>
      <c r="AK454" s="50"/>
      <c r="AL454" s="50"/>
      <c r="AM454" s="11"/>
      <c r="AN454" s="50"/>
      <c r="AO454" s="50"/>
      <c r="AP454" s="50"/>
      <c r="AQ454" s="11"/>
      <c r="AR454" s="50"/>
      <c r="AS454" s="50"/>
      <c r="AT454" s="50"/>
      <c r="AU454" s="11"/>
      <c r="AV454" s="50"/>
      <c r="AW454" s="50"/>
      <c r="AX454" s="50"/>
      <c r="AY454" s="50"/>
      <c r="AZ454" s="50"/>
      <c r="BA454" s="50"/>
      <c r="BB454" s="50"/>
      <c r="BC454" s="50"/>
      <c r="BD454" s="50"/>
      <c r="BE454" s="20"/>
      <c r="BF454" s="518"/>
      <c r="BG454" s="484"/>
      <c r="BH454" s="484"/>
      <c r="BI454" s="527"/>
      <c r="BJ454" s="484"/>
      <c r="BK454" s="484"/>
      <c r="BL454" s="484"/>
      <c r="BM454" s="484"/>
    </row>
    <row r="455" spans="1:65" s="22" customFormat="1" x14ac:dyDescent="0.25">
      <c r="A455" s="20"/>
      <c r="B455" s="515"/>
      <c r="C455" s="11"/>
      <c r="D455" s="11"/>
      <c r="E455" s="11"/>
      <c r="F455" s="21"/>
      <c r="G455" s="11"/>
      <c r="H455" s="50"/>
      <c r="I455" s="50"/>
      <c r="J455" s="50"/>
      <c r="K455" s="11"/>
      <c r="L455" s="50"/>
      <c r="M455" s="50"/>
      <c r="N455" s="50"/>
      <c r="O455" s="50"/>
      <c r="P455" s="50"/>
      <c r="Q455" s="11"/>
      <c r="R455" s="50"/>
      <c r="S455" s="50"/>
      <c r="T455" s="50"/>
      <c r="U455" s="11"/>
      <c r="V455" s="50"/>
      <c r="W455" s="50"/>
      <c r="X455" s="50"/>
      <c r="Y455" s="50"/>
      <c r="Z455" s="50"/>
      <c r="AA455" s="11"/>
      <c r="AB455" s="50"/>
      <c r="AC455" s="50"/>
      <c r="AD455" s="50"/>
      <c r="AE455" s="11"/>
      <c r="AF455" s="50"/>
      <c r="AG455" s="50"/>
      <c r="AH455" s="50"/>
      <c r="AI455" s="11"/>
      <c r="AJ455" s="50"/>
      <c r="AK455" s="50"/>
      <c r="AL455" s="50"/>
      <c r="AM455" s="11"/>
      <c r="AN455" s="50"/>
      <c r="AO455" s="50"/>
      <c r="AP455" s="50"/>
      <c r="AQ455" s="11"/>
      <c r="AR455" s="50"/>
      <c r="AS455" s="50"/>
      <c r="AT455" s="50"/>
      <c r="AU455" s="11"/>
      <c r="AV455" s="50"/>
      <c r="AW455" s="50"/>
      <c r="AX455" s="50"/>
      <c r="AY455" s="50"/>
      <c r="AZ455" s="50"/>
      <c r="BA455" s="50"/>
      <c r="BB455" s="50"/>
      <c r="BC455" s="50"/>
      <c r="BD455" s="50"/>
      <c r="BE455" s="20"/>
      <c r="BF455" s="518"/>
      <c r="BG455" s="484"/>
      <c r="BH455" s="484"/>
      <c r="BI455" s="527"/>
      <c r="BJ455" s="484"/>
      <c r="BK455" s="484"/>
      <c r="BL455" s="484"/>
      <c r="BM455" s="484"/>
    </row>
    <row r="456" spans="1:65" s="22" customFormat="1" x14ac:dyDescent="0.25">
      <c r="A456" s="20"/>
      <c r="B456" s="515"/>
      <c r="C456" s="11"/>
      <c r="D456" s="11"/>
      <c r="E456" s="11"/>
      <c r="F456" s="21"/>
      <c r="G456" s="11"/>
      <c r="H456" s="50"/>
      <c r="I456" s="50"/>
      <c r="J456" s="50"/>
      <c r="K456" s="11"/>
      <c r="L456" s="50"/>
      <c r="M456" s="50"/>
      <c r="N456" s="50"/>
      <c r="O456" s="50"/>
      <c r="P456" s="50"/>
      <c r="Q456" s="11"/>
      <c r="R456" s="50"/>
      <c r="S456" s="50"/>
      <c r="T456" s="50"/>
      <c r="U456" s="11"/>
      <c r="V456" s="50"/>
      <c r="W456" s="50"/>
      <c r="X456" s="50"/>
      <c r="Y456" s="50"/>
      <c r="Z456" s="50"/>
      <c r="AA456" s="11"/>
      <c r="AB456" s="50"/>
      <c r="AC456" s="50"/>
      <c r="AD456" s="50"/>
      <c r="AE456" s="11"/>
      <c r="AF456" s="50"/>
      <c r="AG456" s="50"/>
      <c r="AH456" s="50"/>
      <c r="AI456" s="11"/>
      <c r="AJ456" s="50"/>
      <c r="AK456" s="50"/>
      <c r="AL456" s="50"/>
      <c r="AM456" s="11"/>
      <c r="AN456" s="50"/>
      <c r="AO456" s="50"/>
      <c r="AP456" s="50"/>
      <c r="AQ456" s="11"/>
      <c r="AR456" s="50"/>
      <c r="AS456" s="50"/>
      <c r="AT456" s="50"/>
      <c r="AU456" s="11"/>
      <c r="AV456" s="50"/>
      <c r="AW456" s="50"/>
      <c r="AX456" s="50"/>
      <c r="AY456" s="50"/>
      <c r="AZ456" s="50"/>
      <c r="BA456" s="50"/>
      <c r="BB456" s="50"/>
      <c r="BC456" s="50"/>
      <c r="BD456" s="50"/>
      <c r="BE456" s="20"/>
      <c r="BF456" s="518"/>
      <c r="BG456" s="484"/>
      <c r="BH456" s="484"/>
      <c r="BI456" s="527"/>
      <c r="BJ456" s="484"/>
      <c r="BK456" s="484"/>
      <c r="BL456" s="484"/>
      <c r="BM456" s="484"/>
    </row>
    <row r="457" spans="1:65" s="22" customFormat="1" x14ac:dyDescent="0.25">
      <c r="A457" s="20"/>
      <c r="B457" s="515"/>
      <c r="C457" s="11"/>
      <c r="D457" s="11"/>
      <c r="E457" s="11"/>
      <c r="F457" s="21"/>
      <c r="G457" s="11"/>
      <c r="H457" s="50"/>
      <c r="I457" s="50"/>
      <c r="J457" s="50"/>
      <c r="K457" s="11"/>
      <c r="L457" s="50"/>
      <c r="M457" s="50"/>
      <c r="N457" s="50"/>
      <c r="O457" s="50"/>
      <c r="P457" s="50"/>
      <c r="Q457" s="11"/>
      <c r="R457" s="50"/>
      <c r="S457" s="50"/>
      <c r="T457" s="50"/>
      <c r="U457" s="11"/>
      <c r="V457" s="50"/>
      <c r="W457" s="50"/>
      <c r="X457" s="50"/>
      <c r="Y457" s="50"/>
      <c r="Z457" s="50"/>
      <c r="AA457" s="11"/>
      <c r="AB457" s="50"/>
      <c r="AC457" s="50"/>
      <c r="AD457" s="50"/>
      <c r="AE457" s="11"/>
      <c r="AF457" s="50"/>
      <c r="AG457" s="50"/>
      <c r="AH457" s="50"/>
      <c r="AI457" s="11"/>
      <c r="AJ457" s="50"/>
      <c r="AK457" s="50"/>
      <c r="AL457" s="50"/>
      <c r="AM457" s="11"/>
      <c r="AN457" s="50"/>
      <c r="AO457" s="50"/>
      <c r="AP457" s="50"/>
      <c r="AQ457" s="11"/>
      <c r="AR457" s="50"/>
      <c r="AS457" s="50"/>
      <c r="AT457" s="50"/>
      <c r="AU457" s="11"/>
      <c r="AV457" s="50"/>
      <c r="AW457" s="50"/>
      <c r="AX457" s="50"/>
      <c r="AY457" s="50"/>
      <c r="AZ457" s="50"/>
      <c r="BA457" s="50"/>
      <c r="BB457" s="50"/>
      <c r="BC457" s="50"/>
      <c r="BD457" s="50"/>
      <c r="BE457" s="20"/>
      <c r="BF457" s="518"/>
      <c r="BG457" s="484"/>
      <c r="BH457" s="484"/>
      <c r="BI457" s="527"/>
      <c r="BJ457" s="484"/>
      <c r="BK457" s="484"/>
      <c r="BL457" s="484"/>
      <c r="BM457" s="484"/>
    </row>
    <row r="458" spans="1:65" s="22" customFormat="1" x14ac:dyDescent="0.25">
      <c r="A458" s="20"/>
      <c r="B458" s="515"/>
      <c r="C458" s="11"/>
      <c r="D458" s="11"/>
      <c r="E458" s="11"/>
      <c r="F458" s="21"/>
      <c r="G458" s="11"/>
      <c r="H458" s="50"/>
      <c r="I458" s="50"/>
      <c r="J458" s="50"/>
      <c r="K458" s="11"/>
      <c r="L458" s="50"/>
      <c r="M458" s="50"/>
      <c r="N458" s="50"/>
      <c r="O458" s="50"/>
      <c r="P458" s="50"/>
      <c r="Q458" s="11"/>
      <c r="R458" s="50"/>
      <c r="S458" s="50"/>
      <c r="T458" s="50"/>
      <c r="U458" s="11"/>
      <c r="V458" s="50"/>
      <c r="W458" s="50"/>
      <c r="X458" s="50"/>
      <c r="Y458" s="50"/>
      <c r="Z458" s="50"/>
      <c r="AA458" s="11"/>
      <c r="AB458" s="50"/>
      <c r="AC458" s="50"/>
      <c r="AD458" s="50"/>
      <c r="AE458" s="11"/>
      <c r="AF458" s="50"/>
      <c r="AG458" s="50"/>
      <c r="AH458" s="50"/>
      <c r="AI458" s="11"/>
      <c r="AJ458" s="50"/>
      <c r="AK458" s="50"/>
      <c r="AL458" s="50"/>
      <c r="AM458" s="11"/>
      <c r="AN458" s="50"/>
      <c r="AO458" s="50"/>
      <c r="AP458" s="50"/>
      <c r="AQ458" s="11"/>
      <c r="AR458" s="50"/>
      <c r="AS458" s="50"/>
      <c r="AT458" s="50"/>
      <c r="AU458" s="11"/>
      <c r="AV458" s="50"/>
      <c r="AW458" s="50"/>
      <c r="AX458" s="50"/>
      <c r="AY458" s="50"/>
      <c r="AZ458" s="50"/>
      <c r="BA458" s="50"/>
      <c r="BB458" s="50"/>
      <c r="BC458" s="50"/>
      <c r="BD458" s="50"/>
      <c r="BE458" s="20"/>
      <c r="BF458" s="518"/>
      <c r="BG458" s="484"/>
      <c r="BH458" s="484"/>
      <c r="BI458" s="527"/>
      <c r="BJ458" s="484"/>
      <c r="BK458" s="484"/>
      <c r="BL458" s="484"/>
      <c r="BM458" s="484"/>
    </row>
    <row r="459" spans="1:65" s="22" customFormat="1" x14ac:dyDescent="0.25">
      <c r="A459" s="20"/>
      <c r="B459" s="515"/>
      <c r="C459" s="11"/>
      <c r="D459" s="11"/>
      <c r="E459" s="11"/>
      <c r="F459" s="21"/>
      <c r="G459" s="11"/>
      <c r="H459" s="50"/>
      <c r="I459" s="50"/>
      <c r="J459" s="50"/>
      <c r="K459" s="11"/>
      <c r="L459" s="50"/>
      <c r="M459" s="50"/>
      <c r="N459" s="50"/>
      <c r="O459" s="50"/>
      <c r="P459" s="50"/>
      <c r="Q459" s="11"/>
      <c r="R459" s="50"/>
      <c r="S459" s="50"/>
      <c r="T459" s="50"/>
      <c r="U459" s="11"/>
      <c r="V459" s="50"/>
      <c r="W459" s="50"/>
      <c r="X459" s="50"/>
      <c r="Y459" s="50"/>
      <c r="Z459" s="50"/>
      <c r="AA459" s="11"/>
      <c r="AB459" s="50"/>
      <c r="AC459" s="50"/>
      <c r="AD459" s="50"/>
      <c r="AE459" s="11"/>
      <c r="AF459" s="50"/>
      <c r="AG459" s="50"/>
      <c r="AH459" s="50"/>
      <c r="AI459" s="11"/>
      <c r="AJ459" s="50"/>
      <c r="AK459" s="50"/>
      <c r="AL459" s="50"/>
      <c r="AM459" s="11"/>
      <c r="AN459" s="50"/>
      <c r="AO459" s="50"/>
      <c r="AP459" s="50"/>
      <c r="AQ459" s="11"/>
      <c r="AR459" s="50"/>
      <c r="AS459" s="50"/>
      <c r="AT459" s="50"/>
      <c r="AU459" s="11"/>
      <c r="AV459" s="50"/>
      <c r="AW459" s="50"/>
      <c r="AX459" s="50"/>
      <c r="AY459" s="50"/>
      <c r="AZ459" s="50"/>
      <c r="BA459" s="50"/>
      <c r="BB459" s="50"/>
      <c r="BC459" s="50"/>
      <c r="BD459" s="50"/>
      <c r="BE459" s="20"/>
      <c r="BF459" s="518"/>
      <c r="BG459" s="484"/>
      <c r="BH459" s="484"/>
      <c r="BI459" s="527"/>
      <c r="BJ459" s="484"/>
      <c r="BK459" s="484"/>
      <c r="BL459" s="484"/>
      <c r="BM459" s="484"/>
    </row>
    <row r="460" spans="1:65" s="22" customFormat="1" x14ac:dyDescent="0.25">
      <c r="A460" s="20"/>
      <c r="B460" s="515"/>
      <c r="C460" s="11"/>
      <c r="D460" s="11"/>
      <c r="E460" s="11"/>
      <c r="F460" s="21"/>
      <c r="G460" s="11"/>
      <c r="H460" s="50"/>
      <c r="I460" s="50"/>
      <c r="J460" s="50"/>
      <c r="K460" s="11"/>
      <c r="L460" s="50"/>
      <c r="M460" s="50"/>
      <c r="N460" s="50"/>
      <c r="O460" s="50"/>
      <c r="P460" s="50"/>
      <c r="Q460" s="11"/>
      <c r="R460" s="50"/>
      <c r="S460" s="50"/>
      <c r="T460" s="50"/>
      <c r="U460" s="11"/>
      <c r="V460" s="50"/>
      <c r="W460" s="50"/>
      <c r="X460" s="50"/>
      <c r="Y460" s="50"/>
      <c r="Z460" s="50"/>
      <c r="AA460" s="11"/>
      <c r="AB460" s="50"/>
      <c r="AC460" s="50"/>
      <c r="AD460" s="50"/>
      <c r="AE460" s="11"/>
      <c r="AF460" s="50"/>
      <c r="AG460" s="50"/>
      <c r="AH460" s="50"/>
      <c r="AI460" s="11"/>
      <c r="AJ460" s="50"/>
      <c r="AK460" s="50"/>
      <c r="AL460" s="50"/>
      <c r="AM460" s="11"/>
      <c r="AN460" s="50"/>
      <c r="AO460" s="50"/>
      <c r="AP460" s="50"/>
      <c r="AQ460" s="11"/>
      <c r="AR460" s="50"/>
      <c r="AS460" s="50"/>
      <c r="AT460" s="50"/>
      <c r="AU460" s="11"/>
      <c r="AV460" s="50"/>
      <c r="AW460" s="50"/>
      <c r="AX460" s="50"/>
      <c r="AY460" s="50"/>
      <c r="AZ460" s="50"/>
      <c r="BA460" s="50"/>
      <c r="BB460" s="50"/>
      <c r="BC460" s="50"/>
      <c r="BD460" s="50"/>
      <c r="BE460" s="20"/>
      <c r="BF460" s="518"/>
      <c r="BG460" s="484"/>
      <c r="BH460" s="484"/>
      <c r="BI460" s="527"/>
      <c r="BJ460" s="484"/>
      <c r="BK460" s="484"/>
      <c r="BL460" s="484"/>
      <c r="BM460" s="484"/>
    </row>
    <row r="461" spans="1:65" s="22" customFormat="1" x14ac:dyDescent="0.25">
      <c r="A461" s="20"/>
      <c r="B461" s="515"/>
      <c r="C461" s="11"/>
      <c r="D461" s="11"/>
      <c r="E461" s="11"/>
      <c r="F461" s="21"/>
      <c r="G461" s="11"/>
      <c r="H461" s="50"/>
      <c r="I461" s="50"/>
      <c r="J461" s="50"/>
      <c r="K461" s="11"/>
      <c r="L461" s="50"/>
      <c r="M461" s="50"/>
      <c r="N461" s="50"/>
      <c r="O461" s="50"/>
      <c r="P461" s="50"/>
      <c r="Q461" s="11"/>
      <c r="R461" s="50"/>
      <c r="S461" s="50"/>
      <c r="T461" s="50"/>
      <c r="U461" s="11"/>
      <c r="V461" s="50"/>
      <c r="W461" s="50"/>
      <c r="X461" s="50"/>
      <c r="Y461" s="50"/>
      <c r="Z461" s="50"/>
      <c r="AA461" s="11"/>
      <c r="AB461" s="50"/>
      <c r="AC461" s="50"/>
      <c r="AD461" s="50"/>
      <c r="AE461" s="11"/>
      <c r="AF461" s="50"/>
      <c r="AG461" s="50"/>
      <c r="AH461" s="50"/>
      <c r="AI461" s="11"/>
      <c r="AJ461" s="50"/>
      <c r="AK461" s="50"/>
      <c r="AL461" s="50"/>
      <c r="AM461" s="11"/>
      <c r="AN461" s="50"/>
      <c r="AO461" s="50"/>
      <c r="AP461" s="50"/>
      <c r="AQ461" s="11"/>
      <c r="AR461" s="50"/>
      <c r="AS461" s="50"/>
      <c r="AT461" s="50"/>
      <c r="AU461" s="11"/>
      <c r="AV461" s="50"/>
      <c r="AW461" s="50"/>
      <c r="AX461" s="50"/>
      <c r="AY461" s="50"/>
      <c r="AZ461" s="50"/>
      <c r="BA461" s="50"/>
      <c r="BB461" s="50"/>
      <c r="BC461" s="50"/>
      <c r="BD461" s="50"/>
      <c r="BE461" s="20"/>
      <c r="BF461" s="518"/>
      <c r="BG461" s="484"/>
      <c r="BH461" s="484"/>
      <c r="BI461" s="527"/>
      <c r="BJ461" s="484"/>
      <c r="BK461" s="484"/>
      <c r="BL461" s="484"/>
      <c r="BM461" s="484"/>
    </row>
    <row r="462" spans="1:65" s="22" customFormat="1" x14ac:dyDescent="0.25">
      <c r="A462" s="20"/>
      <c r="B462" s="515"/>
      <c r="C462" s="11"/>
      <c r="D462" s="11"/>
      <c r="E462" s="11"/>
      <c r="F462" s="21"/>
      <c r="G462" s="11"/>
      <c r="H462" s="50"/>
      <c r="I462" s="50"/>
      <c r="J462" s="50"/>
      <c r="K462" s="11"/>
      <c r="L462" s="50"/>
      <c r="M462" s="50"/>
      <c r="N462" s="50"/>
      <c r="O462" s="50"/>
      <c r="P462" s="50"/>
      <c r="Q462" s="11"/>
      <c r="R462" s="50"/>
      <c r="S462" s="50"/>
      <c r="T462" s="50"/>
      <c r="U462" s="11"/>
      <c r="V462" s="50"/>
      <c r="W462" s="50"/>
      <c r="X462" s="50"/>
      <c r="Y462" s="50"/>
      <c r="Z462" s="50"/>
      <c r="AA462" s="11"/>
      <c r="AB462" s="50"/>
      <c r="AC462" s="50"/>
      <c r="AD462" s="50"/>
      <c r="AE462" s="11"/>
      <c r="AF462" s="50"/>
      <c r="AG462" s="50"/>
      <c r="AH462" s="50"/>
      <c r="AI462" s="11"/>
      <c r="AJ462" s="50"/>
      <c r="AK462" s="50"/>
      <c r="AL462" s="50"/>
      <c r="AM462" s="11"/>
      <c r="AN462" s="50"/>
      <c r="AO462" s="50"/>
      <c r="AP462" s="50"/>
      <c r="AQ462" s="11"/>
      <c r="AR462" s="50"/>
      <c r="AS462" s="50"/>
      <c r="AT462" s="50"/>
      <c r="AU462" s="11"/>
      <c r="AV462" s="50"/>
      <c r="AW462" s="50"/>
      <c r="AX462" s="50"/>
      <c r="AY462" s="50"/>
      <c r="AZ462" s="50"/>
      <c r="BA462" s="50"/>
      <c r="BB462" s="50"/>
      <c r="BC462" s="50"/>
      <c r="BD462" s="50"/>
      <c r="BE462" s="20"/>
      <c r="BF462" s="518"/>
      <c r="BG462" s="484"/>
      <c r="BH462" s="484"/>
      <c r="BI462" s="527"/>
      <c r="BJ462" s="484"/>
      <c r="BK462" s="484"/>
      <c r="BL462" s="484"/>
      <c r="BM462" s="484"/>
    </row>
    <row r="463" spans="1:65" s="22" customFormat="1" x14ac:dyDescent="0.25">
      <c r="A463" s="20"/>
      <c r="B463" s="515"/>
      <c r="C463" s="11"/>
      <c r="D463" s="11"/>
      <c r="E463" s="11"/>
      <c r="F463" s="21"/>
      <c r="G463" s="11"/>
      <c r="H463" s="50"/>
      <c r="I463" s="50"/>
      <c r="J463" s="50"/>
      <c r="K463" s="11"/>
      <c r="L463" s="50"/>
      <c r="M463" s="50"/>
      <c r="N463" s="50"/>
      <c r="O463" s="50"/>
      <c r="P463" s="50"/>
      <c r="Q463" s="11"/>
      <c r="R463" s="50"/>
      <c r="S463" s="50"/>
      <c r="T463" s="50"/>
      <c r="U463" s="11"/>
      <c r="V463" s="50"/>
      <c r="W463" s="50"/>
      <c r="X463" s="50"/>
      <c r="Y463" s="50"/>
      <c r="Z463" s="50"/>
      <c r="AA463" s="11"/>
      <c r="AB463" s="50"/>
      <c r="AC463" s="50"/>
      <c r="AD463" s="50"/>
      <c r="AE463" s="11"/>
      <c r="AF463" s="50"/>
      <c r="AG463" s="50"/>
      <c r="AH463" s="50"/>
      <c r="AI463" s="11"/>
      <c r="AJ463" s="50"/>
      <c r="AK463" s="50"/>
      <c r="AL463" s="50"/>
      <c r="AM463" s="11"/>
      <c r="AN463" s="50"/>
      <c r="AO463" s="50"/>
      <c r="AP463" s="50"/>
      <c r="AQ463" s="11"/>
      <c r="AR463" s="50"/>
      <c r="AS463" s="50"/>
      <c r="AT463" s="50"/>
      <c r="AU463" s="11"/>
      <c r="AV463" s="50"/>
      <c r="AW463" s="50"/>
      <c r="AX463" s="50"/>
      <c r="AY463" s="50"/>
      <c r="AZ463" s="50"/>
      <c r="BA463" s="50"/>
      <c r="BB463" s="50"/>
      <c r="BC463" s="50"/>
      <c r="BD463" s="50"/>
      <c r="BE463" s="20"/>
      <c r="BF463" s="518"/>
      <c r="BG463" s="484"/>
      <c r="BH463" s="484"/>
      <c r="BI463" s="527"/>
      <c r="BJ463" s="484"/>
      <c r="BK463" s="484"/>
      <c r="BL463" s="484"/>
      <c r="BM463" s="484"/>
    </row>
    <row r="464" spans="1:65" s="22" customFormat="1" x14ac:dyDescent="0.25">
      <c r="A464" s="20"/>
      <c r="B464" s="515"/>
      <c r="C464" s="11"/>
      <c r="D464" s="11"/>
      <c r="E464" s="11"/>
      <c r="F464" s="21"/>
      <c r="G464" s="11"/>
      <c r="H464" s="50"/>
      <c r="I464" s="50"/>
      <c r="J464" s="50"/>
      <c r="K464" s="11"/>
      <c r="L464" s="50"/>
      <c r="M464" s="50"/>
      <c r="N464" s="50"/>
      <c r="O464" s="50"/>
      <c r="P464" s="50"/>
      <c r="Q464" s="11"/>
      <c r="R464" s="50"/>
      <c r="S464" s="50"/>
      <c r="T464" s="50"/>
      <c r="U464" s="11"/>
      <c r="V464" s="50"/>
      <c r="W464" s="50"/>
      <c r="X464" s="50"/>
      <c r="Y464" s="50"/>
      <c r="Z464" s="50"/>
      <c r="AA464" s="11"/>
      <c r="AB464" s="50"/>
      <c r="AC464" s="50"/>
      <c r="AD464" s="50"/>
      <c r="AE464" s="11"/>
      <c r="AF464" s="50"/>
      <c r="AG464" s="50"/>
      <c r="AH464" s="50"/>
      <c r="AI464" s="11"/>
      <c r="AJ464" s="50"/>
      <c r="AK464" s="50"/>
      <c r="AL464" s="50"/>
      <c r="AM464" s="11"/>
      <c r="AN464" s="50"/>
      <c r="AO464" s="50"/>
      <c r="AP464" s="50"/>
      <c r="AQ464" s="11"/>
      <c r="AR464" s="50"/>
      <c r="AS464" s="50"/>
      <c r="AT464" s="50"/>
      <c r="AU464" s="11"/>
      <c r="AV464" s="50"/>
      <c r="AW464" s="50"/>
      <c r="AX464" s="50"/>
      <c r="AY464" s="50"/>
      <c r="AZ464" s="50"/>
      <c r="BA464" s="50"/>
      <c r="BB464" s="50"/>
      <c r="BC464" s="50"/>
      <c r="BD464" s="50"/>
      <c r="BE464" s="20"/>
      <c r="BF464" s="518"/>
      <c r="BG464" s="484"/>
      <c r="BH464" s="484"/>
      <c r="BI464" s="527"/>
      <c r="BJ464" s="484"/>
      <c r="BK464" s="484"/>
      <c r="BL464" s="484"/>
      <c r="BM464" s="484"/>
    </row>
    <row r="465" spans="1:65" s="22" customFormat="1" x14ac:dyDescent="0.25">
      <c r="A465" s="20"/>
      <c r="B465" s="515"/>
      <c r="C465" s="11"/>
      <c r="D465" s="11"/>
      <c r="E465" s="11"/>
      <c r="F465" s="21"/>
      <c r="G465" s="11"/>
      <c r="H465" s="50"/>
      <c r="I465" s="50"/>
      <c r="J465" s="50"/>
      <c r="K465" s="11"/>
      <c r="L465" s="50"/>
      <c r="M465" s="50"/>
      <c r="N465" s="50"/>
      <c r="O465" s="50"/>
      <c r="P465" s="50"/>
      <c r="Q465" s="11"/>
      <c r="R465" s="50"/>
      <c r="S465" s="50"/>
      <c r="T465" s="50"/>
      <c r="U465" s="11"/>
      <c r="V465" s="50"/>
      <c r="W465" s="50"/>
      <c r="X465" s="50"/>
      <c r="Y465" s="50"/>
      <c r="Z465" s="50"/>
      <c r="AA465" s="11"/>
      <c r="AB465" s="50"/>
      <c r="AC465" s="50"/>
      <c r="AD465" s="50"/>
      <c r="AE465" s="11"/>
      <c r="AF465" s="50"/>
      <c r="AG465" s="50"/>
      <c r="AH465" s="50"/>
      <c r="AI465" s="11"/>
      <c r="AJ465" s="50"/>
      <c r="AK465" s="50"/>
      <c r="AL465" s="50"/>
      <c r="AM465" s="11"/>
      <c r="AN465" s="50"/>
      <c r="AO465" s="50"/>
      <c r="AP465" s="50"/>
      <c r="AQ465" s="11"/>
      <c r="AR465" s="50"/>
      <c r="AS465" s="50"/>
      <c r="AT465" s="50"/>
      <c r="AU465" s="11"/>
      <c r="AV465" s="50"/>
      <c r="AW465" s="50"/>
      <c r="AX465" s="50"/>
      <c r="AY465" s="50"/>
      <c r="AZ465" s="50"/>
      <c r="BA465" s="50"/>
      <c r="BB465" s="50"/>
      <c r="BC465" s="50"/>
      <c r="BD465" s="50"/>
      <c r="BE465" s="20"/>
      <c r="BF465" s="518"/>
      <c r="BG465" s="484"/>
      <c r="BH465" s="484"/>
      <c r="BI465" s="527"/>
      <c r="BJ465" s="484"/>
      <c r="BK465" s="484"/>
      <c r="BL465" s="484"/>
      <c r="BM465" s="484"/>
    </row>
    <row r="466" spans="1:65" s="22" customFormat="1" x14ac:dyDescent="0.25">
      <c r="A466" s="20"/>
      <c r="B466" s="515"/>
      <c r="C466" s="11"/>
      <c r="D466" s="11"/>
      <c r="E466" s="11"/>
      <c r="F466" s="21"/>
      <c r="G466" s="11"/>
      <c r="H466" s="50"/>
      <c r="I466" s="50"/>
      <c r="J466" s="50"/>
      <c r="K466" s="11"/>
      <c r="L466" s="50"/>
      <c r="M466" s="50"/>
      <c r="N466" s="50"/>
      <c r="O466" s="50"/>
      <c r="P466" s="50"/>
      <c r="Q466" s="11"/>
      <c r="R466" s="50"/>
      <c r="S466" s="50"/>
      <c r="T466" s="50"/>
      <c r="U466" s="11"/>
      <c r="V466" s="50"/>
      <c r="W466" s="50"/>
      <c r="X466" s="50"/>
      <c r="Y466" s="50"/>
      <c r="Z466" s="50"/>
      <c r="AA466" s="11"/>
      <c r="AB466" s="50"/>
      <c r="AC466" s="50"/>
      <c r="AD466" s="50"/>
      <c r="AE466" s="11"/>
      <c r="AF466" s="50"/>
      <c r="AG466" s="50"/>
      <c r="AH466" s="50"/>
      <c r="AI466" s="11"/>
      <c r="AJ466" s="50"/>
      <c r="AK466" s="50"/>
      <c r="AL466" s="50"/>
      <c r="AM466" s="11"/>
      <c r="AN466" s="50"/>
      <c r="AO466" s="50"/>
      <c r="AP466" s="50"/>
      <c r="AQ466" s="11"/>
      <c r="AR466" s="50"/>
      <c r="AS466" s="50"/>
      <c r="AT466" s="50"/>
      <c r="AU466" s="11"/>
      <c r="AV466" s="50"/>
      <c r="AW466" s="50"/>
      <c r="AX466" s="50"/>
      <c r="AY466" s="50"/>
      <c r="AZ466" s="50"/>
      <c r="BA466" s="50"/>
      <c r="BB466" s="50"/>
      <c r="BC466" s="50"/>
      <c r="BD466" s="50"/>
      <c r="BE466" s="20"/>
      <c r="BF466" s="518"/>
      <c r="BG466" s="484"/>
      <c r="BH466" s="484"/>
      <c r="BI466" s="527"/>
      <c r="BJ466" s="484"/>
      <c r="BK466" s="484"/>
      <c r="BL466" s="484"/>
      <c r="BM466" s="484"/>
    </row>
    <row r="467" spans="1:65" s="22" customFormat="1" x14ac:dyDescent="0.25">
      <c r="A467" s="20"/>
      <c r="B467" s="515"/>
      <c r="C467" s="11"/>
      <c r="D467" s="11"/>
      <c r="E467" s="11"/>
      <c r="F467" s="21"/>
      <c r="G467" s="11"/>
      <c r="H467" s="50"/>
      <c r="I467" s="50"/>
      <c r="J467" s="50"/>
      <c r="K467" s="11"/>
      <c r="L467" s="50"/>
      <c r="M467" s="50"/>
      <c r="N467" s="50"/>
      <c r="O467" s="50"/>
      <c r="P467" s="50"/>
      <c r="Q467" s="11"/>
      <c r="R467" s="50"/>
      <c r="S467" s="50"/>
      <c r="T467" s="50"/>
      <c r="U467" s="11"/>
      <c r="V467" s="50"/>
      <c r="W467" s="50"/>
      <c r="X467" s="50"/>
      <c r="Y467" s="50"/>
      <c r="Z467" s="50"/>
      <c r="AA467" s="11"/>
      <c r="AB467" s="50"/>
      <c r="AC467" s="50"/>
      <c r="AD467" s="50"/>
      <c r="AE467" s="11"/>
      <c r="AF467" s="50"/>
      <c r="AG467" s="50"/>
      <c r="AH467" s="50"/>
      <c r="AI467" s="11"/>
      <c r="AJ467" s="50"/>
      <c r="AK467" s="50"/>
      <c r="AL467" s="50"/>
      <c r="AM467" s="11"/>
      <c r="AN467" s="50"/>
      <c r="AO467" s="50"/>
      <c r="AP467" s="50"/>
      <c r="AQ467" s="11"/>
      <c r="AR467" s="50"/>
      <c r="AS467" s="50"/>
      <c r="AT467" s="50"/>
      <c r="AU467" s="11"/>
      <c r="AV467" s="50"/>
      <c r="AW467" s="50"/>
      <c r="AX467" s="50"/>
      <c r="AY467" s="50"/>
      <c r="AZ467" s="50"/>
      <c r="BA467" s="50"/>
      <c r="BB467" s="50"/>
      <c r="BC467" s="50"/>
      <c r="BD467" s="50"/>
      <c r="BE467" s="20"/>
      <c r="BF467" s="518"/>
      <c r="BG467" s="484"/>
      <c r="BH467" s="484"/>
      <c r="BI467" s="527"/>
      <c r="BJ467" s="484"/>
      <c r="BK467" s="484"/>
      <c r="BL467" s="484"/>
      <c r="BM467" s="484"/>
    </row>
    <row r="468" spans="1:65" s="22" customFormat="1" x14ac:dyDescent="0.25">
      <c r="A468" s="20"/>
      <c r="B468" s="515"/>
      <c r="C468" s="11"/>
      <c r="D468" s="11"/>
      <c r="E468" s="11"/>
      <c r="F468" s="21"/>
      <c r="G468" s="11"/>
      <c r="H468" s="50"/>
      <c r="I468" s="50"/>
      <c r="J468" s="50"/>
      <c r="K468" s="11"/>
      <c r="L468" s="50"/>
      <c r="M468" s="50"/>
      <c r="N468" s="50"/>
      <c r="O468" s="50"/>
      <c r="P468" s="50"/>
      <c r="Q468" s="11"/>
      <c r="R468" s="50"/>
      <c r="S468" s="50"/>
      <c r="T468" s="50"/>
      <c r="U468" s="11"/>
      <c r="V468" s="50"/>
      <c r="W468" s="50"/>
      <c r="X468" s="50"/>
      <c r="Y468" s="50"/>
      <c r="Z468" s="50"/>
      <c r="AA468" s="11"/>
      <c r="AB468" s="50"/>
      <c r="AC468" s="50"/>
      <c r="AD468" s="50"/>
      <c r="AE468" s="11"/>
      <c r="AF468" s="50"/>
      <c r="AG468" s="50"/>
      <c r="AH468" s="50"/>
      <c r="AI468" s="11"/>
      <c r="AJ468" s="50"/>
      <c r="AK468" s="50"/>
      <c r="AL468" s="50"/>
      <c r="AM468" s="11"/>
      <c r="AN468" s="50"/>
      <c r="AO468" s="50"/>
      <c r="AP468" s="50"/>
      <c r="AQ468" s="11"/>
      <c r="AR468" s="50"/>
      <c r="AS468" s="50"/>
      <c r="AT468" s="50"/>
      <c r="AU468" s="11"/>
      <c r="AV468" s="50"/>
      <c r="AW468" s="50"/>
      <c r="AX468" s="50"/>
      <c r="AY468" s="50"/>
      <c r="AZ468" s="50"/>
      <c r="BA468" s="50"/>
      <c r="BB468" s="50"/>
      <c r="BC468" s="50"/>
      <c r="BD468" s="50"/>
      <c r="BE468" s="20"/>
      <c r="BF468" s="518"/>
      <c r="BG468" s="484"/>
      <c r="BH468" s="484"/>
      <c r="BI468" s="527"/>
      <c r="BJ468" s="484"/>
      <c r="BK468" s="484"/>
      <c r="BL468" s="484"/>
      <c r="BM468" s="484"/>
    </row>
    <row r="469" spans="1:65" s="22" customFormat="1" x14ac:dyDescent="0.25">
      <c r="A469" s="20"/>
      <c r="B469" s="515"/>
      <c r="C469" s="11"/>
      <c r="D469" s="11"/>
      <c r="E469" s="11"/>
      <c r="F469" s="21"/>
      <c r="G469" s="11"/>
      <c r="H469" s="50"/>
      <c r="I469" s="50"/>
      <c r="J469" s="50"/>
      <c r="K469" s="11"/>
      <c r="L469" s="50"/>
      <c r="M469" s="50"/>
      <c r="N469" s="50"/>
      <c r="O469" s="50"/>
      <c r="P469" s="50"/>
      <c r="Q469" s="11"/>
      <c r="R469" s="50"/>
      <c r="S469" s="50"/>
      <c r="T469" s="50"/>
      <c r="U469" s="11"/>
      <c r="V469" s="50"/>
      <c r="W469" s="50"/>
      <c r="X469" s="50"/>
      <c r="Y469" s="50"/>
      <c r="Z469" s="50"/>
      <c r="AA469" s="11"/>
      <c r="AB469" s="50"/>
      <c r="AC469" s="50"/>
      <c r="AD469" s="50"/>
      <c r="AE469" s="11"/>
      <c r="AF469" s="50"/>
      <c r="AG469" s="50"/>
      <c r="AH469" s="50"/>
      <c r="AI469" s="11"/>
      <c r="AJ469" s="50"/>
      <c r="AK469" s="50"/>
      <c r="AL469" s="50"/>
      <c r="AM469" s="11"/>
      <c r="AN469" s="50"/>
      <c r="AO469" s="50"/>
      <c r="AP469" s="50"/>
      <c r="AQ469" s="11"/>
      <c r="AR469" s="50"/>
      <c r="AS469" s="50"/>
      <c r="AT469" s="50"/>
      <c r="AU469" s="11"/>
      <c r="AV469" s="50"/>
      <c r="AW469" s="50"/>
      <c r="AX469" s="50"/>
      <c r="AY469" s="50"/>
      <c r="AZ469" s="50"/>
      <c r="BA469" s="50"/>
      <c r="BB469" s="50"/>
      <c r="BC469" s="50"/>
      <c r="BD469" s="50"/>
      <c r="BE469" s="20"/>
      <c r="BF469" s="518"/>
      <c r="BG469" s="484"/>
      <c r="BH469" s="484"/>
      <c r="BI469" s="527"/>
      <c r="BJ469" s="484"/>
      <c r="BK469" s="484"/>
      <c r="BL469" s="484"/>
      <c r="BM469" s="484"/>
    </row>
    <row r="470" spans="1:65" s="22" customFormat="1" x14ac:dyDescent="0.25">
      <c r="A470" s="20"/>
      <c r="B470" s="515"/>
      <c r="C470" s="11"/>
      <c r="D470" s="11"/>
      <c r="E470" s="11"/>
      <c r="F470" s="21"/>
      <c r="G470" s="11"/>
      <c r="H470" s="50"/>
      <c r="I470" s="50"/>
      <c r="J470" s="50"/>
      <c r="K470" s="11"/>
      <c r="L470" s="50"/>
      <c r="M470" s="50"/>
      <c r="N470" s="50"/>
      <c r="O470" s="50"/>
      <c r="P470" s="50"/>
      <c r="Q470" s="11"/>
      <c r="R470" s="50"/>
      <c r="S470" s="50"/>
      <c r="T470" s="50"/>
      <c r="U470" s="11"/>
      <c r="V470" s="50"/>
      <c r="W470" s="50"/>
      <c r="X470" s="50"/>
      <c r="Y470" s="50"/>
      <c r="Z470" s="50"/>
      <c r="AA470" s="11"/>
      <c r="AB470" s="50"/>
      <c r="AC470" s="50"/>
      <c r="AD470" s="50"/>
      <c r="AE470" s="11"/>
      <c r="AF470" s="50"/>
      <c r="AG470" s="50"/>
      <c r="AH470" s="50"/>
      <c r="AI470" s="11"/>
      <c r="AJ470" s="50"/>
      <c r="AK470" s="50"/>
      <c r="AL470" s="50"/>
      <c r="AM470" s="11"/>
      <c r="AN470" s="50"/>
      <c r="AO470" s="50"/>
      <c r="AP470" s="50"/>
      <c r="AQ470" s="11"/>
      <c r="AR470" s="50"/>
      <c r="AS470" s="50"/>
      <c r="AT470" s="50"/>
      <c r="AU470" s="11"/>
      <c r="AV470" s="50"/>
      <c r="AW470" s="50"/>
      <c r="AX470" s="50"/>
      <c r="AY470" s="50"/>
      <c r="AZ470" s="50"/>
      <c r="BA470" s="50"/>
      <c r="BB470" s="50"/>
      <c r="BC470" s="50"/>
      <c r="BD470" s="50"/>
      <c r="BE470" s="20"/>
      <c r="BF470" s="518"/>
      <c r="BG470" s="484"/>
      <c r="BH470" s="484"/>
      <c r="BI470" s="527"/>
      <c r="BJ470" s="484"/>
      <c r="BK470" s="484"/>
      <c r="BL470" s="484"/>
      <c r="BM470" s="484"/>
    </row>
    <row r="471" spans="1:65" s="22" customFormat="1" x14ac:dyDescent="0.25">
      <c r="A471" s="20"/>
      <c r="B471" s="515"/>
      <c r="C471" s="11"/>
      <c r="D471" s="11"/>
      <c r="E471" s="11"/>
      <c r="F471" s="21"/>
      <c r="G471" s="11"/>
      <c r="H471" s="50"/>
      <c r="I471" s="50"/>
      <c r="J471" s="50"/>
      <c r="K471" s="11"/>
      <c r="L471" s="50"/>
      <c r="M471" s="50"/>
      <c r="N471" s="50"/>
      <c r="O471" s="50"/>
      <c r="P471" s="50"/>
      <c r="Q471" s="11"/>
      <c r="R471" s="50"/>
      <c r="S471" s="50"/>
      <c r="T471" s="50"/>
      <c r="U471" s="11"/>
      <c r="V471" s="50"/>
      <c r="W471" s="50"/>
      <c r="X471" s="50"/>
      <c r="Y471" s="50"/>
      <c r="Z471" s="50"/>
      <c r="AA471" s="11"/>
      <c r="AB471" s="50"/>
      <c r="AC471" s="50"/>
      <c r="AD471" s="50"/>
      <c r="AE471" s="11"/>
      <c r="AF471" s="50"/>
      <c r="AG471" s="50"/>
      <c r="AH471" s="50"/>
      <c r="AI471" s="11"/>
      <c r="AJ471" s="50"/>
      <c r="AK471" s="50"/>
      <c r="AL471" s="50"/>
      <c r="AM471" s="11"/>
      <c r="AN471" s="50"/>
      <c r="AO471" s="50"/>
      <c r="AP471" s="50"/>
      <c r="AQ471" s="11"/>
      <c r="AR471" s="50"/>
      <c r="AS471" s="50"/>
      <c r="AT471" s="50"/>
      <c r="AU471" s="11"/>
      <c r="AV471" s="50"/>
      <c r="AW471" s="50"/>
      <c r="AX471" s="50"/>
      <c r="AY471" s="50"/>
      <c r="AZ471" s="50"/>
      <c r="BA471" s="50"/>
      <c r="BB471" s="50"/>
      <c r="BC471" s="50"/>
      <c r="BD471" s="50"/>
      <c r="BE471" s="20"/>
      <c r="BF471" s="518"/>
      <c r="BG471" s="484"/>
      <c r="BH471" s="484"/>
      <c r="BI471" s="527"/>
      <c r="BJ471" s="484"/>
      <c r="BK471" s="484"/>
      <c r="BL471" s="484"/>
      <c r="BM471" s="484"/>
    </row>
    <row r="472" spans="1:65" s="22" customFormat="1" x14ac:dyDescent="0.25">
      <c r="A472" s="20"/>
      <c r="B472" s="515"/>
      <c r="C472" s="11"/>
      <c r="D472" s="11"/>
      <c r="E472" s="11"/>
      <c r="F472" s="21"/>
      <c r="G472" s="11"/>
      <c r="H472" s="50"/>
      <c r="I472" s="50"/>
      <c r="J472" s="50"/>
      <c r="K472" s="11"/>
      <c r="L472" s="50"/>
      <c r="M472" s="50"/>
      <c r="N472" s="50"/>
      <c r="O472" s="50"/>
      <c r="P472" s="50"/>
      <c r="Q472" s="11"/>
      <c r="R472" s="50"/>
      <c r="S472" s="50"/>
      <c r="T472" s="50"/>
      <c r="U472" s="11"/>
      <c r="V472" s="50"/>
      <c r="W472" s="50"/>
      <c r="X472" s="50"/>
      <c r="Y472" s="50"/>
      <c r="Z472" s="50"/>
      <c r="AA472" s="11"/>
      <c r="AB472" s="50"/>
      <c r="AC472" s="50"/>
      <c r="AD472" s="50"/>
      <c r="AE472" s="11"/>
      <c r="AF472" s="50"/>
      <c r="AG472" s="50"/>
      <c r="AH472" s="50"/>
      <c r="AI472" s="11"/>
      <c r="AJ472" s="50"/>
      <c r="AK472" s="50"/>
      <c r="AL472" s="50"/>
      <c r="AM472" s="11"/>
      <c r="AN472" s="50"/>
      <c r="AO472" s="50"/>
      <c r="AP472" s="50"/>
      <c r="AQ472" s="11"/>
      <c r="AR472" s="50"/>
      <c r="AS472" s="50"/>
      <c r="AT472" s="50"/>
      <c r="AU472" s="11"/>
      <c r="AV472" s="50"/>
      <c r="AW472" s="50"/>
      <c r="AX472" s="50"/>
      <c r="AY472" s="50"/>
      <c r="AZ472" s="50"/>
      <c r="BA472" s="50"/>
      <c r="BB472" s="50"/>
      <c r="BC472" s="50"/>
      <c r="BD472" s="50"/>
      <c r="BE472" s="20"/>
      <c r="BF472" s="518"/>
      <c r="BG472" s="484"/>
      <c r="BH472" s="484"/>
      <c r="BI472" s="527"/>
      <c r="BJ472" s="484"/>
      <c r="BK472" s="484"/>
      <c r="BL472" s="484"/>
      <c r="BM472" s="484"/>
    </row>
    <row r="473" spans="1:65" s="22" customFormat="1" x14ac:dyDescent="0.25">
      <c r="A473" s="20"/>
      <c r="B473" s="515"/>
      <c r="C473" s="11"/>
      <c r="D473" s="11"/>
      <c r="E473" s="11"/>
      <c r="F473" s="21"/>
      <c r="G473" s="11"/>
      <c r="H473" s="50"/>
      <c r="I473" s="50"/>
      <c r="J473" s="50"/>
      <c r="K473" s="11"/>
      <c r="L473" s="50"/>
      <c r="M473" s="50"/>
      <c r="N473" s="50"/>
      <c r="O473" s="50"/>
      <c r="P473" s="50"/>
      <c r="Q473" s="11"/>
      <c r="R473" s="50"/>
      <c r="S473" s="50"/>
      <c r="T473" s="50"/>
      <c r="U473" s="11"/>
      <c r="V473" s="50"/>
      <c r="W473" s="50"/>
      <c r="X473" s="50"/>
      <c r="Y473" s="50"/>
      <c r="Z473" s="50"/>
      <c r="AA473" s="11"/>
      <c r="AB473" s="50"/>
      <c r="AC473" s="50"/>
      <c r="AD473" s="50"/>
      <c r="AE473" s="11"/>
      <c r="AF473" s="50"/>
      <c r="AG473" s="50"/>
      <c r="AH473" s="50"/>
      <c r="AI473" s="11"/>
      <c r="AJ473" s="50"/>
      <c r="AK473" s="50"/>
      <c r="AL473" s="50"/>
      <c r="AM473" s="11"/>
      <c r="AN473" s="50"/>
      <c r="AO473" s="50"/>
      <c r="AP473" s="50"/>
      <c r="AQ473" s="11"/>
      <c r="AR473" s="50"/>
      <c r="AS473" s="50"/>
      <c r="AT473" s="50"/>
      <c r="AU473" s="11"/>
      <c r="AV473" s="50"/>
      <c r="AW473" s="50"/>
      <c r="AX473" s="50"/>
      <c r="AY473" s="50"/>
      <c r="AZ473" s="50"/>
      <c r="BA473" s="50"/>
      <c r="BB473" s="50"/>
      <c r="BC473" s="50"/>
      <c r="BD473" s="50"/>
      <c r="BE473" s="20"/>
      <c r="BF473" s="518"/>
      <c r="BG473" s="484"/>
      <c r="BH473" s="484"/>
      <c r="BI473" s="527"/>
      <c r="BJ473" s="484"/>
      <c r="BK473" s="484"/>
      <c r="BL473" s="484"/>
      <c r="BM473" s="484"/>
    </row>
    <row r="474" spans="1:65" s="22" customFormat="1" x14ac:dyDescent="0.25">
      <c r="A474" s="20"/>
      <c r="B474" s="515"/>
      <c r="C474" s="11"/>
      <c r="D474" s="11"/>
      <c r="E474" s="11"/>
      <c r="F474" s="21"/>
      <c r="G474" s="11"/>
      <c r="H474" s="50"/>
      <c r="I474" s="50"/>
      <c r="J474" s="50"/>
      <c r="K474" s="11"/>
      <c r="L474" s="50"/>
      <c r="M474" s="50"/>
      <c r="N474" s="50"/>
      <c r="O474" s="50"/>
      <c r="P474" s="50"/>
      <c r="Q474" s="11"/>
      <c r="R474" s="50"/>
      <c r="S474" s="50"/>
      <c r="T474" s="50"/>
      <c r="U474" s="11"/>
      <c r="V474" s="50"/>
      <c r="W474" s="50"/>
      <c r="X474" s="50"/>
      <c r="Y474" s="50"/>
      <c r="Z474" s="50"/>
      <c r="AA474" s="11"/>
      <c r="AB474" s="50"/>
      <c r="AC474" s="50"/>
      <c r="AD474" s="50"/>
      <c r="AE474" s="11"/>
      <c r="AF474" s="50"/>
      <c r="AG474" s="50"/>
      <c r="AH474" s="50"/>
      <c r="AI474" s="11"/>
      <c r="AJ474" s="50"/>
      <c r="AK474" s="50"/>
      <c r="AL474" s="50"/>
      <c r="AM474" s="11"/>
      <c r="AN474" s="50"/>
      <c r="AO474" s="50"/>
      <c r="AP474" s="50"/>
      <c r="AQ474" s="11"/>
      <c r="AR474" s="50"/>
      <c r="AS474" s="50"/>
      <c r="AT474" s="50"/>
      <c r="AU474" s="11"/>
      <c r="AV474" s="50"/>
      <c r="AW474" s="50"/>
      <c r="AX474" s="50"/>
      <c r="AY474" s="50"/>
      <c r="AZ474" s="50"/>
      <c r="BA474" s="50"/>
      <c r="BB474" s="50"/>
      <c r="BC474" s="50"/>
      <c r="BD474" s="50"/>
      <c r="BE474" s="20"/>
      <c r="BF474" s="518"/>
      <c r="BG474" s="484"/>
      <c r="BH474" s="484"/>
      <c r="BI474" s="527"/>
      <c r="BJ474" s="484"/>
      <c r="BK474" s="484"/>
      <c r="BL474" s="484"/>
      <c r="BM474" s="484"/>
    </row>
    <row r="475" spans="1:65" s="22" customFormat="1" x14ac:dyDescent="0.25">
      <c r="A475" s="20"/>
      <c r="B475" s="515"/>
      <c r="C475" s="11"/>
      <c r="D475" s="11"/>
      <c r="E475" s="11"/>
      <c r="F475" s="21"/>
      <c r="G475" s="11"/>
      <c r="H475" s="50"/>
      <c r="I475" s="50"/>
      <c r="J475" s="50"/>
      <c r="K475" s="11"/>
      <c r="L475" s="50"/>
      <c r="M475" s="50"/>
      <c r="N475" s="50"/>
      <c r="O475" s="50"/>
      <c r="P475" s="50"/>
      <c r="Q475" s="11"/>
      <c r="R475" s="50"/>
      <c r="S475" s="50"/>
      <c r="T475" s="50"/>
      <c r="U475" s="11"/>
      <c r="V475" s="50"/>
      <c r="W475" s="50"/>
      <c r="X475" s="50"/>
      <c r="Y475" s="50"/>
      <c r="Z475" s="50"/>
      <c r="AA475" s="11"/>
      <c r="AB475" s="50"/>
      <c r="AC475" s="50"/>
      <c r="AD475" s="50"/>
      <c r="AE475" s="11"/>
      <c r="AF475" s="50"/>
      <c r="AG475" s="50"/>
      <c r="AH475" s="50"/>
      <c r="AI475" s="11"/>
      <c r="AJ475" s="50"/>
      <c r="AK475" s="50"/>
      <c r="AL475" s="50"/>
      <c r="AM475" s="11"/>
      <c r="AN475" s="50"/>
      <c r="AO475" s="50"/>
      <c r="AP475" s="50"/>
      <c r="AQ475" s="11"/>
      <c r="AR475" s="50"/>
      <c r="AS475" s="50"/>
      <c r="AT475" s="50"/>
      <c r="AU475" s="11"/>
      <c r="AV475" s="50"/>
      <c r="AW475" s="50"/>
      <c r="AX475" s="50"/>
      <c r="AY475" s="50"/>
      <c r="AZ475" s="50"/>
      <c r="BA475" s="50"/>
      <c r="BB475" s="50"/>
      <c r="BC475" s="50"/>
      <c r="BD475" s="50"/>
      <c r="BE475" s="20"/>
      <c r="BF475" s="518"/>
      <c r="BG475" s="484"/>
      <c r="BH475" s="484"/>
      <c r="BI475" s="527"/>
      <c r="BJ475" s="484"/>
      <c r="BK475" s="484"/>
      <c r="BL475" s="484"/>
      <c r="BM475" s="484"/>
    </row>
    <row r="476" spans="1:65" s="22" customFormat="1" x14ac:dyDescent="0.25">
      <c r="A476" s="20"/>
      <c r="B476" s="515"/>
      <c r="C476" s="11"/>
      <c r="D476" s="11"/>
      <c r="E476" s="11"/>
      <c r="F476" s="21"/>
      <c r="G476" s="11"/>
      <c r="H476" s="50"/>
      <c r="I476" s="50"/>
      <c r="J476" s="50"/>
      <c r="K476" s="11"/>
      <c r="L476" s="50"/>
      <c r="M476" s="50"/>
      <c r="N476" s="50"/>
      <c r="O476" s="50"/>
      <c r="P476" s="50"/>
      <c r="Q476" s="11"/>
      <c r="R476" s="50"/>
      <c r="S476" s="50"/>
      <c r="T476" s="50"/>
      <c r="U476" s="11"/>
      <c r="V476" s="50"/>
      <c r="W476" s="50"/>
      <c r="X476" s="50"/>
      <c r="Y476" s="50"/>
      <c r="Z476" s="50"/>
      <c r="AA476" s="11"/>
      <c r="AB476" s="50"/>
      <c r="AC476" s="50"/>
      <c r="AD476" s="50"/>
      <c r="AE476" s="11"/>
      <c r="AF476" s="50"/>
      <c r="AG476" s="50"/>
      <c r="AH476" s="50"/>
      <c r="AI476" s="11"/>
      <c r="AJ476" s="50"/>
      <c r="AK476" s="50"/>
      <c r="AL476" s="50"/>
      <c r="AM476" s="11"/>
      <c r="AN476" s="50"/>
      <c r="AO476" s="50"/>
      <c r="AP476" s="50"/>
      <c r="AQ476" s="11"/>
      <c r="AR476" s="50"/>
      <c r="AS476" s="50"/>
      <c r="AT476" s="50"/>
      <c r="AU476" s="11"/>
      <c r="AV476" s="50"/>
      <c r="AW476" s="50"/>
      <c r="AX476" s="50"/>
      <c r="AY476" s="50"/>
      <c r="AZ476" s="50"/>
      <c r="BA476" s="50"/>
      <c r="BB476" s="50"/>
      <c r="BC476" s="50"/>
      <c r="BD476" s="50"/>
      <c r="BE476" s="20"/>
      <c r="BF476" s="518"/>
      <c r="BG476" s="484"/>
      <c r="BH476" s="484"/>
      <c r="BI476" s="527"/>
      <c r="BJ476" s="484"/>
      <c r="BK476" s="484"/>
      <c r="BL476" s="484"/>
      <c r="BM476" s="484"/>
    </row>
    <row r="477" spans="1:65" s="22" customFormat="1" x14ac:dyDescent="0.25">
      <c r="A477" s="20"/>
      <c r="B477" s="515"/>
      <c r="C477" s="11"/>
      <c r="D477" s="11"/>
      <c r="E477" s="11"/>
      <c r="F477" s="21"/>
      <c r="G477" s="11"/>
      <c r="H477" s="50"/>
      <c r="I477" s="50"/>
      <c r="J477" s="50"/>
      <c r="K477" s="11"/>
      <c r="L477" s="50"/>
      <c r="M477" s="50"/>
      <c r="N477" s="50"/>
      <c r="O477" s="50"/>
      <c r="P477" s="50"/>
      <c r="Q477" s="11"/>
      <c r="R477" s="50"/>
      <c r="S477" s="50"/>
      <c r="T477" s="50"/>
      <c r="U477" s="11"/>
      <c r="V477" s="50"/>
      <c r="W477" s="50"/>
      <c r="X477" s="50"/>
      <c r="Y477" s="50"/>
      <c r="Z477" s="50"/>
      <c r="AA477" s="11"/>
      <c r="AB477" s="50"/>
      <c r="AC477" s="50"/>
      <c r="AD477" s="50"/>
      <c r="AE477" s="11"/>
      <c r="AF477" s="50"/>
      <c r="AG477" s="50"/>
      <c r="AH477" s="50"/>
      <c r="AI477" s="11"/>
      <c r="AJ477" s="50"/>
      <c r="AK477" s="50"/>
      <c r="AL477" s="50"/>
      <c r="AM477" s="11"/>
      <c r="AN477" s="50"/>
      <c r="AO477" s="50"/>
      <c r="AP477" s="50"/>
      <c r="AQ477" s="11"/>
      <c r="AR477" s="50"/>
      <c r="AS477" s="50"/>
      <c r="AT477" s="50"/>
      <c r="AU477" s="11"/>
      <c r="AV477" s="50"/>
      <c r="AW477" s="50"/>
      <c r="AX477" s="50"/>
      <c r="AY477" s="50"/>
      <c r="AZ477" s="50"/>
      <c r="BA477" s="50"/>
      <c r="BB477" s="50"/>
      <c r="BC477" s="50"/>
      <c r="BD477" s="50"/>
      <c r="BE477" s="20"/>
      <c r="BF477" s="518"/>
      <c r="BG477" s="484"/>
      <c r="BH477" s="484"/>
      <c r="BI477" s="527"/>
      <c r="BJ477" s="484"/>
      <c r="BK477" s="484"/>
      <c r="BL477" s="484"/>
      <c r="BM477" s="484"/>
    </row>
    <row r="478" spans="1:65" s="22" customFormat="1" x14ac:dyDescent="0.25">
      <c r="A478" s="20"/>
      <c r="B478" s="515"/>
      <c r="C478" s="11"/>
      <c r="D478" s="11"/>
      <c r="E478" s="11"/>
      <c r="F478" s="21"/>
      <c r="G478" s="11"/>
      <c r="H478" s="50"/>
      <c r="I478" s="50"/>
      <c r="J478" s="50"/>
      <c r="K478" s="11"/>
      <c r="L478" s="50"/>
      <c r="M478" s="50"/>
      <c r="N478" s="50"/>
      <c r="O478" s="50"/>
      <c r="P478" s="50"/>
      <c r="Q478" s="11"/>
      <c r="R478" s="50"/>
      <c r="S478" s="50"/>
      <c r="T478" s="50"/>
      <c r="U478" s="11"/>
      <c r="V478" s="50"/>
      <c r="W478" s="50"/>
      <c r="X478" s="50"/>
      <c r="Y478" s="50"/>
      <c r="Z478" s="50"/>
      <c r="AA478" s="11"/>
      <c r="AB478" s="50"/>
      <c r="AC478" s="50"/>
      <c r="AD478" s="50"/>
      <c r="AE478" s="11"/>
      <c r="AF478" s="50"/>
      <c r="AG478" s="50"/>
      <c r="AH478" s="50"/>
      <c r="AI478" s="11"/>
      <c r="AJ478" s="50"/>
      <c r="AK478" s="50"/>
      <c r="AL478" s="50"/>
      <c r="AM478" s="11"/>
      <c r="AN478" s="50"/>
      <c r="AO478" s="50"/>
      <c r="AP478" s="50"/>
      <c r="AQ478" s="11"/>
      <c r="AR478" s="50"/>
      <c r="AS478" s="50"/>
      <c r="AT478" s="50"/>
      <c r="AU478" s="11"/>
      <c r="AV478" s="50"/>
      <c r="AW478" s="50"/>
      <c r="AX478" s="50"/>
      <c r="AY478" s="50"/>
      <c r="AZ478" s="50"/>
      <c r="BA478" s="50"/>
      <c r="BB478" s="50"/>
      <c r="BC478" s="50"/>
      <c r="BD478" s="50"/>
      <c r="BE478" s="20"/>
      <c r="BF478" s="518"/>
      <c r="BG478" s="484"/>
      <c r="BH478" s="484"/>
      <c r="BI478" s="527"/>
      <c r="BJ478" s="484"/>
      <c r="BK478" s="484"/>
      <c r="BL478" s="484"/>
      <c r="BM478" s="484"/>
    </row>
    <row r="479" spans="1:65" s="22" customFormat="1" x14ac:dyDescent="0.25">
      <c r="A479" s="20"/>
      <c r="B479" s="515"/>
      <c r="C479" s="11"/>
      <c r="D479" s="11"/>
      <c r="E479" s="11"/>
      <c r="F479" s="21"/>
      <c r="G479" s="11"/>
      <c r="H479" s="50"/>
      <c r="I479" s="50"/>
      <c r="J479" s="50"/>
      <c r="K479" s="11"/>
      <c r="L479" s="50"/>
      <c r="M479" s="50"/>
      <c r="N479" s="50"/>
      <c r="O479" s="50"/>
      <c r="P479" s="50"/>
      <c r="Q479" s="11"/>
      <c r="R479" s="50"/>
      <c r="S479" s="50"/>
      <c r="T479" s="50"/>
      <c r="U479" s="11"/>
      <c r="V479" s="50"/>
      <c r="W479" s="50"/>
      <c r="X479" s="50"/>
      <c r="Y479" s="50"/>
      <c r="Z479" s="50"/>
      <c r="AA479" s="11"/>
      <c r="AB479" s="50"/>
      <c r="AC479" s="50"/>
      <c r="AD479" s="50"/>
      <c r="AE479" s="11"/>
      <c r="AF479" s="50"/>
      <c r="AG479" s="50"/>
      <c r="AH479" s="50"/>
      <c r="AI479" s="11"/>
      <c r="AJ479" s="50"/>
      <c r="AK479" s="50"/>
      <c r="AL479" s="50"/>
      <c r="AM479" s="11"/>
      <c r="AN479" s="50"/>
      <c r="AO479" s="50"/>
      <c r="AP479" s="50"/>
      <c r="AQ479" s="11"/>
      <c r="AR479" s="50"/>
      <c r="AS479" s="50"/>
      <c r="AT479" s="50"/>
      <c r="AU479" s="11"/>
      <c r="AV479" s="50"/>
      <c r="AW479" s="50"/>
      <c r="AX479" s="50"/>
      <c r="AY479" s="50"/>
      <c r="AZ479" s="50"/>
      <c r="BA479" s="50"/>
      <c r="BB479" s="50"/>
      <c r="BC479" s="50"/>
      <c r="BD479" s="50"/>
      <c r="BE479" s="20"/>
      <c r="BF479" s="518"/>
      <c r="BG479" s="484"/>
      <c r="BH479" s="484"/>
      <c r="BI479" s="527"/>
      <c r="BJ479" s="484"/>
      <c r="BK479" s="484"/>
      <c r="BL479" s="484"/>
      <c r="BM479" s="484"/>
    </row>
    <row r="480" spans="1:65" s="22" customFormat="1" x14ac:dyDescent="0.25">
      <c r="A480" s="20"/>
      <c r="B480" s="515"/>
      <c r="C480" s="11"/>
      <c r="D480" s="11"/>
      <c r="E480" s="11"/>
      <c r="F480" s="21"/>
      <c r="G480" s="11"/>
      <c r="H480" s="50"/>
      <c r="I480" s="50"/>
      <c r="J480" s="50"/>
      <c r="K480" s="11"/>
      <c r="L480" s="50"/>
      <c r="M480" s="50"/>
      <c r="N480" s="50"/>
      <c r="O480" s="50"/>
      <c r="P480" s="50"/>
      <c r="Q480" s="11"/>
      <c r="R480" s="50"/>
      <c r="S480" s="50"/>
      <c r="T480" s="50"/>
      <c r="U480" s="11"/>
      <c r="V480" s="50"/>
      <c r="W480" s="50"/>
      <c r="X480" s="50"/>
      <c r="Y480" s="50"/>
      <c r="Z480" s="50"/>
      <c r="AA480" s="11"/>
      <c r="AB480" s="50"/>
      <c r="AC480" s="50"/>
      <c r="AD480" s="50"/>
      <c r="AE480" s="11"/>
      <c r="AF480" s="50"/>
      <c r="AG480" s="50"/>
      <c r="AH480" s="50"/>
      <c r="AI480" s="11"/>
      <c r="AJ480" s="50"/>
      <c r="AK480" s="50"/>
      <c r="AL480" s="50"/>
      <c r="AM480" s="11"/>
      <c r="AN480" s="50"/>
      <c r="AO480" s="50"/>
      <c r="AP480" s="50"/>
      <c r="AQ480" s="11"/>
      <c r="AR480" s="50"/>
      <c r="AS480" s="50"/>
      <c r="AT480" s="50"/>
      <c r="AU480" s="11"/>
      <c r="AV480" s="50"/>
      <c r="AW480" s="50"/>
      <c r="AX480" s="50"/>
      <c r="AY480" s="50"/>
      <c r="AZ480" s="50"/>
      <c r="BA480" s="50"/>
      <c r="BB480" s="50"/>
      <c r="BC480" s="50"/>
      <c r="BD480" s="50"/>
      <c r="BE480" s="20"/>
      <c r="BF480" s="518"/>
      <c r="BG480" s="484"/>
      <c r="BH480" s="484"/>
      <c r="BI480" s="527"/>
      <c r="BJ480" s="484"/>
      <c r="BK480" s="484"/>
      <c r="BL480" s="484"/>
      <c r="BM480" s="484"/>
    </row>
    <row r="481" spans="1:65" s="22" customFormat="1" x14ac:dyDescent="0.25">
      <c r="A481" s="20"/>
      <c r="B481" s="515"/>
      <c r="C481" s="11"/>
      <c r="D481" s="11"/>
      <c r="E481" s="11"/>
      <c r="F481" s="21"/>
      <c r="G481" s="11"/>
      <c r="H481" s="50"/>
      <c r="I481" s="50"/>
      <c r="J481" s="50"/>
      <c r="K481" s="11"/>
      <c r="L481" s="50"/>
      <c r="M481" s="50"/>
      <c r="N481" s="50"/>
      <c r="O481" s="50"/>
      <c r="P481" s="50"/>
      <c r="Q481" s="11"/>
      <c r="R481" s="50"/>
      <c r="S481" s="50"/>
      <c r="T481" s="50"/>
      <c r="U481" s="11"/>
      <c r="V481" s="50"/>
      <c r="W481" s="50"/>
      <c r="X481" s="50"/>
      <c r="Y481" s="50"/>
      <c r="Z481" s="50"/>
      <c r="AA481" s="11"/>
      <c r="AB481" s="50"/>
      <c r="AC481" s="50"/>
      <c r="AD481" s="50"/>
      <c r="AE481" s="11"/>
      <c r="AF481" s="50"/>
      <c r="AG481" s="50"/>
      <c r="AH481" s="50"/>
      <c r="AI481" s="11"/>
      <c r="AJ481" s="50"/>
      <c r="AK481" s="50"/>
      <c r="AL481" s="50"/>
      <c r="AM481" s="11"/>
      <c r="AN481" s="50"/>
      <c r="AO481" s="50"/>
      <c r="AP481" s="50"/>
      <c r="AQ481" s="11"/>
      <c r="AR481" s="50"/>
      <c r="AS481" s="50"/>
      <c r="AT481" s="50"/>
      <c r="AU481" s="11"/>
      <c r="AV481" s="50"/>
      <c r="AW481" s="50"/>
      <c r="AX481" s="50"/>
      <c r="AY481" s="50"/>
      <c r="AZ481" s="50"/>
      <c r="BA481" s="50"/>
      <c r="BB481" s="50"/>
      <c r="BC481" s="50"/>
      <c r="BD481" s="50"/>
      <c r="BE481" s="20"/>
      <c r="BF481" s="518"/>
      <c r="BG481" s="484"/>
      <c r="BH481" s="484"/>
      <c r="BI481" s="527"/>
      <c r="BJ481" s="484"/>
      <c r="BK481" s="484"/>
      <c r="BL481" s="484"/>
      <c r="BM481" s="484"/>
    </row>
    <row r="482" spans="1:65" s="22" customFormat="1" x14ac:dyDescent="0.25">
      <c r="A482" s="20"/>
      <c r="B482" s="515"/>
      <c r="C482" s="11"/>
      <c r="D482" s="11"/>
      <c r="E482" s="11"/>
      <c r="F482" s="21"/>
      <c r="G482" s="11"/>
      <c r="H482" s="50"/>
      <c r="I482" s="50"/>
      <c r="J482" s="50"/>
      <c r="K482" s="11"/>
      <c r="L482" s="50"/>
      <c r="M482" s="50"/>
      <c r="N482" s="50"/>
      <c r="O482" s="50"/>
      <c r="P482" s="50"/>
      <c r="Q482" s="11"/>
      <c r="R482" s="50"/>
      <c r="S482" s="50"/>
      <c r="T482" s="50"/>
      <c r="U482" s="11"/>
      <c r="V482" s="50"/>
      <c r="W482" s="50"/>
      <c r="X482" s="50"/>
      <c r="Y482" s="50"/>
      <c r="Z482" s="50"/>
      <c r="AA482" s="11"/>
      <c r="AB482" s="50"/>
      <c r="AC482" s="50"/>
      <c r="AD482" s="50"/>
      <c r="AE482" s="11"/>
      <c r="AF482" s="50"/>
      <c r="AG482" s="50"/>
      <c r="AH482" s="50"/>
      <c r="AI482" s="11"/>
      <c r="AJ482" s="50"/>
      <c r="AK482" s="50"/>
      <c r="AL482" s="50"/>
      <c r="AM482" s="11"/>
      <c r="AN482" s="50"/>
      <c r="AO482" s="50"/>
      <c r="AP482" s="50"/>
      <c r="AQ482" s="11"/>
      <c r="AR482" s="50"/>
      <c r="AS482" s="50"/>
      <c r="AT482" s="50"/>
      <c r="AU482" s="11"/>
      <c r="AV482" s="50"/>
      <c r="AW482" s="50"/>
      <c r="AX482" s="50"/>
      <c r="AY482" s="50"/>
      <c r="AZ482" s="50"/>
      <c r="BA482" s="50"/>
      <c r="BB482" s="50"/>
      <c r="BC482" s="50"/>
      <c r="BD482" s="50"/>
      <c r="BE482" s="20"/>
      <c r="BF482" s="518"/>
      <c r="BG482" s="484"/>
      <c r="BH482" s="484"/>
      <c r="BI482" s="527"/>
      <c r="BJ482" s="484"/>
      <c r="BK482" s="484"/>
      <c r="BL482" s="484"/>
      <c r="BM482" s="484"/>
    </row>
    <row r="483" spans="1:65" s="22" customFormat="1" x14ac:dyDescent="0.25">
      <c r="A483" s="20"/>
      <c r="B483" s="515"/>
      <c r="C483" s="11"/>
      <c r="D483" s="11"/>
      <c r="E483" s="11"/>
      <c r="F483" s="21"/>
      <c r="G483" s="11"/>
      <c r="H483" s="50"/>
      <c r="I483" s="50"/>
      <c r="J483" s="50"/>
      <c r="K483" s="11"/>
      <c r="L483" s="50"/>
      <c r="M483" s="50"/>
      <c r="N483" s="50"/>
      <c r="O483" s="50"/>
      <c r="P483" s="50"/>
      <c r="Q483" s="11"/>
      <c r="R483" s="50"/>
      <c r="S483" s="50"/>
      <c r="T483" s="50"/>
      <c r="U483" s="11"/>
      <c r="V483" s="50"/>
      <c r="W483" s="50"/>
      <c r="X483" s="50"/>
      <c r="Y483" s="50"/>
      <c r="Z483" s="50"/>
      <c r="AA483" s="11"/>
      <c r="AB483" s="50"/>
      <c r="AC483" s="50"/>
      <c r="AD483" s="50"/>
      <c r="AE483" s="11"/>
      <c r="AF483" s="50"/>
      <c r="AG483" s="50"/>
      <c r="AH483" s="50"/>
      <c r="AI483" s="11"/>
      <c r="AJ483" s="50"/>
      <c r="AK483" s="50"/>
      <c r="AL483" s="50"/>
      <c r="AM483" s="11"/>
      <c r="AN483" s="50"/>
      <c r="AO483" s="50"/>
      <c r="AP483" s="50"/>
      <c r="AQ483" s="11"/>
      <c r="AR483" s="50"/>
      <c r="AS483" s="50"/>
      <c r="AT483" s="50"/>
      <c r="AU483" s="11"/>
      <c r="AV483" s="50"/>
      <c r="AW483" s="50"/>
      <c r="AX483" s="50"/>
      <c r="AY483" s="50"/>
      <c r="AZ483" s="50"/>
      <c r="BA483" s="50"/>
      <c r="BB483" s="50"/>
      <c r="BC483" s="50"/>
      <c r="BD483" s="50"/>
      <c r="BE483" s="20"/>
      <c r="BF483" s="518"/>
      <c r="BG483" s="484"/>
      <c r="BH483" s="484"/>
      <c r="BI483" s="527"/>
      <c r="BJ483" s="484"/>
      <c r="BK483" s="484"/>
      <c r="BL483" s="484"/>
      <c r="BM483" s="484"/>
    </row>
    <row r="484" spans="1:65" s="22" customFormat="1" x14ac:dyDescent="0.25">
      <c r="A484" s="20"/>
      <c r="B484" s="515"/>
      <c r="C484" s="11"/>
      <c r="D484" s="11"/>
      <c r="E484" s="11"/>
      <c r="F484" s="21"/>
      <c r="G484" s="11"/>
      <c r="H484" s="50"/>
      <c r="I484" s="50"/>
      <c r="J484" s="50"/>
      <c r="K484" s="11"/>
      <c r="L484" s="50"/>
      <c r="M484" s="50"/>
      <c r="N484" s="50"/>
      <c r="O484" s="50"/>
      <c r="P484" s="50"/>
      <c r="Q484" s="11"/>
      <c r="R484" s="50"/>
      <c r="S484" s="50"/>
      <c r="T484" s="50"/>
      <c r="U484" s="11"/>
      <c r="V484" s="50"/>
      <c r="W484" s="50"/>
      <c r="X484" s="50"/>
      <c r="Y484" s="50"/>
      <c r="Z484" s="50"/>
      <c r="AA484" s="11"/>
      <c r="AB484" s="50"/>
      <c r="AC484" s="50"/>
      <c r="AD484" s="50"/>
      <c r="AE484" s="11"/>
      <c r="AF484" s="50"/>
      <c r="AG484" s="50"/>
      <c r="AH484" s="50"/>
      <c r="AI484" s="11"/>
      <c r="AJ484" s="50"/>
      <c r="AK484" s="50"/>
      <c r="AL484" s="50"/>
      <c r="AM484" s="11"/>
      <c r="AN484" s="50"/>
      <c r="AO484" s="50"/>
      <c r="AP484" s="50"/>
      <c r="AQ484" s="11"/>
      <c r="AR484" s="50"/>
      <c r="AS484" s="50"/>
      <c r="AT484" s="50"/>
      <c r="AU484" s="11"/>
      <c r="AV484" s="50"/>
      <c r="AW484" s="50"/>
      <c r="AX484" s="50"/>
      <c r="AY484" s="50"/>
      <c r="AZ484" s="50"/>
      <c r="BA484" s="50"/>
      <c r="BB484" s="50"/>
      <c r="BC484" s="50"/>
      <c r="BD484" s="50"/>
      <c r="BE484" s="20"/>
      <c r="BF484" s="518"/>
      <c r="BG484" s="484"/>
      <c r="BH484" s="484"/>
      <c r="BI484" s="527"/>
      <c r="BJ484" s="484"/>
      <c r="BK484" s="484"/>
      <c r="BL484" s="484"/>
      <c r="BM484" s="484"/>
    </row>
    <row r="485" spans="1:65" s="22" customFormat="1" x14ac:dyDescent="0.25">
      <c r="A485" s="20"/>
      <c r="B485" s="515"/>
      <c r="C485" s="11"/>
      <c r="D485" s="11"/>
      <c r="E485" s="11"/>
      <c r="F485" s="21"/>
      <c r="G485" s="11"/>
      <c r="H485" s="50"/>
      <c r="I485" s="50"/>
      <c r="J485" s="50"/>
      <c r="K485" s="11"/>
      <c r="L485" s="50"/>
      <c r="M485" s="50"/>
      <c r="N485" s="50"/>
      <c r="O485" s="50"/>
      <c r="P485" s="50"/>
      <c r="Q485" s="11"/>
      <c r="R485" s="50"/>
      <c r="S485" s="50"/>
      <c r="T485" s="50"/>
      <c r="U485" s="11"/>
      <c r="V485" s="50"/>
      <c r="W485" s="50"/>
      <c r="X485" s="50"/>
      <c r="Y485" s="50"/>
      <c r="Z485" s="50"/>
      <c r="AA485" s="11"/>
      <c r="AB485" s="50"/>
      <c r="AC485" s="50"/>
      <c r="AD485" s="50"/>
      <c r="AE485" s="11"/>
      <c r="AF485" s="50"/>
      <c r="AG485" s="50"/>
      <c r="AH485" s="50"/>
      <c r="AI485" s="11"/>
      <c r="AJ485" s="50"/>
      <c r="AK485" s="50"/>
      <c r="AL485" s="50"/>
      <c r="AM485" s="11"/>
      <c r="AN485" s="50"/>
      <c r="AO485" s="50"/>
      <c r="AP485" s="50"/>
      <c r="AQ485" s="11"/>
      <c r="AR485" s="50"/>
      <c r="AS485" s="50"/>
      <c r="AT485" s="50"/>
      <c r="AU485" s="11"/>
      <c r="AV485" s="50"/>
      <c r="AW485" s="50"/>
      <c r="AX485" s="50"/>
      <c r="AY485" s="50"/>
      <c r="AZ485" s="50"/>
      <c r="BA485" s="50"/>
      <c r="BB485" s="50"/>
      <c r="BC485" s="50"/>
      <c r="BD485" s="50"/>
      <c r="BE485" s="20"/>
      <c r="BF485" s="518"/>
      <c r="BG485" s="484"/>
      <c r="BH485" s="484"/>
      <c r="BI485" s="527"/>
      <c r="BJ485" s="484"/>
      <c r="BK485" s="484"/>
      <c r="BL485" s="484"/>
      <c r="BM485" s="484"/>
    </row>
    <row r="486" spans="1:65" s="22" customFormat="1" x14ac:dyDescent="0.25">
      <c r="A486" s="20"/>
      <c r="B486" s="515"/>
      <c r="C486" s="11"/>
      <c r="D486" s="11"/>
      <c r="E486" s="11"/>
      <c r="F486" s="21"/>
      <c r="G486" s="11"/>
      <c r="H486" s="50"/>
      <c r="I486" s="50"/>
      <c r="J486" s="50"/>
      <c r="K486" s="11"/>
      <c r="L486" s="50"/>
      <c r="M486" s="50"/>
      <c r="N486" s="50"/>
      <c r="O486" s="50"/>
      <c r="P486" s="50"/>
      <c r="Q486" s="11"/>
      <c r="R486" s="50"/>
      <c r="S486" s="50"/>
      <c r="T486" s="50"/>
      <c r="U486" s="11"/>
      <c r="V486" s="50"/>
      <c r="W486" s="50"/>
      <c r="X486" s="50"/>
      <c r="Y486" s="50"/>
      <c r="Z486" s="50"/>
      <c r="AA486" s="11"/>
      <c r="AB486" s="50"/>
      <c r="AC486" s="50"/>
      <c r="AD486" s="50"/>
      <c r="AE486" s="11"/>
      <c r="AF486" s="50"/>
      <c r="AG486" s="50"/>
      <c r="AH486" s="50"/>
      <c r="AI486" s="11"/>
      <c r="AJ486" s="50"/>
      <c r="AK486" s="50"/>
      <c r="AL486" s="50"/>
      <c r="AM486" s="11"/>
      <c r="AN486" s="50"/>
      <c r="AO486" s="50"/>
      <c r="AP486" s="50"/>
      <c r="AQ486" s="11"/>
      <c r="AR486" s="50"/>
      <c r="AS486" s="50"/>
      <c r="AT486" s="50"/>
      <c r="AU486" s="11"/>
      <c r="AV486" s="50"/>
      <c r="AW486" s="50"/>
      <c r="AX486" s="50"/>
      <c r="AY486" s="50"/>
      <c r="AZ486" s="50"/>
      <c r="BA486" s="50"/>
      <c r="BB486" s="50"/>
      <c r="BC486" s="50"/>
      <c r="BD486" s="50"/>
      <c r="BE486" s="20"/>
      <c r="BF486" s="518"/>
      <c r="BG486" s="484"/>
      <c r="BH486" s="484"/>
      <c r="BI486" s="527"/>
      <c r="BJ486" s="484"/>
      <c r="BK486" s="484"/>
      <c r="BL486" s="484"/>
      <c r="BM486" s="484"/>
    </row>
    <row r="487" spans="1:65" s="22" customFormat="1" x14ac:dyDescent="0.25">
      <c r="A487" s="20"/>
      <c r="B487" s="515"/>
      <c r="C487" s="11"/>
      <c r="D487" s="11"/>
      <c r="E487" s="11"/>
      <c r="F487" s="21"/>
      <c r="G487" s="11"/>
      <c r="H487" s="50"/>
      <c r="I487" s="50"/>
      <c r="J487" s="50"/>
      <c r="K487" s="11"/>
      <c r="L487" s="50"/>
      <c r="M487" s="50"/>
      <c r="N487" s="50"/>
      <c r="O487" s="50"/>
      <c r="P487" s="50"/>
      <c r="Q487" s="11"/>
      <c r="R487" s="50"/>
      <c r="S487" s="50"/>
      <c r="T487" s="50"/>
      <c r="U487" s="11"/>
      <c r="V487" s="50"/>
      <c r="W487" s="50"/>
      <c r="X487" s="50"/>
      <c r="Y487" s="50"/>
      <c r="Z487" s="50"/>
      <c r="AA487" s="11"/>
      <c r="AB487" s="50"/>
      <c r="AC487" s="50"/>
      <c r="AD487" s="50"/>
      <c r="AE487" s="11"/>
      <c r="AF487" s="50"/>
      <c r="AG487" s="50"/>
      <c r="AH487" s="50"/>
      <c r="AI487" s="11"/>
      <c r="AJ487" s="50"/>
      <c r="AK487" s="50"/>
      <c r="AL487" s="50"/>
      <c r="AM487" s="11"/>
      <c r="AN487" s="50"/>
      <c r="AO487" s="50"/>
      <c r="AP487" s="50"/>
      <c r="AQ487" s="11"/>
      <c r="AR487" s="50"/>
      <c r="AS487" s="50"/>
      <c r="AT487" s="50"/>
      <c r="AU487" s="11"/>
      <c r="AV487" s="50"/>
      <c r="AW487" s="50"/>
      <c r="AX487" s="50"/>
      <c r="AY487" s="50"/>
      <c r="AZ487" s="50"/>
      <c r="BA487" s="50"/>
      <c r="BB487" s="50"/>
      <c r="BC487" s="50"/>
      <c r="BD487" s="50"/>
      <c r="BE487" s="20"/>
      <c r="BF487" s="518"/>
      <c r="BG487" s="484"/>
      <c r="BH487" s="484"/>
      <c r="BI487" s="527"/>
      <c r="BJ487" s="484"/>
      <c r="BK487" s="484"/>
      <c r="BL487" s="484"/>
      <c r="BM487" s="484"/>
    </row>
    <row r="488" spans="1:65" s="22" customFormat="1" x14ac:dyDescent="0.25">
      <c r="A488" s="20"/>
      <c r="B488" s="515"/>
      <c r="C488" s="11"/>
      <c r="D488" s="11"/>
      <c r="E488" s="11"/>
      <c r="F488" s="21"/>
      <c r="G488" s="11"/>
      <c r="H488" s="50"/>
      <c r="I488" s="50"/>
      <c r="J488" s="50"/>
      <c r="K488" s="11"/>
      <c r="L488" s="50"/>
      <c r="M488" s="50"/>
      <c r="N488" s="50"/>
      <c r="O488" s="50"/>
      <c r="P488" s="50"/>
      <c r="Q488" s="11"/>
      <c r="R488" s="50"/>
      <c r="S488" s="50"/>
      <c r="T488" s="50"/>
      <c r="U488" s="11"/>
      <c r="V488" s="50"/>
      <c r="W488" s="50"/>
      <c r="X488" s="50"/>
      <c r="Y488" s="50"/>
      <c r="Z488" s="50"/>
      <c r="AA488" s="11"/>
      <c r="AB488" s="50"/>
      <c r="AC488" s="50"/>
      <c r="AD488" s="50"/>
      <c r="AE488" s="11"/>
      <c r="AF488" s="50"/>
      <c r="AG488" s="50"/>
      <c r="AH488" s="50"/>
      <c r="AI488" s="11"/>
      <c r="AJ488" s="50"/>
      <c r="AK488" s="50"/>
      <c r="AL488" s="50"/>
      <c r="AM488" s="11"/>
      <c r="AN488" s="50"/>
      <c r="AO488" s="50"/>
      <c r="AP488" s="50"/>
      <c r="AQ488" s="11"/>
      <c r="AR488" s="50"/>
      <c r="AS488" s="50"/>
      <c r="AT488" s="50"/>
      <c r="AU488" s="11"/>
      <c r="AV488" s="50"/>
      <c r="AW488" s="50"/>
      <c r="AX488" s="50"/>
      <c r="AY488" s="50"/>
      <c r="AZ488" s="50"/>
      <c r="BA488" s="50"/>
      <c r="BB488" s="50"/>
      <c r="BC488" s="50"/>
      <c r="BD488" s="50"/>
      <c r="BE488" s="20"/>
      <c r="BF488" s="518"/>
      <c r="BG488" s="484"/>
      <c r="BH488" s="484"/>
      <c r="BI488" s="527"/>
      <c r="BJ488" s="484"/>
      <c r="BK488" s="484"/>
      <c r="BL488" s="484"/>
      <c r="BM488" s="484"/>
    </row>
    <row r="489" spans="1:65" s="22" customFormat="1" x14ac:dyDescent="0.25">
      <c r="A489" s="20"/>
      <c r="B489" s="515"/>
      <c r="C489" s="11"/>
      <c r="D489" s="11"/>
      <c r="E489" s="11"/>
      <c r="F489" s="21"/>
      <c r="G489" s="11"/>
      <c r="H489" s="50"/>
      <c r="I489" s="50"/>
      <c r="J489" s="50"/>
      <c r="K489" s="11"/>
      <c r="L489" s="50"/>
      <c r="M489" s="50"/>
      <c r="N489" s="50"/>
      <c r="O489" s="50"/>
      <c r="P489" s="50"/>
      <c r="Q489" s="11"/>
      <c r="R489" s="50"/>
      <c r="S489" s="50"/>
      <c r="T489" s="50"/>
      <c r="U489" s="11"/>
      <c r="V489" s="50"/>
      <c r="W489" s="50"/>
      <c r="X489" s="50"/>
      <c r="Y489" s="50"/>
      <c r="Z489" s="50"/>
      <c r="AA489" s="11"/>
      <c r="AB489" s="50"/>
      <c r="AC489" s="50"/>
      <c r="AD489" s="50"/>
      <c r="AE489" s="11"/>
      <c r="AF489" s="50"/>
      <c r="AG489" s="50"/>
      <c r="AH489" s="50"/>
      <c r="AI489" s="11"/>
      <c r="AJ489" s="50"/>
      <c r="AK489" s="50"/>
      <c r="AL489" s="50"/>
      <c r="AM489" s="11"/>
      <c r="AN489" s="50"/>
      <c r="AO489" s="50"/>
      <c r="AP489" s="50"/>
      <c r="AQ489" s="11"/>
      <c r="AR489" s="50"/>
      <c r="AS489" s="50"/>
      <c r="AT489" s="50"/>
      <c r="AU489" s="11"/>
      <c r="AV489" s="50"/>
      <c r="AW489" s="50"/>
      <c r="AX489" s="50"/>
      <c r="AY489" s="50"/>
      <c r="AZ489" s="50"/>
      <c r="BA489" s="50"/>
      <c r="BB489" s="50"/>
      <c r="BC489" s="50"/>
      <c r="BD489" s="50"/>
      <c r="BE489" s="20"/>
      <c r="BF489" s="518"/>
      <c r="BG489" s="484"/>
      <c r="BH489" s="484"/>
      <c r="BI489" s="527"/>
      <c r="BJ489" s="484"/>
      <c r="BK489" s="484"/>
      <c r="BL489" s="484"/>
      <c r="BM489" s="484"/>
    </row>
    <row r="490" spans="1:65" s="22" customFormat="1" x14ac:dyDescent="0.25">
      <c r="A490" s="20"/>
      <c r="B490" s="515"/>
      <c r="C490" s="11"/>
      <c r="D490" s="11"/>
      <c r="E490" s="11"/>
      <c r="F490" s="21"/>
      <c r="G490" s="11"/>
      <c r="H490" s="50"/>
      <c r="I490" s="50"/>
      <c r="J490" s="50"/>
      <c r="K490" s="11"/>
      <c r="L490" s="50"/>
      <c r="M490" s="50"/>
      <c r="N490" s="50"/>
      <c r="O490" s="50"/>
      <c r="P490" s="50"/>
      <c r="Q490" s="11"/>
      <c r="R490" s="50"/>
      <c r="S490" s="50"/>
      <c r="T490" s="50"/>
      <c r="U490" s="11"/>
      <c r="V490" s="50"/>
      <c r="W490" s="50"/>
      <c r="X490" s="50"/>
      <c r="Y490" s="50"/>
      <c r="Z490" s="50"/>
      <c r="AA490" s="11"/>
      <c r="AB490" s="50"/>
      <c r="AC490" s="50"/>
      <c r="AD490" s="50"/>
      <c r="AE490" s="11"/>
      <c r="AF490" s="50"/>
      <c r="AG490" s="50"/>
      <c r="AH490" s="50"/>
      <c r="AI490" s="11"/>
      <c r="AJ490" s="50"/>
      <c r="AK490" s="50"/>
      <c r="AL490" s="50"/>
      <c r="AM490" s="11"/>
      <c r="AN490" s="50"/>
      <c r="AO490" s="50"/>
      <c r="AP490" s="50"/>
      <c r="AQ490" s="11"/>
      <c r="AR490" s="50"/>
      <c r="AS490" s="50"/>
      <c r="AT490" s="50"/>
      <c r="AU490" s="11"/>
      <c r="AV490" s="50"/>
      <c r="AW490" s="50"/>
      <c r="AX490" s="50"/>
      <c r="AY490" s="50"/>
      <c r="AZ490" s="50"/>
      <c r="BA490" s="50"/>
      <c r="BB490" s="50"/>
      <c r="BC490" s="50"/>
      <c r="BD490" s="50"/>
      <c r="BE490" s="20"/>
      <c r="BF490" s="518"/>
      <c r="BG490" s="484"/>
      <c r="BH490" s="484"/>
      <c r="BI490" s="527"/>
      <c r="BJ490" s="484"/>
      <c r="BK490" s="484"/>
      <c r="BL490" s="484"/>
      <c r="BM490" s="484"/>
    </row>
    <row r="491" spans="1:65" s="22" customFormat="1" x14ac:dyDescent="0.25">
      <c r="A491" s="20"/>
      <c r="B491" s="515"/>
      <c r="C491" s="11"/>
      <c r="D491" s="11"/>
      <c r="E491" s="11"/>
      <c r="F491" s="21"/>
      <c r="G491" s="11"/>
      <c r="H491" s="50"/>
      <c r="I491" s="50"/>
      <c r="J491" s="50"/>
      <c r="K491" s="11"/>
      <c r="L491" s="50"/>
      <c r="M491" s="50"/>
      <c r="N491" s="50"/>
      <c r="O491" s="50"/>
      <c r="P491" s="50"/>
      <c r="Q491" s="11"/>
      <c r="R491" s="50"/>
      <c r="S491" s="50"/>
      <c r="T491" s="50"/>
      <c r="U491" s="11"/>
      <c r="V491" s="50"/>
      <c r="W491" s="50"/>
      <c r="X491" s="50"/>
      <c r="Y491" s="50"/>
      <c r="Z491" s="50"/>
      <c r="AA491" s="11"/>
      <c r="AB491" s="50"/>
      <c r="AC491" s="50"/>
      <c r="AD491" s="50"/>
      <c r="AE491" s="11"/>
      <c r="AF491" s="50"/>
      <c r="AG491" s="50"/>
      <c r="AH491" s="50"/>
      <c r="AI491" s="11"/>
      <c r="AJ491" s="50"/>
      <c r="AK491" s="50"/>
      <c r="AL491" s="50"/>
      <c r="AM491" s="11"/>
      <c r="AN491" s="50"/>
      <c r="AO491" s="50"/>
      <c r="AP491" s="50"/>
      <c r="AQ491" s="11"/>
      <c r="AR491" s="50"/>
      <c r="AS491" s="50"/>
      <c r="AT491" s="50"/>
      <c r="AU491" s="11"/>
      <c r="AV491" s="50"/>
      <c r="AW491" s="50"/>
      <c r="AX491" s="50"/>
      <c r="AY491" s="50"/>
      <c r="AZ491" s="50"/>
      <c r="BA491" s="50"/>
      <c r="BB491" s="50"/>
      <c r="BC491" s="50"/>
      <c r="BD491" s="50"/>
      <c r="BE491" s="20"/>
      <c r="BF491" s="518"/>
      <c r="BG491" s="484"/>
      <c r="BH491" s="484"/>
      <c r="BI491" s="527"/>
      <c r="BJ491" s="484"/>
      <c r="BK491" s="484"/>
      <c r="BL491" s="484"/>
      <c r="BM491" s="484"/>
    </row>
    <row r="492" spans="1:65" s="22" customFormat="1" x14ac:dyDescent="0.25">
      <c r="A492" s="20"/>
      <c r="B492" s="515"/>
      <c r="C492" s="11"/>
      <c r="D492" s="11"/>
      <c r="E492" s="11"/>
      <c r="F492" s="21"/>
      <c r="G492" s="11"/>
      <c r="H492" s="50"/>
      <c r="I492" s="50"/>
      <c r="J492" s="50"/>
      <c r="K492" s="11"/>
      <c r="L492" s="50"/>
      <c r="M492" s="50"/>
      <c r="N492" s="50"/>
      <c r="O492" s="50"/>
      <c r="P492" s="50"/>
      <c r="Q492" s="11"/>
      <c r="R492" s="50"/>
      <c r="S492" s="50"/>
      <c r="T492" s="50"/>
      <c r="U492" s="11"/>
      <c r="V492" s="50"/>
      <c r="W492" s="50"/>
      <c r="X492" s="50"/>
      <c r="Y492" s="50"/>
      <c r="Z492" s="50"/>
      <c r="AA492" s="11"/>
      <c r="AB492" s="50"/>
      <c r="AC492" s="50"/>
      <c r="AD492" s="50"/>
      <c r="AE492" s="11"/>
      <c r="AF492" s="50"/>
      <c r="AG492" s="50"/>
      <c r="AH492" s="50"/>
      <c r="AI492" s="11"/>
      <c r="AJ492" s="50"/>
      <c r="AK492" s="50"/>
      <c r="AL492" s="50"/>
      <c r="AM492" s="11"/>
      <c r="AN492" s="50"/>
      <c r="AO492" s="50"/>
      <c r="AP492" s="50"/>
      <c r="AQ492" s="11"/>
      <c r="AR492" s="50"/>
      <c r="AS492" s="50"/>
      <c r="AT492" s="50"/>
      <c r="AU492" s="11"/>
      <c r="AV492" s="50"/>
      <c r="AW492" s="50"/>
      <c r="AX492" s="50"/>
      <c r="AY492" s="50"/>
      <c r="AZ492" s="50"/>
      <c r="BA492" s="50"/>
      <c r="BB492" s="50"/>
      <c r="BC492" s="50"/>
      <c r="BD492" s="50"/>
      <c r="BE492" s="20"/>
      <c r="BF492" s="518"/>
      <c r="BG492" s="484"/>
      <c r="BH492" s="484"/>
      <c r="BI492" s="527"/>
      <c r="BJ492" s="484"/>
      <c r="BK492" s="484"/>
      <c r="BL492" s="484"/>
      <c r="BM492" s="484"/>
    </row>
    <row r="493" spans="1:65" s="22" customFormat="1" x14ac:dyDescent="0.25">
      <c r="A493" s="20"/>
      <c r="B493" s="515"/>
      <c r="C493" s="11"/>
      <c r="D493" s="11"/>
      <c r="E493" s="11"/>
      <c r="F493" s="21"/>
      <c r="G493" s="11"/>
      <c r="H493" s="50"/>
      <c r="I493" s="50"/>
      <c r="J493" s="50"/>
      <c r="K493" s="11"/>
      <c r="L493" s="50"/>
      <c r="M493" s="50"/>
      <c r="N493" s="50"/>
      <c r="O493" s="50"/>
      <c r="P493" s="50"/>
      <c r="Q493" s="11"/>
      <c r="R493" s="50"/>
      <c r="S493" s="50"/>
      <c r="T493" s="50"/>
      <c r="U493" s="11"/>
      <c r="V493" s="50"/>
      <c r="W493" s="50"/>
      <c r="X493" s="50"/>
      <c r="Y493" s="50"/>
      <c r="Z493" s="50"/>
      <c r="AA493" s="11"/>
      <c r="AB493" s="50"/>
      <c r="AC493" s="50"/>
      <c r="AD493" s="50"/>
      <c r="AE493" s="11"/>
      <c r="AF493" s="50"/>
      <c r="AG493" s="50"/>
      <c r="AH493" s="50"/>
      <c r="AI493" s="11"/>
      <c r="AJ493" s="50"/>
      <c r="AK493" s="50"/>
      <c r="AL493" s="50"/>
      <c r="AM493" s="11"/>
      <c r="AN493" s="50"/>
      <c r="AO493" s="50"/>
      <c r="AP493" s="50"/>
      <c r="AQ493" s="11"/>
      <c r="AR493" s="50"/>
      <c r="AS493" s="50"/>
      <c r="AT493" s="50"/>
      <c r="AU493" s="11"/>
      <c r="AV493" s="50"/>
      <c r="AW493" s="50"/>
      <c r="AX493" s="50"/>
      <c r="AY493" s="50"/>
      <c r="AZ493" s="50"/>
      <c r="BA493" s="50"/>
      <c r="BB493" s="50"/>
      <c r="BC493" s="50"/>
      <c r="BD493" s="50"/>
      <c r="BE493" s="20"/>
      <c r="BF493" s="518"/>
      <c r="BG493" s="484"/>
      <c r="BH493" s="484"/>
      <c r="BI493" s="527"/>
      <c r="BJ493" s="484"/>
      <c r="BK493" s="484"/>
      <c r="BL493" s="484"/>
      <c r="BM493" s="484"/>
    </row>
    <row r="494" spans="1:65" s="22" customFormat="1" x14ac:dyDescent="0.25">
      <c r="A494" s="20"/>
      <c r="B494" s="515"/>
      <c r="C494" s="11"/>
      <c r="D494" s="11"/>
      <c r="E494" s="11"/>
      <c r="F494" s="21"/>
      <c r="G494" s="11"/>
      <c r="H494" s="50"/>
      <c r="I494" s="50"/>
      <c r="J494" s="50"/>
      <c r="K494" s="11"/>
      <c r="L494" s="50"/>
      <c r="M494" s="50"/>
      <c r="N494" s="50"/>
      <c r="O494" s="50"/>
      <c r="P494" s="50"/>
      <c r="Q494" s="11"/>
      <c r="R494" s="50"/>
      <c r="S494" s="50"/>
      <c r="T494" s="50"/>
      <c r="U494" s="11"/>
      <c r="V494" s="50"/>
      <c r="W494" s="50"/>
      <c r="X494" s="50"/>
      <c r="Y494" s="50"/>
      <c r="Z494" s="50"/>
      <c r="AA494" s="11"/>
      <c r="AB494" s="50"/>
      <c r="AC494" s="50"/>
      <c r="AD494" s="50"/>
      <c r="AE494" s="11"/>
      <c r="AF494" s="50"/>
      <c r="AG494" s="50"/>
      <c r="AH494" s="50"/>
      <c r="AI494" s="11"/>
      <c r="AJ494" s="50"/>
      <c r="AK494" s="50"/>
      <c r="AL494" s="50"/>
      <c r="AM494" s="11"/>
      <c r="AN494" s="50"/>
      <c r="AO494" s="50"/>
      <c r="AP494" s="50"/>
      <c r="AQ494" s="11"/>
      <c r="AR494" s="50"/>
      <c r="AS494" s="50"/>
      <c r="AT494" s="50"/>
      <c r="AU494" s="11"/>
      <c r="AV494" s="50"/>
      <c r="AW494" s="50"/>
      <c r="AX494" s="50"/>
      <c r="AY494" s="50"/>
      <c r="AZ494" s="50"/>
      <c r="BA494" s="50"/>
      <c r="BB494" s="50"/>
      <c r="BC494" s="50"/>
      <c r="BD494" s="50"/>
      <c r="BE494" s="20"/>
      <c r="BF494" s="518"/>
      <c r="BG494" s="484"/>
      <c r="BH494" s="484"/>
      <c r="BI494" s="527"/>
      <c r="BJ494" s="484"/>
      <c r="BK494" s="484"/>
      <c r="BL494" s="484"/>
      <c r="BM494" s="484"/>
    </row>
    <row r="495" spans="1:65" s="22" customFormat="1" x14ac:dyDescent="0.25">
      <c r="A495" s="20"/>
      <c r="B495" s="515"/>
      <c r="C495" s="11"/>
      <c r="D495" s="11"/>
      <c r="E495" s="11"/>
      <c r="F495" s="21"/>
      <c r="G495" s="11"/>
      <c r="H495" s="50"/>
      <c r="I495" s="50"/>
      <c r="J495" s="50"/>
      <c r="K495" s="11"/>
      <c r="L495" s="50"/>
      <c r="M495" s="50"/>
      <c r="N495" s="50"/>
      <c r="O495" s="50"/>
      <c r="P495" s="50"/>
      <c r="Q495" s="11"/>
      <c r="R495" s="50"/>
      <c r="S495" s="50"/>
      <c r="T495" s="50"/>
      <c r="U495" s="11"/>
      <c r="V495" s="50"/>
      <c r="W495" s="50"/>
      <c r="X495" s="50"/>
      <c r="Y495" s="50"/>
      <c r="Z495" s="50"/>
      <c r="AA495" s="11"/>
      <c r="AB495" s="50"/>
      <c r="AC495" s="50"/>
      <c r="AD495" s="50"/>
      <c r="AE495" s="11"/>
      <c r="AF495" s="50"/>
      <c r="AG495" s="50"/>
      <c r="AH495" s="50"/>
      <c r="AI495" s="11"/>
      <c r="AJ495" s="50"/>
      <c r="AK495" s="50"/>
      <c r="AL495" s="50"/>
      <c r="AM495" s="11"/>
      <c r="AN495" s="50"/>
      <c r="AO495" s="50"/>
      <c r="AP495" s="50"/>
      <c r="AQ495" s="11"/>
      <c r="AR495" s="50"/>
      <c r="AS495" s="50"/>
      <c r="AT495" s="50"/>
      <c r="AU495" s="11"/>
      <c r="AV495" s="50"/>
      <c r="AW495" s="50"/>
      <c r="AX495" s="50"/>
      <c r="AY495" s="50"/>
      <c r="AZ495" s="50"/>
      <c r="BA495" s="50"/>
      <c r="BB495" s="50"/>
      <c r="BC495" s="50"/>
      <c r="BD495" s="50"/>
      <c r="BE495" s="20"/>
      <c r="BF495" s="518"/>
      <c r="BG495" s="484"/>
      <c r="BH495" s="484"/>
      <c r="BI495" s="527"/>
      <c r="BJ495" s="484"/>
      <c r="BK495" s="484"/>
      <c r="BL495" s="484"/>
      <c r="BM495" s="484"/>
    </row>
    <row r="496" spans="1:65" s="22" customFormat="1" x14ac:dyDescent="0.25">
      <c r="A496" s="20"/>
      <c r="B496" s="515"/>
      <c r="C496" s="11"/>
      <c r="D496" s="11"/>
      <c r="E496" s="11"/>
      <c r="F496" s="21"/>
      <c r="G496" s="11"/>
      <c r="H496" s="50"/>
      <c r="I496" s="50"/>
      <c r="J496" s="50"/>
      <c r="K496" s="11"/>
      <c r="L496" s="50"/>
      <c r="M496" s="50"/>
      <c r="N496" s="50"/>
      <c r="O496" s="50"/>
      <c r="P496" s="50"/>
      <c r="Q496" s="11"/>
      <c r="R496" s="50"/>
      <c r="S496" s="50"/>
      <c r="T496" s="50"/>
      <c r="U496" s="11"/>
      <c r="V496" s="50"/>
      <c r="W496" s="50"/>
      <c r="X496" s="50"/>
      <c r="Y496" s="50"/>
      <c r="Z496" s="50"/>
      <c r="AA496" s="11"/>
      <c r="AB496" s="50"/>
      <c r="AC496" s="50"/>
      <c r="AD496" s="50"/>
      <c r="AE496" s="11"/>
      <c r="AF496" s="50"/>
      <c r="AG496" s="50"/>
      <c r="AH496" s="50"/>
      <c r="AI496" s="11"/>
      <c r="AJ496" s="50"/>
      <c r="AK496" s="50"/>
      <c r="AL496" s="50"/>
      <c r="AM496" s="11"/>
      <c r="AN496" s="50"/>
      <c r="AO496" s="50"/>
      <c r="AP496" s="50"/>
      <c r="AQ496" s="11"/>
      <c r="AR496" s="50"/>
      <c r="AS496" s="50"/>
      <c r="AT496" s="50"/>
      <c r="AU496" s="11"/>
      <c r="AV496" s="50"/>
      <c r="AW496" s="50"/>
      <c r="AX496" s="50"/>
      <c r="AY496" s="50"/>
      <c r="AZ496" s="50"/>
      <c r="BA496" s="50"/>
      <c r="BB496" s="50"/>
      <c r="BC496" s="50"/>
      <c r="BD496" s="50"/>
      <c r="BE496" s="20"/>
      <c r="BF496" s="518"/>
      <c r="BG496" s="484"/>
      <c r="BH496" s="484"/>
      <c r="BI496" s="527"/>
      <c r="BJ496" s="484"/>
      <c r="BK496" s="484"/>
      <c r="BL496" s="484"/>
      <c r="BM496" s="484"/>
    </row>
    <row r="497" spans="1:65" s="22" customFormat="1" x14ac:dyDescent="0.25">
      <c r="A497" s="20"/>
      <c r="B497" s="515"/>
      <c r="C497" s="11"/>
      <c r="D497" s="11"/>
      <c r="E497" s="11"/>
      <c r="F497" s="21"/>
      <c r="G497" s="11"/>
      <c r="H497" s="50"/>
      <c r="I497" s="50"/>
      <c r="J497" s="50"/>
      <c r="K497" s="11"/>
      <c r="L497" s="50"/>
      <c r="M497" s="50"/>
      <c r="N497" s="50"/>
      <c r="O497" s="50"/>
      <c r="P497" s="50"/>
      <c r="Q497" s="11"/>
      <c r="R497" s="50"/>
      <c r="S497" s="50"/>
      <c r="T497" s="50"/>
      <c r="U497" s="11"/>
      <c r="V497" s="50"/>
      <c r="W497" s="50"/>
      <c r="X497" s="50"/>
      <c r="Y497" s="50"/>
      <c r="Z497" s="50"/>
      <c r="AA497" s="11"/>
      <c r="AB497" s="50"/>
      <c r="AC497" s="50"/>
      <c r="AD497" s="50"/>
      <c r="AE497" s="11"/>
      <c r="AF497" s="50"/>
      <c r="AG497" s="50"/>
      <c r="AH497" s="50"/>
      <c r="AI497" s="11"/>
      <c r="AJ497" s="50"/>
      <c r="AK497" s="50"/>
      <c r="AL497" s="50"/>
      <c r="AM497" s="11"/>
      <c r="AN497" s="50"/>
      <c r="AO497" s="50"/>
      <c r="AP497" s="50"/>
      <c r="AQ497" s="11"/>
      <c r="AR497" s="50"/>
      <c r="AS497" s="50"/>
      <c r="AT497" s="50"/>
      <c r="AU497" s="11"/>
      <c r="AV497" s="50"/>
      <c r="AW497" s="50"/>
      <c r="AX497" s="50"/>
      <c r="AY497" s="50"/>
      <c r="AZ497" s="50"/>
      <c r="BA497" s="50"/>
      <c r="BB497" s="50"/>
      <c r="BC497" s="50"/>
      <c r="BD497" s="50"/>
      <c r="BE497" s="20"/>
      <c r="BF497" s="518"/>
      <c r="BG497" s="484"/>
      <c r="BH497" s="484"/>
      <c r="BI497" s="527"/>
      <c r="BJ497" s="484"/>
      <c r="BK497" s="484"/>
      <c r="BL497" s="484"/>
      <c r="BM497" s="484"/>
    </row>
    <row r="498" spans="1:65" s="22" customFormat="1" x14ac:dyDescent="0.25">
      <c r="A498" s="20"/>
      <c r="B498" s="515"/>
      <c r="C498" s="11"/>
      <c r="D498" s="11"/>
      <c r="E498" s="11"/>
      <c r="F498" s="21"/>
      <c r="G498" s="11"/>
      <c r="H498" s="50"/>
      <c r="I498" s="50"/>
      <c r="J498" s="50"/>
      <c r="K498" s="11"/>
      <c r="L498" s="50"/>
      <c r="M498" s="50"/>
      <c r="N498" s="50"/>
      <c r="O498" s="50"/>
      <c r="P498" s="50"/>
      <c r="Q498" s="11"/>
      <c r="R498" s="50"/>
      <c r="S498" s="50"/>
      <c r="T498" s="50"/>
      <c r="U498" s="11"/>
      <c r="V498" s="50"/>
      <c r="W498" s="50"/>
      <c r="X498" s="50"/>
      <c r="Y498" s="50"/>
      <c r="Z498" s="50"/>
      <c r="AA498" s="11"/>
      <c r="AB498" s="50"/>
      <c r="AC498" s="50"/>
      <c r="AD498" s="50"/>
      <c r="AE498" s="11"/>
      <c r="AF498" s="50"/>
      <c r="AG498" s="50"/>
      <c r="AH498" s="50"/>
      <c r="AI498" s="11"/>
      <c r="AJ498" s="50"/>
      <c r="AK498" s="50"/>
      <c r="AL498" s="50"/>
      <c r="AM498" s="11"/>
      <c r="AN498" s="50"/>
      <c r="AO498" s="50"/>
      <c r="AP498" s="50"/>
      <c r="AQ498" s="11"/>
      <c r="AR498" s="50"/>
      <c r="AS498" s="50"/>
      <c r="AT498" s="50"/>
      <c r="AU498" s="11"/>
      <c r="AV498" s="50"/>
      <c r="AW498" s="50"/>
      <c r="AX498" s="50"/>
      <c r="AY498" s="50"/>
      <c r="AZ498" s="50"/>
      <c r="BA498" s="50"/>
      <c r="BB498" s="50"/>
      <c r="BC498" s="50"/>
      <c r="BD498" s="50"/>
      <c r="BE498" s="20"/>
      <c r="BF498" s="518"/>
      <c r="BG498" s="484"/>
      <c r="BH498" s="484"/>
      <c r="BI498" s="527"/>
      <c r="BJ498" s="484"/>
      <c r="BK498" s="484"/>
      <c r="BL498" s="484"/>
      <c r="BM498" s="484"/>
    </row>
    <row r="499" spans="1:65" s="22" customFormat="1" x14ac:dyDescent="0.25">
      <c r="A499" s="20"/>
      <c r="B499" s="515"/>
      <c r="C499" s="11"/>
      <c r="D499" s="11"/>
      <c r="E499" s="11"/>
      <c r="F499" s="21"/>
      <c r="G499" s="11"/>
      <c r="H499" s="50"/>
      <c r="I499" s="50"/>
      <c r="J499" s="50"/>
      <c r="K499" s="11"/>
      <c r="L499" s="50"/>
      <c r="M499" s="50"/>
      <c r="N499" s="50"/>
      <c r="O499" s="50"/>
      <c r="P499" s="50"/>
      <c r="Q499" s="11"/>
      <c r="R499" s="50"/>
      <c r="S499" s="50"/>
      <c r="T499" s="50"/>
      <c r="U499" s="11"/>
      <c r="V499" s="50"/>
      <c r="W499" s="50"/>
      <c r="X499" s="50"/>
      <c r="Y499" s="50"/>
      <c r="Z499" s="50"/>
      <c r="AA499" s="11"/>
      <c r="AB499" s="50"/>
      <c r="AC499" s="50"/>
      <c r="AD499" s="50"/>
      <c r="AE499" s="11"/>
      <c r="AF499" s="50"/>
      <c r="AG499" s="50"/>
      <c r="AH499" s="50"/>
      <c r="AI499" s="11"/>
      <c r="AJ499" s="50"/>
      <c r="AK499" s="50"/>
      <c r="AL499" s="50"/>
      <c r="AM499" s="11"/>
      <c r="AN499" s="50"/>
      <c r="AO499" s="50"/>
      <c r="AP499" s="50"/>
      <c r="AQ499" s="11"/>
      <c r="AR499" s="50"/>
      <c r="AS499" s="50"/>
      <c r="AT499" s="50"/>
      <c r="AU499" s="11"/>
      <c r="AV499" s="50"/>
      <c r="AW499" s="50"/>
      <c r="AX499" s="50"/>
      <c r="AY499" s="50"/>
      <c r="AZ499" s="50"/>
      <c r="BA499" s="50"/>
      <c r="BB499" s="50"/>
      <c r="BC499" s="50"/>
      <c r="BD499" s="50"/>
      <c r="BE499" s="20"/>
      <c r="BF499" s="518"/>
      <c r="BG499" s="484"/>
      <c r="BH499" s="484"/>
      <c r="BI499" s="527"/>
      <c r="BJ499" s="484"/>
      <c r="BK499" s="484"/>
      <c r="BL499" s="484"/>
      <c r="BM499" s="484"/>
    </row>
    <row r="500" spans="1:65" s="22" customFormat="1" x14ac:dyDescent="0.25">
      <c r="A500" s="20"/>
      <c r="B500" s="515"/>
      <c r="C500" s="11"/>
      <c r="D500" s="11"/>
      <c r="E500" s="11"/>
      <c r="F500" s="21"/>
      <c r="G500" s="11"/>
      <c r="H500" s="50"/>
      <c r="I500" s="50"/>
      <c r="J500" s="50"/>
      <c r="K500" s="11"/>
      <c r="L500" s="50"/>
      <c r="M500" s="50"/>
      <c r="N500" s="50"/>
      <c r="O500" s="50"/>
      <c r="P500" s="50"/>
      <c r="Q500" s="11"/>
      <c r="R500" s="50"/>
      <c r="S500" s="50"/>
      <c r="T500" s="50"/>
      <c r="U500" s="11"/>
      <c r="V500" s="50"/>
      <c r="W500" s="50"/>
      <c r="X500" s="50"/>
      <c r="Y500" s="50"/>
      <c r="Z500" s="50"/>
      <c r="AA500" s="11"/>
      <c r="AB500" s="50"/>
      <c r="AC500" s="50"/>
      <c r="AD500" s="50"/>
      <c r="AE500" s="11"/>
      <c r="AF500" s="50"/>
      <c r="AG500" s="50"/>
      <c r="AH500" s="50"/>
      <c r="AI500" s="11"/>
      <c r="AJ500" s="50"/>
      <c r="AK500" s="50"/>
      <c r="AL500" s="50"/>
      <c r="AM500" s="11"/>
      <c r="AN500" s="50"/>
      <c r="AO500" s="50"/>
      <c r="AP500" s="50"/>
      <c r="AQ500" s="11"/>
      <c r="AR500" s="50"/>
      <c r="AS500" s="50"/>
      <c r="AT500" s="50"/>
      <c r="AU500" s="11"/>
      <c r="AV500" s="50"/>
      <c r="AW500" s="50"/>
      <c r="AX500" s="50"/>
      <c r="AY500" s="50"/>
      <c r="AZ500" s="50"/>
      <c r="BA500" s="50"/>
      <c r="BB500" s="50"/>
      <c r="BC500" s="50"/>
      <c r="BD500" s="50"/>
      <c r="BE500" s="20"/>
      <c r="BF500" s="518"/>
      <c r="BG500" s="484"/>
      <c r="BH500" s="484"/>
      <c r="BI500" s="527"/>
      <c r="BJ500" s="484"/>
      <c r="BK500" s="484"/>
      <c r="BL500" s="484"/>
      <c r="BM500" s="484"/>
    </row>
    <row r="501" spans="1:65" s="22" customFormat="1" x14ac:dyDescent="0.25">
      <c r="A501" s="20"/>
      <c r="B501" s="515"/>
      <c r="C501" s="11"/>
      <c r="D501" s="11"/>
      <c r="E501" s="11"/>
      <c r="F501" s="21"/>
      <c r="G501" s="11"/>
      <c r="H501" s="50"/>
      <c r="I501" s="50"/>
      <c r="J501" s="50"/>
      <c r="K501" s="11"/>
      <c r="L501" s="50"/>
      <c r="M501" s="50"/>
      <c r="N501" s="50"/>
      <c r="O501" s="50"/>
      <c r="P501" s="50"/>
      <c r="Q501" s="11"/>
      <c r="R501" s="50"/>
      <c r="S501" s="50"/>
      <c r="T501" s="50"/>
      <c r="U501" s="11"/>
      <c r="V501" s="50"/>
      <c r="W501" s="50"/>
      <c r="X501" s="50"/>
      <c r="Y501" s="50"/>
      <c r="Z501" s="50"/>
      <c r="AA501" s="11"/>
      <c r="AB501" s="50"/>
      <c r="AC501" s="50"/>
      <c r="AD501" s="50"/>
      <c r="AE501" s="11"/>
      <c r="AF501" s="50"/>
      <c r="AG501" s="50"/>
      <c r="AH501" s="50"/>
      <c r="AI501" s="11"/>
      <c r="AJ501" s="50"/>
      <c r="AK501" s="50"/>
      <c r="AL501" s="50"/>
      <c r="AM501" s="11"/>
      <c r="AN501" s="50"/>
      <c r="AO501" s="50"/>
      <c r="AP501" s="50"/>
      <c r="AQ501" s="11"/>
      <c r="AR501" s="50"/>
      <c r="AS501" s="50"/>
      <c r="AT501" s="50"/>
      <c r="AU501" s="11"/>
      <c r="AV501" s="50"/>
      <c r="AW501" s="50"/>
      <c r="AX501" s="50"/>
      <c r="AY501" s="50"/>
      <c r="AZ501" s="50"/>
      <c r="BA501" s="50"/>
      <c r="BB501" s="50"/>
      <c r="BC501" s="50"/>
      <c r="BD501" s="50"/>
      <c r="BE501" s="20"/>
      <c r="BF501" s="518"/>
      <c r="BG501" s="484"/>
      <c r="BH501" s="484"/>
      <c r="BI501" s="527"/>
      <c r="BJ501" s="484"/>
      <c r="BK501" s="484"/>
      <c r="BL501" s="484"/>
      <c r="BM501" s="484"/>
    </row>
    <row r="502" spans="1:65" s="22" customFormat="1" x14ac:dyDescent="0.25">
      <c r="A502" s="20"/>
      <c r="B502" s="515"/>
      <c r="C502" s="11"/>
      <c r="D502" s="11"/>
      <c r="E502" s="11"/>
      <c r="F502" s="21"/>
      <c r="G502" s="11"/>
      <c r="H502" s="50"/>
      <c r="I502" s="50"/>
      <c r="J502" s="50"/>
      <c r="K502" s="11"/>
      <c r="L502" s="50"/>
      <c r="M502" s="50"/>
      <c r="N502" s="50"/>
      <c r="O502" s="50"/>
      <c r="P502" s="50"/>
      <c r="Q502" s="11"/>
      <c r="R502" s="50"/>
      <c r="S502" s="50"/>
      <c r="T502" s="50"/>
      <c r="U502" s="11"/>
      <c r="V502" s="50"/>
      <c r="W502" s="50"/>
      <c r="X502" s="50"/>
      <c r="Y502" s="50"/>
      <c r="Z502" s="50"/>
      <c r="AA502" s="11"/>
      <c r="AB502" s="50"/>
      <c r="AC502" s="50"/>
      <c r="AD502" s="50"/>
      <c r="AE502" s="11"/>
      <c r="AF502" s="50"/>
      <c r="AG502" s="50"/>
      <c r="AH502" s="50"/>
      <c r="AI502" s="11"/>
      <c r="AJ502" s="50"/>
      <c r="AK502" s="50"/>
      <c r="AL502" s="50"/>
      <c r="AM502" s="11"/>
      <c r="AN502" s="50"/>
      <c r="AO502" s="50"/>
      <c r="AP502" s="50"/>
      <c r="AQ502" s="11"/>
      <c r="AR502" s="50"/>
      <c r="AS502" s="50"/>
      <c r="AT502" s="50"/>
      <c r="AU502" s="11"/>
      <c r="AV502" s="50"/>
      <c r="AW502" s="50"/>
      <c r="AX502" s="50"/>
      <c r="AY502" s="50"/>
      <c r="AZ502" s="50"/>
      <c r="BA502" s="50"/>
      <c r="BB502" s="50"/>
      <c r="BC502" s="50"/>
      <c r="BD502" s="50"/>
      <c r="BE502" s="20"/>
      <c r="BF502" s="518"/>
      <c r="BG502" s="484"/>
      <c r="BH502" s="484"/>
      <c r="BI502" s="527"/>
      <c r="BJ502" s="484"/>
      <c r="BK502" s="484"/>
      <c r="BL502" s="484"/>
      <c r="BM502" s="484"/>
    </row>
    <row r="503" spans="1:65" s="22" customFormat="1" x14ac:dyDescent="0.25">
      <c r="A503" s="20"/>
      <c r="B503" s="515"/>
      <c r="C503" s="11"/>
      <c r="D503" s="11"/>
      <c r="E503" s="11"/>
      <c r="F503" s="21"/>
      <c r="G503" s="11"/>
      <c r="H503" s="50"/>
      <c r="I503" s="50"/>
      <c r="J503" s="50"/>
      <c r="K503" s="11"/>
      <c r="L503" s="50"/>
      <c r="M503" s="50"/>
      <c r="N503" s="50"/>
      <c r="O503" s="50"/>
      <c r="P503" s="50"/>
      <c r="Q503" s="11"/>
      <c r="R503" s="50"/>
      <c r="S503" s="50"/>
      <c r="T503" s="50"/>
      <c r="U503" s="11"/>
      <c r="V503" s="50"/>
      <c r="W503" s="50"/>
      <c r="X503" s="50"/>
      <c r="Y503" s="50"/>
      <c r="Z503" s="50"/>
      <c r="AA503" s="11"/>
      <c r="AB503" s="50"/>
      <c r="AC503" s="50"/>
      <c r="AD503" s="50"/>
      <c r="AE503" s="11"/>
      <c r="AF503" s="50"/>
      <c r="AG503" s="50"/>
      <c r="AH503" s="50"/>
      <c r="AI503" s="11"/>
      <c r="AJ503" s="50"/>
      <c r="AK503" s="50"/>
      <c r="AL503" s="50"/>
      <c r="AM503" s="11"/>
      <c r="AN503" s="50"/>
      <c r="AO503" s="50"/>
      <c r="AP503" s="50"/>
      <c r="AQ503" s="11"/>
      <c r="AR503" s="50"/>
      <c r="AS503" s="50"/>
      <c r="AT503" s="50"/>
      <c r="AU503" s="11"/>
      <c r="AV503" s="50"/>
      <c r="AW503" s="50"/>
      <c r="AX503" s="50"/>
      <c r="AY503" s="50"/>
      <c r="AZ503" s="50"/>
      <c r="BA503" s="50"/>
      <c r="BB503" s="50"/>
      <c r="BC503" s="50"/>
      <c r="BD503" s="50"/>
      <c r="BE503" s="20"/>
      <c r="BF503" s="518"/>
      <c r="BG503" s="484"/>
      <c r="BH503" s="484"/>
      <c r="BI503" s="527"/>
      <c r="BJ503" s="484"/>
      <c r="BK503" s="484"/>
      <c r="BL503" s="484"/>
      <c r="BM503" s="484"/>
    </row>
    <row r="504" spans="1:65" s="22" customFormat="1" x14ac:dyDescent="0.25">
      <c r="A504" s="20"/>
      <c r="B504" s="515"/>
      <c r="C504" s="11"/>
      <c r="D504" s="11"/>
      <c r="E504" s="11"/>
      <c r="F504" s="21"/>
      <c r="G504" s="11"/>
      <c r="H504" s="50"/>
      <c r="I504" s="50"/>
      <c r="J504" s="50"/>
      <c r="K504" s="11"/>
      <c r="L504" s="50"/>
      <c r="M504" s="50"/>
      <c r="N504" s="50"/>
      <c r="O504" s="50"/>
      <c r="P504" s="50"/>
      <c r="Q504" s="11"/>
      <c r="R504" s="50"/>
      <c r="S504" s="50"/>
      <c r="T504" s="50"/>
      <c r="U504" s="11"/>
      <c r="V504" s="50"/>
      <c r="W504" s="50"/>
      <c r="X504" s="50"/>
      <c r="Y504" s="50"/>
      <c r="Z504" s="50"/>
      <c r="AA504" s="11"/>
      <c r="AB504" s="50"/>
      <c r="AC504" s="50"/>
      <c r="AD504" s="50"/>
      <c r="AE504" s="11"/>
      <c r="AF504" s="50"/>
      <c r="AG504" s="50"/>
      <c r="AH504" s="50"/>
      <c r="AI504" s="11"/>
      <c r="AJ504" s="50"/>
      <c r="AK504" s="50"/>
      <c r="AL504" s="50"/>
      <c r="AM504" s="11"/>
      <c r="AN504" s="50"/>
      <c r="AO504" s="50"/>
      <c r="AP504" s="50"/>
      <c r="AQ504" s="11"/>
      <c r="AR504" s="50"/>
      <c r="AS504" s="50"/>
      <c r="AT504" s="50"/>
      <c r="AU504" s="11"/>
      <c r="AV504" s="50"/>
      <c r="AW504" s="50"/>
      <c r="AX504" s="50"/>
      <c r="AY504" s="50"/>
      <c r="AZ504" s="50"/>
      <c r="BA504" s="50"/>
      <c r="BB504" s="50"/>
      <c r="BC504" s="50"/>
      <c r="BD504" s="50"/>
      <c r="BE504" s="20"/>
      <c r="BF504" s="518"/>
      <c r="BG504" s="484"/>
      <c r="BH504" s="484"/>
      <c r="BI504" s="527"/>
      <c r="BJ504" s="484"/>
      <c r="BK504" s="484"/>
      <c r="BL504" s="484"/>
      <c r="BM504" s="484"/>
    </row>
    <row r="505" spans="1:65" s="22" customFormat="1" x14ac:dyDescent="0.25">
      <c r="A505" s="20"/>
      <c r="B505" s="515"/>
      <c r="C505" s="11"/>
      <c r="D505" s="11"/>
      <c r="E505" s="11"/>
      <c r="F505" s="21"/>
      <c r="G505" s="11"/>
      <c r="H505" s="50"/>
      <c r="I505" s="50"/>
      <c r="J505" s="50"/>
      <c r="K505" s="11"/>
      <c r="L505" s="50"/>
      <c r="M505" s="50"/>
      <c r="N505" s="50"/>
      <c r="O505" s="50"/>
      <c r="P505" s="50"/>
      <c r="Q505" s="11"/>
      <c r="R505" s="50"/>
      <c r="S505" s="50"/>
      <c r="T505" s="50"/>
      <c r="U505" s="11"/>
      <c r="V505" s="50"/>
      <c r="W505" s="50"/>
      <c r="X505" s="50"/>
      <c r="Y505" s="50"/>
      <c r="Z505" s="50"/>
      <c r="AA505" s="11"/>
      <c r="AB505" s="50"/>
      <c r="AC505" s="50"/>
      <c r="AD505" s="50"/>
      <c r="AE505" s="11"/>
      <c r="AF505" s="50"/>
      <c r="AG505" s="50"/>
      <c r="AH505" s="50"/>
      <c r="AI505" s="11"/>
      <c r="AJ505" s="50"/>
      <c r="AK505" s="50"/>
      <c r="AL505" s="50"/>
      <c r="AM505" s="11"/>
      <c r="AN505" s="50"/>
      <c r="AO505" s="50"/>
      <c r="AP505" s="50"/>
      <c r="AQ505" s="11"/>
      <c r="AR505" s="50"/>
      <c r="AS505" s="50"/>
      <c r="AT505" s="50"/>
      <c r="AU505" s="11"/>
      <c r="AV505" s="50"/>
      <c r="AW505" s="50"/>
      <c r="AX505" s="50"/>
      <c r="AY505" s="50"/>
      <c r="AZ505" s="50"/>
      <c r="BA505" s="50"/>
      <c r="BB505" s="50"/>
      <c r="BC505" s="50"/>
      <c r="BD505" s="50"/>
      <c r="BE505" s="20"/>
      <c r="BF505" s="518"/>
      <c r="BG505" s="484"/>
      <c r="BH505" s="484"/>
      <c r="BI505" s="527"/>
      <c r="BJ505" s="484"/>
      <c r="BK505" s="484"/>
      <c r="BL505" s="484"/>
      <c r="BM505" s="484"/>
    </row>
    <row r="506" spans="1:65" s="22" customFormat="1" x14ac:dyDescent="0.25">
      <c r="A506" s="20"/>
      <c r="B506" s="515"/>
      <c r="C506" s="11"/>
      <c r="D506" s="11"/>
      <c r="E506" s="11"/>
      <c r="F506" s="21"/>
      <c r="G506" s="11"/>
      <c r="H506" s="50"/>
      <c r="I506" s="50"/>
      <c r="J506" s="50"/>
      <c r="K506" s="11"/>
      <c r="L506" s="50"/>
      <c r="M506" s="50"/>
      <c r="N506" s="50"/>
      <c r="O506" s="50"/>
      <c r="P506" s="50"/>
      <c r="Q506" s="11"/>
      <c r="R506" s="50"/>
      <c r="S506" s="50"/>
      <c r="T506" s="50"/>
      <c r="U506" s="11"/>
      <c r="V506" s="50"/>
      <c r="W506" s="50"/>
      <c r="X506" s="50"/>
      <c r="Y506" s="50"/>
      <c r="Z506" s="50"/>
      <c r="AA506" s="11"/>
      <c r="AB506" s="50"/>
      <c r="AC506" s="50"/>
      <c r="AD506" s="50"/>
      <c r="AE506" s="11"/>
      <c r="AF506" s="50"/>
      <c r="AG506" s="50"/>
      <c r="AH506" s="50"/>
      <c r="AI506" s="11"/>
      <c r="AJ506" s="50"/>
      <c r="AK506" s="50"/>
      <c r="AL506" s="50"/>
      <c r="AM506" s="11"/>
      <c r="AN506" s="50"/>
      <c r="AO506" s="50"/>
      <c r="AP506" s="50"/>
      <c r="AQ506" s="11"/>
      <c r="AR506" s="50"/>
      <c r="AS506" s="50"/>
      <c r="AT506" s="50"/>
      <c r="AU506" s="11"/>
      <c r="AV506" s="50"/>
      <c r="AW506" s="50"/>
      <c r="AX506" s="50"/>
      <c r="AY506" s="50"/>
      <c r="AZ506" s="50"/>
      <c r="BA506" s="50"/>
      <c r="BB506" s="50"/>
      <c r="BC506" s="50"/>
      <c r="BD506" s="50"/>
      <c r="BE506" s="20"/>
      <c r="BF506" s="518"/>
      <c r="BG506" s="484"/>
      <c r="BH506" s="484"/>
      <c r="BI506" s="527"/>
      <c r="BJ506" s="484"/>
      <c r="BK506" s="484"/>
      <c r="BL506" s="484"/>
      <c r="BM506" s="484"/>
    </row>
    <row r="507" spans="1:65" s="22" customFormat="1" x14ac:dyDescent="0.25">
      <c r="A507" s="20"/>
      <c r="B507" s="515"/>
      <c r="C507" s="11"/>
      <c r="D507" s="11"/>
      <c r="E507" s="11"/>
      <c r="F507" s="21"/>
      <c r="G507" s="11"/>
      <c r="H507" s="50"/>
      <c r="I507" s="50"/>
      <c r="J507" s="50"/>
      <c r="K507" s="11"/>
      <c r="L507" s="50"/>
      <c r="M507" s="50"/>
      <c r="N507" s="50"/>
      <c r="O507" s="50"/>
      <c r="P507" s="50"/>
      <c r="Q507" s="11"/>
      <c r="R507" s="50"/>
      <c r="S507" s="50"/>
      <c r="T507" s="50"/>
      <c r="U507" s="11"/>
      <c r="V507" s="50"/>
      <c r="W507" s="50"/>
      <c r="X507" s="50"/>
      <c r="Y507" s="50"/>
      <c r="Z507" s="50"/>
      <c r="AA507" s="11"/>
      <c r="AB507" s="50"/>
      <c r="AC507" s="50"/>
      <c r="AD507" s="50"/>
      <c r="AE507" s="11"/>
      <c r="AF507" s="50"/>
      <c r="AG507" s="50"/>
      <c r="AH507" s="50"/>
      <c r="AI507" s="11"/>
      <c r="AJ507" s="50"/>
      <c r="AK507" s="50"/>
      <c r="AL507" s="50"/>
      <c r="AM507" s="11"/>
      <c r="AN507" s="50"/>
      <c r="AO507" s="50"/>
      <c r="AP507" s="50"/>
      <c r="AQ507" s="11"/>
      <c r="AR507" s="50"/>
      <c r="AS507" s="50"/>
      <c r="AT507" s="50"/>
      <c r="AU507" s="11"/>
      <c r="AV507" s="50"/>
      <c r="AW507" s="50"/>
      <c r="AX507" s="50"/>
      <c r="AY507" s="50"/>
      <c r="AZ507" s="50"/>
      <c r="BA507" s="50"/>
      <c r="BB507" s="50"/>
      <c r="BC507" s="50"/>
      <c r="BD507" s="50"/>
      <c r="BE507" s="20"/>
      <c r="BF507" s="518"/>
      <c r="BG507" s="484"/>
      <c r="BH507" s="484"/>
      <c r="BI507" s="527"/>
      <c r="BJ507" s="484"/>
      <c r="BK507" s="484"/>
      <c r="BL507" s="484"/>
      <c r="BM507" s="484"/>
    </row>
    <row r="508" spans="1:65" s="22" customFormat="1" x14ac:dyDescent="0.25">
      <c r="A508" s="20"/>
      <c r="B508" s="515"/>
      <c r="C508" s="11"/>
      <c r="D508" s="11"/>
      <c r="E508" s="11"/>
      <c r="F508" s="21"/>
      <c r="G508" s="11"/>
      <c r="H508" s="50"/>
      <c r="I508" s="50"/>
      <c r="J508" s="50"/>
      <c r="K508" s="11"/>
      <c r="L508" s="50"/>
      <c r="M508" s="50"/>
      <c r="N508" s="50"/>
      <c r="O508" s="50"/>
      <c r="P508" s="50"/>
      <c r="Q508" s="11"/>
      <c r="R508" s="50"/>
      <c r="S508" s="50"/>
      <c r="T508" s="50"/>
      <c r="U508" s="11"/>
      <c r="V508" s="50"/>
      <c r="W508" s="50"/>
      <c r="X508" s="50"/>
      <c r="Y508" s="50"/>
      <c r="Z508" s="50"/>
      <c r="AA508" s="11"/>
      <c r="AB508" s="50"/>
      <c r="AC508" s="50"/>
      <c r="AD508" s="50"/>
      <c r="AE508" s="11"/>
      <c r="AF508" s="50"/>
      <c r="AG508" s="50"/>
      <c r="AH508" s="50"/>
      <c r="AI508" s="11"/>
      <c r="AJ508" s="50"/>
      <c r="AK508" s="50"/>
      <c r="AL508" s="50"/>
      <c r="AM508" s="11"/>
      <c r="AN508" s="50"/>
      <c r="AO508" s="50"/>
      <c r="AP508" s="50"/>
      <c r="AQ508" s="11"/>
      <c r="AR508" s="50"/>
      <c r="AS508" s="50"/>
      <c r="AT508" s="50"/>
      <c r="AU508" s="11"/>
      <c r="AV508" s="50"/>
      <c r="AW508" s="50"/>
      <c r="AX508" s="50"/>
      <c r="AY508" s="50"/>
      <c r="AZ508" s="50"/>
      <c r="BA508" s="50"/>
      <c r="BB508" s="50"/>
      <c r="BC508" s="50"/>
      <c r="BD508" s="50"/>
      <c r="BE508" s="20"/>
      <c r="BF508" s="518"/>
      <c r="BG508" s="484"/>
      <c r="BH508" s="484"/>
      <c r="BI508" s="527"/>
      <c r="BJ508" s="484"/>
      <c r="BK508" s="484"/>
      <c r="BL508" s="484"/>
      <c r="BM508" s="484"/>
    </row>
    <row r="509" spans="1:65" s="22" customFormat="1" x14ac:dyDescent="0.25">
      <c r="A509" s="20"/>
      <c r="B509" s="515"/>
      <c r="C509" s="11"/>
      <c r="D509" s="11"/>
      <c r="E509" s="11"/>
      <c r="F509" s="21"/>
      <c r="G509" s="11"/>
      <c r="H509" s="50"/>
      <c r="I509" s="50"/>
      <c r="J509" s="50"/>
      <c r="K509" s="11"/>
      <c r="L509" s="50"/>
      <c r="M509" s="50"/>
      <c r="N509" s="50"/>
      <c r="O509" s="50"/>
      <c r="P509" s="50"/>
      <c r="Q509" s="11"/>
      <c r="R509" s="50"/>
      <c r="S509" s="50"/>
      <c r="T509" s="50"/>
      <c r="U509" s="11"/>
      <c r="V509" s="50"/>
      <c r="W509" s="50"/>
      <c r="X509" s="50"/>
      <c r="Y509" s="50"/>
      <c r="Z509" s="50"/>
      <c r="AA509" s="11"/>
      <c r="AB509" s="50"/>
      <c r="AC509" s="50"/>
      <c r="AD509" s="50"/>
      <c r="AE509" s="11"/>
      <c r="AF509" s="50"/>
      <c r="AG509" s="50"/>
      <c r="AH509" s="50"/>
      <c r="AI509" s="11"/>
      <c r="AJ509" s="50"/>
      <c r="AK509" s="50"/>
      <c r="AL509" s="50"/>
      <c r="AM509" s="11"/>
      <c r="AN509" s="50"/>
      <c r="AO509" s="50"/>
      <c r="AP509" s="50"/>
      <c r="AQ509" s="11"/>
      <c r="AR509" s="50"/>
      <c r="AS509" s="50"/>
      <c r="AT509" s="50"/>
      <c r="AU509" s="11"/>
      <c r="AV509" s="50"/>
      <c r="AW509" s="50"/>
      <c r="AX509" s="50"/>
      <c r="AY509" s="50"/>
      <c r="AZ509" s="50"/>
      <c r="BA509" s="50"/>
      <c r="BB509" s="50"/>
      <c r="BC509" s="50"/>
      <c r="BD509" s="50"/>
      <c r="BE509" s="20"/>
      <c r="BF509" s="518"/>
      <c r="BG509" s="484"/>
      <c r="BH509" s="484"/>
      <c r="BI509" s="527"/>
      <c r="BJ509" s="484"/>
      <c r="BK509" s="484"/>
      <c r="BL509" s="484"/>
      <c r="BM509" s="484"/>
    </row>
    <row r="510" spans="1:65" s="22" customFormat="1" x14ac:dyDescent="0.25">
      <c r="A510" s="20"/>
      <c r="B510" s="515"/>
      <c r="C510" s="11"/>
      <c r="D510" s="11"/>
      <c r="E510" s="11"/>
      <c r="F510" s="21"/>
      <c r="G510" s="11"/>
      <c r="H510" s="50"/>
      <c r="I510" s="50"/>
      <c r="J510" s="50"/>
      <c r="K510" s="11"/>
      <c r="L510" s="50"/>
      <c r="M510" s="50"/>
      <c r="N510" s="50"/>
      <c r="O510" s="50"/>
      <c r="P510" s="50"/>
      <c r="Q510" s="11"/>
      <c r="R510" s="50"/>
      <c r="S510" s="50"/>
      <c r="T510" s="50"/>
      <c r="U510" s="11"/>
      <c r="V510" s="50"/>
      <c r="W510" s="50"/>
      <c r="X510" s="50"/>
      <c r="Y510" s="50"/>
      <c r="Z510" s="50"/>
      <c r="AA510" s="11"/>
      <c r="AB510" s="50"/>
      <c r="AC510" s="50"/>
      <c r="AD510" s="50"/>
      <c r="AE510" s="11"/>
      <c r="AF510" s="50"/>
      <c r="AG510" s="50"/>
      <c r="AH510" s="50"/>
      <c r="AI510" s="11"/>
      <c r="AJ510" s="50"/>
      <c r="AK510" s="50"/>
      <c r="AL510" s="50"/>
      <c r="AM510" s="11"/>
      <c r="AN510" s="50"/>
      <c r="AO510" s="50"/>
      <c r="AP510" s="50"/>
      <c r="AQ510" s="11"/>
      <c r="AR510" s="50"/>
      <c r="AS510" s="50"/>
      <c r="AT510" s="50"/>
      <c r="AU510" s="11"/>
      <c r="AV510" s="50"/>
      <c r="AW510" s="50"/>
      <c r="AX510" s="50"/>
      <c r="AY510" s="50"/>
      <c r="AZ510" s="50"/>
      <c r="BA510" s="50"/>
      <c r="BB510" s="50"/>
      <c r="BC510" s="50"/>
      <c r="BD510" s="50"/>
      <c r="BE510" s="20"/>
      <c r="BF510" s="518"/>
      <c r="BG510" s="484"/>
      <c r="BH510" s="484"/>
      <c r="BI510" s="527"/>
      <c r="BJ510" s="484"/>
      <c r="BK510" s="484"/>
      <c r="BL510" s="484"/>
      <c r="BM510" s="484"/>
    </row>
    <row r="511" spans="1:65" s="22" customFormat="1" x14ac:dyDescent="0.25">
      <c r="A511" s="20"/>
      <c r="B511" s="515"/>
      <c r="C511" s="11"/>
      <c r="D511" s="11"/>
      <c r="E511" s="11"/>
      <c r="F511" s="21"/>
      <c r="G511" s="11"/>
      <c r="H511" s="50"/>
      <c r="I511" s="50"/>
      <c r="J511" s="50"/>
      <c r="K511" s="11"/>
      <c r="L511" s="50"/>
      <c r="M511" s="50"/>
      <c r="N511" s="50"/>
      <c r="O511" s="50"/>
      <c r="P511" s="50"/>
      <c r="Q511" s="11"/>
      <c r="R511" s="50"/>
      <c r="S511" s="50"/>
      <c r="T511" s="50"/>
      <c r="U511" s="11"/>
      <c r="V511" s="50"/>
      <c r="W511" s="50"/>
      <c r="X511" s="50"/>
      <c r="Y511" s="50"/>
      <c r="Z511" s="50"/>
      <c r="AA511" s="11"/>
      <c r="AB511" s="50"/>
      <c r="AC511" s="50"/>
      <c r="AD511" s="50"/>
      <c r="AE511" s="11"/>
      <c r="AF511" s="50"/>
      <c r="AG511" s="50"/>
      <c r="AH511" s="50"/>
      <c r="AI511" s="11"/>
      <c r="AJ511" s="50"/>
      <c r="AK511" s="50"/>
      <c r="AL511" s="50"/>
      <c r="AM511" s="11"/>
      <c r="AN511" s="50"/>
      <c r="AO511" s="50"/>
      <c r="AP511" s="50"/>
      <c r="AQ511" s="11"/>
      <c r="AR511" s="50"/>
      <c r="AS511" s="50"/>
      <c r="AT511" s="50"/>
      <c r="AU511" s="11"/>
      <c r="AV511" s="50"/>
      <c r="AW511" s="50"/>
      <c r="AX511" s="50"/>
      <c r="AY511" s="50"/>
      <c r="AZ511" s="50"/>
      <c r="BA511" s="50"/>
      <c r="BB511" s="50"/>
      <c r="BC511" s="50"/>
      <c r="BD511" s="50"/>
      <c r="BE511" s="20"/>
      <c r="BF511" s="518"/>
      <c r="BG511" s="484"/>
      <c r="BH511" s="484"/>
      <c r="BI511" s="527"/>
      <c r="BJ511" s="484"/>
      <c r="BK511" s="484"/>
      <c r="BL511" s="484"/>
      <c r="BM511" s="484"/>
    </row>
    <row r="512" spans="1:65" s="22" customFormat="1" x14ac:dyDescent="0.25">
      <c r="A512" s="20"/>
      <c r="B512" s="515"/>
      <c r="C512" s="11"/>
      <c r="D512" s="11"/>
      <c r="E512" s="11"/>
      <c r="F512" s="21"/>
      <c r="G512" s="11"/>
      <c r="H512" s="50"/>
      <c r="I512" s="50"/>
      <c r="J512" s="50"/>
      <c r="K512" s="11"/>
      <c r="L512" s="50"/>
      <c r="M512" s="50"/>
      <c r="N512" s="50"/>
      <c r="O512" s="50"/>
      <c r="P512" s="50"/>
      <c r="Q512" s="11"/>
      <c r="R512" s="50"/>
      <c r="S512" s="50"/>
      <c r="T512" s="50"/>
      <c r="U512" s="11"/>
      <c r="V512" s="50"/>
      <c r="W512" s="50"/>
      <c r="X512" s="50"/>
      <c r="Y512" s="50"/>
      <c r="Z512" s="50"/>
      <c r="AA512" s="11"/>
      <c r="AB512" s="50"/>
      <c r="AC512" s="50"/>
      <c r="AD512" s="50"/>
      <c r="AE512" s="11"/>
      <c r="AF512" s="50"/>
      <c r="AG512" s="50"/>
      <c r="AH512" s="50"/>
      <c r="AI512" s="11"/>
      <c r="AJ512" s="50"/>
      <c r="AK512" s="50"/>
      <c r="AL512" s="50"/>
      <c r="AM512" s="11"/>
      <c r="AN512" s="50"/>
      <c r="AO512" s="50"/>
      <c r="AP512" s="50"/>
      <c r="AQ512" s="11"/>
      <c r="AR512" s="50"/>
      <c r="AS512" s="50"/>
      <c r="AT512" s="50"/>
      <c r="AU512" s="11"/>
      <c r="AV512" s="50"/>
      <c r="AW512" s="50"/>
      <c r="AX512" s="50"/>
      <c r="AY512" s="50"/>
      <c r="AZ512" s="50"/>
      <c r="BA512" s="50"/>
      <c r="BB512" s="50"/>
      <c r="BC512" s="50"/>
      <c r="BD512" s="50"/>
      <c r="BE512" s="20"/>
      <c r="BF512" s="518"/>
      <c r="BG512" s="484"/>
      <c r="BH512" s="484"/>
      <c r="BI512" s="527"/>
      <c r="BJ512" s="484"/>
      <c r="BK512" s="484"/>
      <c r="BL512" s="484"/>
      <c r="BM512" s="484"/>
    </row>
    <row r="513" spans="1:65" s="22" customFormat="1" x14ac:dyDescent="0.25">
      <c r="A513" s="20"/>
      <c r="B513" s="515"/>
      <c r="C513" s="11"/>
      <c r="D513" s="11"/>
      <c r="E513" s="11"/>
      <c r="F513" s="21"/>
      <c r="G513" s="11"/>
      <c r="H513" s="50"/>
      <c r="I513" s="50"/>
      <c r="J513" s="50"/>
      <c r="K513" s="11"/>
      <c r="L513" s="50"/>
      <c r="M513" s="50"/>
      <c r="N513" s="50"/>
      <c r="O513" s="50"/>
      <c r="P513" s="50"/>
      <c r="Q513" s="11"/>
      <c r="R513" s="50"/>
      <c r="S513" s="50"/>
      <c r="T513" s="50"/>
      <c r="U513" s="11"/>
      <c r="V513" s="50"/>
      <c r="W513" s="50"/>
      <c r="X513" s="50"/>
      <c r="Y513" s="50"/>
      <c r="Z513" s="50"/>
      <c r="AA513" s="11"/>
      <c r="AB513" s="50"/>
      <c r="AC513" s="50"/>
      <c r="AD513" s="50"/>
      <c r="AE513" s="11"/>
      <c r="AF513" s="50"/>
      <c r="AG513" s="50"/>
      <c r="AH513" s="50"/>
      <c r="AI513" s="11"/>
      <c r="AJ513" s="50"/>
      <c r="AK513" s="50"/>
      <c r="AL513" s="50"/>
      <c r="AM513" s="11"/>
      <c r="AN513" s="50"/>
      <c r="AO513" s="50"/>
      <c r="AP513" s="50"/>
      <c r="AQ513" s="11"/>
      <c r="AR513" s="50"/>
      <c r="AS513" s="50"/>
      <c r="AT513" s="50"/>
      <c r="AU513" s="11"/>
      <c r="AV513" s="50"/>
      <c r="AW513" s="50"/>
      <c r="AX513" s="50"/>
      <c r="AY513" s="50"/>
      <c r="AZ513" s="50"/>
      <c r="BA513" s="50"/>
      <c r="BB513" s="50"/>
      <c r="BC513" s="50"/>
      <c r="BD513" s="50"/>
      <c r="BE513" s="20"/>
      <c r="BF513" s="518"/>
      <c r="BG513" s="484"/>
      <c r="BH513" s="484"/>
      <c r="BI513" s="527"/>
      <c r="BJ513" s="484"/>
      <c r="BK513" s="484"/>
      <c r="BL513" s="484"/>
      <c r="BM513" s="484"/>
    </row>
    <row r="514" spans="1:65" s="22" customFormat="1" x14ac:dyDescent="0.25">
      <c r="A514" s="20"/>
      <c r="B514" s="515"/>
      <c r="C514" s="11"/>
      <c r="D514" s="11"/>
      <c r="E514" s="11"/>
      <c r="F514" s="21"/>
      <c r="G514" s="11"/>
      <c r="H514" s="50"/>
      <c r="I514" s="50"/>
      <c r="J514" s="50"/>
      <c r="K514" s="11"/>
      <c r="L514" s="50"/>
      <c r="M514" s="50"/>
      <c r="N514" s="50"/>
      <c r="O514" s="50"/>
      <c r="P514" s="50"/>
      <c r="Q514" s="11"/>
      <c r="R514" s="50"/>
      <c r="S514" s="50"/>
      <c r="T514" s="50"/>
      <c r="U514" s="11"/>
      <c r="V514" s="50"/>
      <c r="W514" s="50"/>
      <c r="X514" s="50"/>
      <c r="Y514" s="50"/>
      <c r="Z514" s="50"/>
      <c r="AA514" s="11"/>
      <c r="AB514" s="50"/>
      <c r="AC514" s="50"/>
      <c r="AD514" s="50"/>
      <c r="AE514" s="11"/>
      <c r="AF514" s="50"/>
      <c r="AG514" s="50"/>
      <c r="AH514" s="50"/>
      <c r="AI514" s="11"/>
      <c r="AJ514" s="50"/>
      <c r="AK514" s="50"/>
      <c r="AL514" s="50"/>
      <c r="AM514" s="11"/>
      <c r="AN514" s="50"/>
      <c r="AO514" s="50"/>
      <c r="AP514" s="50"/>
      <c r="AQ514" s="11"/>
      <c r="AR514" s="50"/>
      <c r="AS514" s="50"/>
      <c r="AT514" s="50"/>
      <c r="AU514" s="11"/>
      <c r="AV514" s="50"/>
      <c r="AW514" s="50"/>
      <c r="AX514" s="50"/>
      <c r="AY514" s="50"/>
      <c r="AZ514" s="50"/>
      <c r="BA514" s="50"/>
      <c r="BB514" s="50"/>
      <c r="BC514" s="50"/>
      <c r="BD514" s="50"/>
      <c r="BE514" s="20"/>
      <c r="BF514" s="518"/>
      <c r="BG514" s="484"/>
      <c r="BH514" s="484"/>
      <c r="BI514" s="527"/>
      <c r="BJ514" s="484"/>
      <c r="BK514" s="484"/>
      <c r="BL514" s="484"/>
      <c r="BM514" s="484"/>
    </row>
    <row r="515" spans="1:65" s="22" customFormat="1" x14ac:dyDescent="0.25">
      <c r="A515" s="20"/>
      <c r="B515" s="515"/>
      <c r="C515" s="11"/>
      <c r="D515" s="11"/>
      <c r="E515" s="11"/>
      <c r="F515" s="21"/>
      <c r="G515" s="11"/>
      <c r="H515" s="50"/>
      <c r="I515" s="50"/>
      <c r="J515" s="50"/>
      <c r="K515" s="11"/>
      <c r="L515" s="50"/>
      <c r="M515" s="50"/>
      <c r="N515" s="50"/>
      <c r="O515" s="50"/>
      <c r="P515" s="50"/>
      <c r="Q515" s="11"/>
      <c r="R515" s="50"/>
      <c r="S515" s="50"/>
      <c r="T515" s="50"/>
      <c r="U515" s="11"/>
      <c r="V515" s="50"/>
      <c r="W515" s="50"/>
      <c r="X515" s="50"/>
      <c r="Y515" s="50"/>
      <c r="Z515" s="50"/>
      <c r="AA515" s="11"/>
      <c r="AB515" s="50"/>
      <c r="AC515" s="50"/>
      <c r="AD515" s="50"/>
      <c r="AE515" s="11"/>
      <c r="AF515" s="50"/>
      <c r="AG515" s="50"/>
      <c r="AH515" s="50"/>
      <c r="AI515" s="11"/>
      <c r="AJ515" s="50"/>
      <c r="AK515" s="50"/>
      <c r="AL515" s="50"/>
      <c r="AM515" s="11"/>
      <c r="AN515" s="50"/>
      <c r="AO515" s="50"/>
      <c r="AP515" s="50"/>
      <c r="AQ515" s="11"/>
      <c r="AR515" s="50"/>
      <c r="AS515" s="50"/>
      <c r="AT515" s="50"/>
      <c r="AU515" s="11"/>
      <c r="AV515" s="50"/>
      <c r="AW515" s="50"/>
      <c r="AX515" s="50"/>
      <c r="AY515" s="50"/>
      <c r="AZ515" s="50"/>
      <c r="BA515" s="50"/>
      <c r="BB515" s="50"/>
      <c r="BC515" s="50"/>
      <c r="BD515" s="50"/>
      <c r="BE515" s="20"/>
      <c r="BF515" s="518"/>
      <c r="BG515" s="484"/>
      <c r="BH515" s="484"/>
      <c r="BI515" s="527"/>
      <c r="BJ515" s="484"/>
      <c r="BK515" s="484"/>
      <c r="BL515" s="484"/>
      <c r="BM515" s="484"/>
    </row>
    <row r="516" spans="1:65" s="22" customFormat="1" x14ac:dyDescent="0.25">
      <c r="A516" s="20"/>
      <c r="B516" s="515"/>
      <c r="C516" s="11"/>
      <c r="D516" s="11"/>
      <c r="E516" s="11"/>
      <c r="F516" s="21"/>
      <c r="G516" s="11"/>
      <c r="H516" s="50"/>
      <c r="I516" s="50"/>
      <c r="J516" s="50"/>
      <c r="K516" s="11"/>
      <c r="L516" s="50"/>
      <c r="M516" s="50"/>
      <c r="N516" s="50"/>
      <c r="O516" s="50"/>
      <c r="P516" s="50"/>
      <c r="Q516" s="11"/>
      <c r="R516" s="50"/>
      <c r="S516" s="50"/>
      <c r="T516" s="50"/>
      <c r="U516" s="11"/>
      <c r="V516" s="50"/>
      <c r="W516" s="50"/>
      <c r="X516" s="50"/>
      <c r="Y516" s="50"/>
      <c r="Z516" s="50"/>
      <c r="AA516" s="11"/>
      <c r="AB516" s="50"/>
      <c r="AC516" s="50"/>
      <c r="AD516" s="50"/>
      <c r="AE516" s="11"/>
      <c r="AF516" s="50"/>
      <c r="AG516" s="50"/>
      <c r="AH516" s="50"/>
      <c r="AI516" s="11"/>
      <c r="AJ516" s="50"/>
      <c r="AK516" s="50"/>
      <c r="AL516" s="50"/>
      <c r="AM516" s="11"/>
      <c r="AN516" s="50"/>
      <c r="AO516" s="50"/>
      <c r="AP516" s="50"/>
      <c r="AQ516" s="11"/>
      <c r="AR516" s="50"/>
      <c r="AS516" s="50"/>
      <c r="AT516" s="50"/>
      <c r="AU516" s="11"/>
      <c r="AV516" s="50"/>
      <c r="AW516" s="50"/>
      <c r="AX516" s="50"/>
      <c r="AY516" s="50"/>
      <c r="AZ516" s="50"/>
      <c r="BA516" s="50"/>
      <c r="BB516" s="50"/>
      <c r="BC516" s="50"/>
      <c r="BD516" s="50"/>
      <c r="BE516" s="20"/>
      <c r="BF516" s="518"/>
      <c r="BG516" s="484"/>
      <c r="BH516" s="484"/>
      <c r="BI516" s="527"/>
      <c r="BJ516" s="484"/>
      <c r="BK516" s="484"/>
      <c r="BL516" s="484"/>
      <c r="BM516" s="484"/>
    </row>
    <row r="517" spans="1:65" s="22" customFormat="1" x14ac:dyDescent="0.25">
      <c r="A517" s="20"/>
      <c r="B517" s="515"/>
      <c r="C517" s="11"/>
      <c r="D517" s="11"/>
      <c r="E517" s="11"/>
      <c r="F517" s="21"/>
      <c r="G517" s="11"/>
      <c r="H517" s="50"/>
      <c r="I517" s="50"/>
      <c r="J517" s="50"/>
      <c r="K517" s="11"/>
      <c r="L517" s="50"/>
      <c r="M517" s="50"/>
      <c r="N517" s="50"/>
      <c r="O517" s="50"/>
      <c r="P517" s="50"/>
      <c r="Q517" s="11"/>
      <c r="R517" s="50"/>
      <c r="S517" s="50"/>
      <c r="T517" s="50"/>
      <c r="U517" s="11"/>
      <c r="V517" s="50"/>
      <c r="W517" s="50"/>
      <c r="X517" s="50"/>
      <c r="Y517" s="50"/>
      <c r="Z517" s="50"/>
      <c r="AA517" s="11"/>
      <c r="AB517" s="50"/>
      <c r="AC517" s="50"/>
      <c r="AD517" s="50"/>
      <c r="AE517" s="11"/>
      <c r="AF517" s="50"/>
      <c r="AG517" s="50"/>
      <c r="AH517" s="50"/>
      <c r="AI517" s="11"/>
      <c r="AJ517" s="50"/>
      <c r="AK517" s="50"/>
      <c r="AL517" s="50"/>
      <c r="AM517" s="11"/>
      <c r="AN517" s="50"/>
      <c r="AO517" s="50"/>
      <c r="AP517" s="50"/>
      <c r="AQ517" s="11"/>
      <c r="AR517" s="50"/>
      <c r="AS517" s="50"/>
      <c r="AT517" s="50"/>
      <c r="AU517" s="11"/>
      <c r="AV517" s="50"/>
      <c r="AW517" s="50"/>
      <c r="AX517" s="50"/>
      <c r="AY517" s="50"/>
      <c r="AZ517" s="50"/>
      <c r="BA517" s="50"/>
      <c r="BB517" s="50"/>
      <c r="BC517" s="50"/>
      <c r="BD517" s="50"/>
      <c r="BE517" s="20"/>
      <c r="BF517" s="518"/>
      <c r="BG517" s="484"/>
      <c r="BH517" s="484"/>
      <c r="BI517" s="527"/>
      <c r="BJ517" s="484"/>
      <c r="BK517" s="484"/>
      <c r="BL517" s="484"/>
      <c r="BM517" s="484"/>
    </row>
    <row r="518" spans="1:65" s="22" customFormat="1" x14ac:dyDescent="0.25">
      <c r="A518" s="20"/>
      <c r="B518" s="515"/>
      <c r="C518" s="11"/>
      <c r="D518" s="11"/>
      <c r="E518" s="11"/>
      <c r="F518" s="21"/>
      <c r="G518" s="11"/>
      <c r="H518" s="50"/>
      <c r="I518" s="50"/>
      <c r="J518" s="50"/>
      <c r="K518" s="11"/>
      <c r="L518" s="50"/>
      <c r="M518" s="50"/>
      <c r="N518" s="50"/>
      <c r="O518" s="50"/>
      <c r="P518" s="50"/>
      <c r="Q518" s="11"/>
      <c r="R518" s="50"/>
      <c r="S518" s="50"/>
      <c r="T518" s="50"/>
      <c r="U518" s="11"/>
      <c r="V518" s="50"/>
      <c r="W518" s="50"/>
      <c r="X518" s="50"/>
      <c r="Y518" s="50"/>
      <c r="Z518" s="50"/>
      <c r="AA518" s="11"/>
      <c r="AB518" s="50"/>
      <c r="AC518" s="50"/>
      <c r="AD518" s="50"/>
      <c r="AE518" s="11"/>
      <c r="AF518" s="50"/>
      <c r="AG518" s="50"/>
      <c r="AH518" s="50"/>
      <c r="AI518" s="11"/>
      <c r="AJ518" s="50"/>
      <c r="AK518" s="50"/>
      <c r="AL518" s="50"/>
      <c r="AM518" s="11"/>
      <c r="AN518" s="50"/>
      <c r="AO518" s="50"/>
      <c r="AP518" s="50"/>
      <c r="AQ518" s="11"/>
      <c r="AR518" s="50"/>
      <c r="AS518" s="50"/>
      <c r="AT518" s="50"/>
      <c r="AU518" s="11"/>
      <c r="AV518" s="50"/>
      <c r="AW518" s="50"/>
      <c r="AX518" s="50"/>
      <c r="AY518" s="50"/>
      <c r="AZ518" s="50"/>
      <c r="BA518" s="50"/>
      <c r="BB518" s="50"/>
      <c r="BC518" s="50"/>
      <c r="BD518" s="50"/>
      <c r="BE518" s="20"/>
      <c r="BF518" s="518"/>
      <c r="BG518" s="484"/>
      <c r="BH518" s="484"/>
      <c r="BI518" s="527"/>
      <c r="BJ518" s="484"/>
      <c r="BK518" s="484"/>
      <c r="BL518" s="484"/>
      <c r="BM518" s="484"/>
    </row>
    <row r="519" spans="1:65" s="22" customFormat="1" x14ac:dyDescent="0.25">
      <c r="A519" s="20"/>
      <c r="B519" s="515"/>
      <c r="C519" s="11"/>
      <c r="D519" s="11"/>
      <c r="E519" s="11"/>
      <c r="F519" s="21"/>
      <c r="G519" s="11"/>
      <c r="H519" s="50"/>
      <c r="I519" s="50"/>
      <c r="J519" s="50"/>
      <c r="K519" s="11"/>
      <c r="L519" s="50"/>
      <c r="M519" s="50"/>
      <c r="N519" s="50"/>
      <c r="O519" s="50"/>
      <c r="P519" s="50"/>
      <c r="Q519" s="11"/>
      <c r="R519" s="50"/>
      <c r="S519" s="50"/>
      <c r="T519" s="50"/>
      <c r="U519" s="11"/>
      <c r="V519" s="50"/>
      <c r="W519" s="50"/>
      <c r="X519" s="50"/>
      <c r="Y519" s="50"/>
      <c r="Z519" s="50"/>
      <c r="AA519" s="11"/>
      <c r="AB519" s="50"/>
      <c r="AC519" s="50"/>
      <c r="AD519" s="50"/>
      <c r="AE519" s="11"/>
      <c r="AF519" s="50"/>
      <c r="AG519" s="50"/>
      <c r="AH519" s="50"/>
      <c r="AI519" s="11"/>
      <c r="AJ519" s="50"/>
      <c r="AK519" s="50"/>
      <c r="AL519" s="50"/>
      <c r="AM519" s="11"/>
      <c r="AN519" s="50"/>
      <c r="AO519" s="50"/>
      <c r="AP519" s="50"/>
      <c r="AQ519" s="11"/>
      <c r="AR519" s="50"/>
      <c r="AS519" s="50"/>
      <c r="AT519" s="50"/>
      <c r="AU519" s="11"/>
      <c r="AV519" s="50"/>
      <c r="AW519" s="50"/>
      <c r="AX519" s="50"/>
      <c r="AY519" s="50"/>
      <c r="AZ519" s="50"/>
      <c r="BA519" s="50"/>
      <c r="BB519" s="50"/>
      <c r="BC519" s="50"/>
      <c r="BD519" s="50"/>
      <c r="BE519" s="20"/>
      <c r="BF519" s="518"/>
      <c r="BG519" s="484"/>
      <c r="BH519" s="484"/>
      <c r="BI519" s="527"/>
      <c r="BJ519" s="484"/>
      <c r="BK519" s="484"/>
      <c r="BL519" s="484"/>
      <c r="BM519" s="484"/>
    </row>
    <row r="520" spans="1:65" s="22" customFormat="1" x14ac:dyDescent="0.25">
      <c r="A520" s="20"/>
      <c r="B520" s="515"/>
      <c r="C520" s="11"/>
      <c r="D520" s="11"/>
      <c r="E520" s="11"/>
      <c r="F520" s="21"/>
      <c r="G520" s="11"/>
      <c r="H520" s="50"/>
      <c r="I520" s="50"/>
      <c r="J520" s="50"/>
      <c r="K520" s="11"/>
      <c r="L520" s="50"/>
      <c r="M520" s="50"/>
      <c r="N520" s="50"/>
      <c r="O520" s="50"/>
      <c r="P520" s="50"/>
      <c r="Q520" s="11"/>
      <c r="R520" s="50"/>
      <c r="S520" s="50"/>
      <c r="T520" s="50"/>
      <c r="U520" s="11"/>
      <c r="V520" s="50"/>
      <c r="W520" s="50"/>
      <c r="X520" s="50"/>
      <c r="Y520" s="50"/>
      <c r="Z520" s="50"/>
      <c r="AA520" s="11"/>
      <c r="AB520" s="50"/>
      <c r="AC520" s="50"/>
      <c r="AD520" s="50"/>
      <c r="AE520" s="11"/>
      <c r="AF520" s="50"/>
      <c r="AG520" s="50"/>
      <c r="AH520" s="50"/>
      <c r="AI520" s="11"/>
      <c r="AJ520" s="50"/>
      <c r="AK520" s="50"/>
      <c r="AL520" s="50"/>
      <c r="AM520" s="11"/>
      <c r="AN520" s="50"/>
      <c r="AO520" s="50"/>
      <c r="AP520" s="50"/>
      <c r="AQ520" s="11"/>
      <c r="AR520" s="50"/>
      <c r="AS520" s="50"/>
      <c r="AT520" s="50"/>
      <c r="AU520" s="11"/>
      <c r="AV520" s="50"/>
      <c r="AW520" s="50"/>
      <c r="AX520" s="50"/>
      <c r="AY520" s="50"/>
      <c r="AZ520" s="50"/>
      <c r="BA520" s="50"/>
      <c r="BB520" s="50"/>
      <c r="BC520" s="50"/>
      <c r="BD520" s="50"/>
      <c r="BE520" s="20"/>
      <c r="BF520" s="518"/>
      <c r="BG520" s="484"/>
      <c r="BH520" s="484"/>
      <c r="BI520" s="527"/>
      <c r="BJ520" s="484"/>
      <c r="BK520" s="484"/>
      <c r="BL520" s="484"/>
      <c r="BM520" s="484"/>
    </row>
    <row r="521" spans="1:65" s="22" customFormat="1" x14ac:dyDescent="0.25">
      <c r="A521" s="20"/>
      <c r="B521" s="515"/>
      <c r="C521" s="11"/>
      <c r="D521" s="11"/>
      <c r="E521" s="11"/>
      <c r="F521" s="21"/>
      <c r="G521" s="11"/>
      <c r="H521" s="50"/>
      <c r="I521" s="50"/>
      <c r="J521" s="50"/>
      <c r="K521" s="11"/>
      <c r="L521" s="50"/>
      <c r="M521" s="50"/>
      <c r="N521" s="50"/>
      <c r="O521" s="50"/>
      <c r="P521" s="50"/>
      <c r="Q521" s="11"/>
      <c r="R521" s="50"/>
      <c r="S521" s="50"/>
      <c r="T521" s="50"/>
      <c r="U521" s="11"/>
      <c r="V521" s="50"/>
      <c r="W521" s="50"/>
      <c r="X521" s="50"/>
      <c r="Y521" s="50"/>
      <c r="Z521" s="50"/>
      <c r="AA521" s="11"/>
      <c r="AB521" s="50"/>
      <c r="AC521" s="50"/>
      <c r="AD521" s="50"/>
      <c r="AE521" s="11"/>
      <c r="AF521" s="50"/>
      <c r="AG521" s="50"/>
      <c r="AH521" s="50"/>
      <c r="AI521" s="11"/>
      <c r="AJ521" s="50"/>
      <c r="AK521" s="50"/>
      <c r="AL521" s="50"/>
      <c r="AM521" s="11"/>
      <c r="AN521" s="50"/>
      <c r="AO521" s="50"/>
      <c r="AP521" s="50"/>
      <c r="AQ521" s="11"/>
      <c r="AR521" s="50"/>
      <c r="AS521" s="50"/>
      <c r="AT521" s="50"/>
      <c r="AU521" s="11"/>
      <c r="AV521" s="50"/>
      <c r="AW521" s="50"/>
      <c r="AX521" s="50"/>
      <c r="AY521" s="50"/>
      <c r="AZ521" s="50"/>
      <c r="BA521" s="50"/>
      <c r="BB521" s="50"/>
      <c r="BC521" s="50"/>
      <c r="BD521" s="50"/>
      <c r="BE521" s="20"/>
      <c r="BF521" s="518"/>
      <c r="BG521" s="484"/>
      <c r="BH521" s="484"/>
      <c r="BI521" s="527"/>
      <c r="BJ521" s="484"/>
      <c r="BK521" s="484"/>
      <c r="BL521" s="484"/>
      <c r="BM521" s="484"/>
    </row>
    <row r="522" spans="1:65" s="22" customFormat="1" x14ac:dyDescent="0.25">
      <c r="A522" s="20"/>
      <c r="B522" s="515"/>
      <c r="C522" s="11"/>
      <c r="D522" s="11"/>
      <c r="E522" s="11"/>
      <c r="F522" s="21"/>
      <c r="G522" s="11"/>
      <c r="H522" s="50"/>
      <c r="I522" s="50"/>
      <c r="J522" s="50"/>
      <c r="K522" s="11"/>
      <c r="L522" s="50"/>
      <c r="M522" s="50"/>
      <c r="N522" s="50"/>
      <c r="O522" s="50"/>
      <c r="P522" s="50"/>
      <c r="Q522" s="11"/>
      <c r="R522" s="50"/>
      <c r="S522" s="50"/>
      <c r="T522" s="50"/>
      <c r="U522" s="11"/>
      <c r="V522" s="50"/>
      <c r="W522" s="50"/>
      <c r="X522" s="50"/>
      <c r="Y522" s="50"/>
      <c r="Z522" s="50"/>
      <c r="AA522" s="11"/>
      <c r="AB522" s="50"/>
      <c r="AC522" s="50"/>
      <c r="AD522" s="50"/>
      <c r="AE522" s="11"/>
      <c r="AF522" s="50"/>
      <c r="AG522" s="50"/>
      <c r="AH522" s="50"/>
      <c r="AI522" s="11"/>
      <c r="AJ522" s="50"/>
      <c r="AK522" s="50"/>
      <c r="AL522" s="50"/>
      <c r="AM522" s="11"/>
      <c r="AN522" s="50"/>
      <c r="AO522" s="50"/>
      <c r="AP522" s="50"/>
      <c r="AQ522" s="11"/>
      <c r="AR522" s="50"/>
      <c r="AS522" s="50"/>
      <c r="AT522" s="50"/>
      <c r="AU522" s="11"/>
      <c r="AV522" s="50"/>
      <c r="AW522" s="50"/>
      <c r="AX522" s="50"/>
      <c r="AY522" s="50"/>
      <c r="AZ522" s="50"/>
      <c r="BA522" s="50"/>
      <c r="BB522" s="50"/>
      <c r="BC522" s="50"/>
      <c r="BD522" s="50"/>
      <c r="BE522" s="20"/>
      <c r="BF522" s="518"/>
      <c r="BG522" s="484"/>
      <c r="BH522" s="484"/>
      <c r="BI522" s="527"/>
      <c r="BJ522" s="484"/>
      <c r="BK522" s="484"/>
      <c r="BL522" s="484"/>
      <c r="BM522" s="484"/>
    </row>
    <row r="523" spans="1:65" s="22" customFormat="1" x14ac:dyDescent="0.25">
      <c r="A523" s="20"/>
      <c r="B523" s="515"/>
      <c r="C523" s="11"/>
      <c r="D523" s="11"/>
      <c r="E523" s="11"/>
      <c r="F523" s="21"/>
      <c r="G523" s="11"/>
      <c r="H523" s="50"/>
      <c r="I523" s="50"/>
      <c r="J523" s="50"/>
      <c r="K523" s="11"/>
      <c r="L523" s="50"/>
      <c r="M523" s="50"/>
      <c r="N523" s="50"/>
      <c r="O523" s="50"/>
      <c r="P523" s="50"/>
      <c r="Q523" s="11"/>
      <c r="R523" s="50"/>
      <c r="S523" s="50"/>
      <c r="T523" s="50"/>
      <c r="U523" s="11"/>
      <c r="V523" s="50"/>
      <c r="W523" s="50"/>
      <c r="X523" s="50"/>
      <c r="Y523" s="50"/>
      <c r="Z523" s="50"/>
      <c r="AA523" s="11"/>
      <c r="AB523" s="50"/>
      <c r="AC523" s="50"/>
      <c r="AD523" s="50"/>
      <c r="AE523" s="11"/>
      <c r="AF523" s="50"/>
      <c r="AG523" s="50"/>
      <c r="AH523" s="50"/>
      <c r="AI523" s="11"/>
      <c r="AJ523" s="50"/>
      <c r="AK523" s="50"/>
      <c r="AL523" s="50"/>
      <c r="AM523" s="11"/>
      <c r="AN523" s="50"/>
      <c r="AO523" s="50"/>
      <c r="AP523" s="50"/>
      <c r="AQ523" s="11"/>
      <c r="AR523" s="50"/>
      <c r="AS523" s="50"/>
      <c r="AT523" s="50"/>
      <c r="AU523" s="11"/>
      <c r="AV523" s="50"/>
      <c r="AW523" s="50"/>
      <c r="AX523" s="50"/>
      <c r="AY523" s="50"/>
      <c r="AZ523" s="50"/>
      <c r="BA523" s="50"/>
      <c r="BB523" s="50"/>
      <c r="BC523" s="50"/>
      <c r="BD523" s="50"/>
      <c r="BE523" s="20"/>
      <c r="BF523" s="518"/>
      <c r="BG523" s="484"/>
      <c r="BH523" s="484"/>
      <c r="BI523" s="527"/>
      <c r="BJ523" s="484"/>
      <c r="BK523" s="484"/>
      <c r="BL523" s="484"/>
      <c r="BM523" s="484"/>
    </row>
    <row r="524" spans="1:65" s="22" customFormat="1" x14ac:dyDescent="0.25">
      <c r="A524" s="20"/>
      <c r="B524" s="515"/>
      <c r="C524" s="11"/>
      <c r="D524" s="11"/>
      <c r="E524" s="11"/>
      <c r="F524" s="21"/>
      <c r="G524" s="11"/>
      <c r="H524" s="50"/>
      <c r="I524" s="50"/>
      <c r="J524" s="50"/>
      <c r="K524" s="11"/>
      <c r="L524" s="50"/>
      <c r="M524" s="50"/>
      <c r="N524" s="50"/>
      <c r="O524" s="50"/>
      <c r="P524" s="50"/>
      <c r="Q524" s="11"/>
      <c r="R524" s="50"/>
      <c r="S524" s="50"/>
      <c r="T524" s="50"/>
      <c r="U524" s="11"/>
      <c r="V524" s="50"/>
      <c r="W524" s="50"/>
      <c r="X524" s="50"/>
      <c r="Y524" s="50"/>
      <c r="Z524" s="50"/>
      <c r="AA524" s="11"/>
      <c r="AB524" s="50"/>
      <c r="AC524" s="50"/>
      <c r="AD524" s="50"/>
      <c r="AE524" s="11"/>
      <c r="AF524" s="50"/>
      <c r="AG524" s="50"/>
      <c r="AH524" s="50"/>
      <c r="AI524" s="11"/>
      <c r="AJ524" s="50"/>
      <c r="AK524" s="50"/>
      <c r="AL524" s="50"/>
      <c r="AM524" s="11"/>
      <c r="AN524" s="50"/>
      <c r="AO524" s="50"/>
      <c r="AP524" s="50"/>
      <c r="AQ524" s="11"/>
      <c r="AR524" s="50"/>
      <c r="AS524" s="50"/>
      <c r="AT524" s="50"/>
      <c r="AU524" s="11"/>
      <c r="AV524" s="50"/>
      <c r="AW524" s="50"/>
      <c r="AX524" s="50"/>
      <c r="AY524" s="50"/>
      <c r="AZ524" s="50"/>
      <c r="BA524" s="50"/>
      <c r="BB524" s="50"/>
      <c r="BC524" s="50"/>
      <c r="BD524" s="50"/>
      <c r="BE524" s="20"/>
      <c r="BF524" s="518"/>
      <c r="BG524" s="484"/>
      <c r="BH524" s="484"/>
      <c r="BI524" s="527"/>
      <c r="BJ524" s="484"/>
      <c r="BK524" s="484"/>
      <c r="BL524" s="484"/>
      <c r="BM524" s="484"/>
    </row>
    <row r="525" spans="1:65" s="22" customFormat="1" x14ac:dyDescent="0.25">
      <c r="A525" s="20"/>
      <c r="B525" s="515"/>
      <c r="C525" s="11"/>
      <c r="D525" s="11"/>
      <c r="E525" s="11"/>
      <c r="F525" s="21"/>
      <c r="G525" s="11"/>
      <c r="H525" s="50"/>
      <c r="I525" s="50"/>
      <c r="J525" s="50"/>
      <c r="K525" s="11"/>
      <c r="L525" s="50"/>
      <c r="M525" s="50"/>
      <c r="N525" s="50"/>
      <c r="O525" s="50"/>
      <c r="P525" s="50"/>
      <c r="Q525" s="11"/>
      <c r="R525" s="50"/>
      <c r="S525" s="50"/>
      <c r="T525" s="50"/>
      <c r="U525" s="11"/>
      <c r="V525" s="50"/>
      <c r="W525" s="50"/>
      <c r="X525" s="50"/>
      <c r="Y525" s="50"/>
      <c r="Z525" s="50"/>
      <c r="AA525" s="11"/>
      <c r="AB525" s="50"/>
      <c r="AC525" s="50"/>
      <c r="AD525" s="50"/>
      <c r="AE525" s="11"/>
      <c r="AF525" s="50"/>
      <c r="AG525" s="50"/>
      <c r="AH525" s="50"/>
      <c r="AI525" s="11"/>
      <c r="AJ525" s="50"/>
      <c r="AK525" s="50"/>
      <c r="AL525" s="50"/>
      <c r="AM525" s="11"/>
      <c r="AN525" s="50"/>
      <c r="AO525" s="50"/>
      <c r="AP525" s="50"/>
      <c r="AQ525" s="11"/>
      <c r="AR525" s="50"/>
      <c r="AS525" s="50"/>
      <c r="AT525" s="50"/>
      <c r="AU525" s="11"/>
      <c r="AV525" s="50"/>
      <c r="AW525" s="50"/>
      <c r="AX525" s="50"/>
      <c r="AY525" s="50"/>
      <c r="AZ525" s="50"/>
      <c r="BA525" s="50"/>
      <c r="BB525" s="50"/>
      <c r="BC525" s="50"/>
      <c r="BD525" s="50"/>
      <c r="BE525" s="20"/>
      <c r="BF525" s="518"/>
      <c r="BG525" s="484"/>
      <c r="BH525" s="484"/>
      <c r="BI525" s="527"/>
      <c r="BJ525" s="484"/>
      <c r="BK525" s="484"/>
      <c r="BL525" s="484"/>
      <c r="BM525" s="484"/>
    </row>
    <row r="526" spans="1:65" s="22" customFormat="1" x14ac:dyDescent="0.25">
      <c r="A526" s="20"/>
      <c r="B526" s="515"/>
      <c r="C526" s="11"/>
      <c r="D526" s="11"/>
      <c r="E526" s="11"/>
      <c r="F526" s="21"/>
      <c r="G526" s="11"/>
      <c r="H526" s="50"/>
      <c r="I526" s="50"/>
      <c r="J526" s="50"/>
      <c r="K526" s="11"/>
      <c r="L526" s="50"/>
      <c r="M526" s="50"/>
      <c r="N526" s="50"/>
      <c r="O526" s="50"/>
      <c r="P526" s="50"/>
      <c r="Q526" s="11"/>
      <c r="R526" s="50"/>
      <c r="S526" s="50"/>
      <c r="T526" s="50"/>
      <c r="U526" s="11"/>
      <c r="V526" s="50"/>
      <c r="W526" s="50"/>
      <c r="X526" s="50"/>
      <c r="Y526" s="50"/>
      <c r="Z526" s="50"/>
      <c r="AA526" s="11"/>
      <c r="AB526" s="50"/>
      <c r="AC526" s="50"/>
      <c r="AD526" s="50"/>
      <c r="AE526" s="11"/>
      <c r="AF526" s="50"/>
      <c r="AG526" s="50"/>
      <c r="AH526" s="50"/>
      <c r="AI526" s="11"/>
      <c r="AJ526" s="50"/>
      <c r="AK526" s="50"/>
      <c r="AL526" s="50"/>
      <c r="AM526" s="11"/>
      <c r="AN526" s="50"/>
      <c r="AO526" s="50"/>
      <c r="AP526" s="50"/>
      <c r="AQ526" s="11"/>
      <c r="AR526" s="50"/>
      <c r="AS526" s="50"/>
      <c r="AT526" s="50"/>
      <c r="AU526" s="11"/>
      <c r="AV526" s="50"/>
      <c r="AW526" s="50"/>
      <c r="AX526" s="50"/>
      <c r="AY526" s="50"/>
      <c r="AZ526" s="50"/>
      <c r="BA526" s="50"/>
      <c r="BB526" s="50"/>
      <c r="BC526" s="50"/>
      <c r="BD526" s="50"/>
      <c r="BE526" s="20"/>
      <c r="BF526" s="518"/>
      <c r="BG526" s="484"/>
      <c r="BH526" s="484"/>
      <c r="BI526" s="527"/>
      <c r="BJ526" s="484"/>
      <c r="BK526" s="484"/>
      <c r="BL526" s="484"/>
      <c r="BM526" s="484"/>
    </row>
    <row r="527" spans="1:65" s="22" customFormat="1" x14ac:dyDescent="0.25">
      <c r="A527" s="20"/>
      <c r="B527" s="515"/>
      <c r="C527" s="11"/>
      <c r="D527" s="11"/>
      <c r="E527" s="11"/>
      <c r="F527" s="21"/>
      <c r="G527" s="11"/>
      <c r="H527" s="50"/>
      <c r="I527" s="50"/>
      <c r="J527" s="50"/>
      <c r="K527" s="11"/>
      <c r="L527" s="50"/>
      <c r="M527" s="50"/>
      <c r="N527" s="50"/>
      <c r="O527" s="50"/>
      <c r="P527" s="50"/>
      <c r="Q527" s="11"/>
      <c r="R527" s="50"/>
      <c r="S527" s="50"/>
      <c r="T527" s="50"/>
      <c r="U527" s="11"/>
      <c r="V527" s="50"/>
      <c r="W527" s="50"/>
      <c r="X527" s="50"/>
      <c r="Y527" s="50"/>
      <c r="Z527" s="50"/>
      <c r="AA527" s="11"/>
      <c r="AB527" s="50"/>
      <c r="AC527" s="50"/>
      <c r="AD527" s="50"/>
      <c r="AE527" s="11"/>
      <c r="AF527" s="50"/>
      <c r="AG527" s="50"/>
      <c r="AH527" s="50"/>
      <c r="AI527" s="11"/>
      <c r="AJ527" s="50"/>
      <c r="AK527" s="50"/>
      <c r="AL527" s="50"/>
      <c r="AM527" s="11"/>
      <c r="AN527" s="50"/>
      <c r="AO527" s="50"/>
      <c r="AP527" s="50"/>
      <c r="AQ527" s="11"/>
      <c r="AR527" s="50"/>
      <c r="AS527" s="50"/>
      <c r="AT527" s="50"/>
      <c r="AU527" s="11"/>
      <c r="AV527" s="50"/>
      <c r="AW527" s="50"/>
      <c r="AX527" s="50"/>
      <c r="AY527" s="50"/>
      <c r="AZ527" s="50"/>
      <c r="BA527" s="50"/>
      <c r="BB527" s="50"/>
      <c r="BC527" s="50"/>
      <c r="BD527" s="50"/>
      <c r="BE527" s="20"/>
      <c r="BF527" s="518"/>
      <c r="BG527" s="484"/>
      <c r="BH527" s="484"/>
      <c r="BI527" s="527"/>
      <c r="BJ527" s="484"/>
      <c r="BK527" s="484"/>
      <c r="BL527" s="484"/>
      <c r="BM527" s="484"/>
    </row>
    <row r="528" spans="1:65" s="22" customFormat="1" x14ac:dyDescent="0.25">
      <c r="A528" s="20"/>
      <c r="B528" s="515"/>
      <c r="C528" s="11"/>
      <c r="D528" s="11"/>
      <c r="E528" s="11"/>
      <c r="F528" s="21"/>
      <c r="G528" s="11"/>
      <c r="H528" s="50"/>
      <c r="I528" s="50"/>
      <c r="J528" s="50"/>
      <c r="K528" s="11"/>
      <c r="L528" s="50"/>
      <c r="M528" s="50"/>
      <c r="N528" s="50"/>
      <c r="O528" s="50"/>
      <c r="P528" s="50"/>
      <c r="Q528" s="11"/>
      <c r="R528" s="50"/>
      <c r="S528" s="50"/>
      <c r="T528" s="50"/>
      <c r="U528" s="11"/>
      <c r="V528" s="50"/>
      <c r="W528" s="50"/>
      <c r="X528" s="50"/>
      <c r="Y528" s="50"/>
      <c r="Z528" s="50"/>
      <c r="AA528" s="11"/>
      <c r="AB528" s="50"/>
      <c r="AC528" s="50"/>
      <c r="AD528" s="50"/>
      <c r="AE528" s="11"/>
      <c r="AF528" s="50"/>
      <c r="AG528" s="50"/>
      <c r="AH528" s="50"/>
      <c r="AI528" s="11"/>
      <c r="AJ528" s="50"/>
      <c r="AK528" s="50"/>
      <c r="AL528" s="50"/>
      <c r="AM528" s="11"/>
      <c r="AN528" s="50"/>
      <c r="AO528" s="50"/>
      <c r="AP528" s="50"/>
      <c r="AQ528" s="11"/>
      <c r="AR528" s="50"/>
      <c r="AS528" s="50"/>
      <c r="AT528" s="50"/>
      <c r="AU528" s="11"/>
      <c r="AV528" s="50"/>
      <c r="AW528" s="50"/>
      <c r="AX528" s="50"/>
      <c r="AY528" s="50"/>
      <c r="AZ528" s="50"/>
      <c r="BA528" s="50"/>
      <c r="BB528" s="50"/>
      <c r="BC528" s="50"/>
      <c r="BD528" s="50"/>
      <c r="BE528" s="20"/>
      <c r="BF528" s="518"/>
      <c r="BG528" s="484"/>
      <c r="BH528" s="484"/>
      <c r="BI528" s="527"/>
      <c r="BJ528" s="484"/>
      <c r="BK528" s="484"/>
      <c r="BL528" s="484"/>
      <c r="BM528" s="484"/>
    </row>
    <row r="529" spans="1:65" s="22" customFormat="1" x14ac:dyDescent="0.25">
      <c r="A529" s="20"/>
      <c r="B529" s="515"/>
      <c r="C529" s="11"/>
      <c r="D529" s="11"/>
      <c r="E529" s="11"/>
      <c r="F529" s="21"/>
      <c r="G529" s="11"/>
      <c r="H529" s="50"/>
      <c r="I529" s="50"/>
      <c r="J529" s="50"/>
      <c r="K529" s="11"/>
      <c r="L529" s="50"/>
      <c r="M529" s="50"/>
      <c r="N529" s="50"/>
      <c r="O529" s="50"/>
      <c r="P529" s="50"/>
      <c r="Q529" s="11"/>
      <c r="R529" s="50"/>
      <c r="S529" s="50"/>
      <c r="T529" s="50"/>
      <c r="U529" s="11"/>
      <c r="V529" s="50"/>
      <c r="W529" s="50"/>
      <c r="X529" s="50"/>
      <c r="Y529" s="50"/>
      <c r="Z529" s="50"/>
      <c r="AA529" s="11"/>
      <c r="AB529" s="50"/>
      <c r="AC529" s="50"/>
      <c r="AD529" s="50"/>
      <c r="AE529" s="11"/>
      <c r="AF529" s="50"/>
      <c r="AG529" s="50"/>
      <c r="AH529" s="50"/>
      <c r="AI529" s="11"/>
      <c r="AJ529" s="50"/>
      <c r="AK529" s="50"/>
      <c r="AL529" s="50"/>
      <c r="AM529" s="11"/>
      <c r="AN529" s="50"/>
      <c r="AO529" s="50"/>
      <c r="AP529" s="50"/>
      <c r="AQ529" s="11"/>
      <c r="AR529" s="50"/>
      <c r="AS529" s="50"/>
      <c r="AT529" s="50"/>
      <c r="AU529" s="11"/>
      <c r="AV529" s="50"/>
      <c r="AW529" s="50"/>
      <c r="AX529" s="50"/>
      <c r="AY529" s="50"/>
      <c r="AZ529" s="50"/>
      <c r="BA529" s="50"/>
      <c r="BB529" s="50"/>
      <c r="BC529" s="50"/>
      <c r="BD529" s="50"/>
      <c r="BE529" s="20"/>
      <c r="BF529" s="518"/>
      <c r="BG529" s="484"/>
      <c r="BH529" s="484"/>
      <c r="BI529" s="527"/>
      <c r="BJ529" s="484"/>
      <c r="BK529" s="484"/>
      <c r="BL529" s="484"/>
      <c r="BM529" s="484"/>
    </row>
    <row r="530" spans="1:65" s="22" customFormat="1" x14ac:dyDescent="0.25">
      <c r="A530" s="20"/>
      <c r="B530" s="515"/>
      <c r="C530" s="11"/>
      <c r="D530" s="11"/>
      <c r="E530" s="11"/>
      <c r="F530" s="21"/>
      <c r="G530" s="11"/>
      <c r="H530" s="50"/>
      <c r="I530" s="50"/>
      <c r="J530" s="50"/>
      <c r="K530" s="11"/>
      <c r="L530" s="50"/>
      <c r="M530" s="50"/>
      <c r="N530" s="50"/>
      <c r="O530" s="50"/>
      <c r="P530" s="50"/>
      <c r="Q530" s="11"/>
      <c r="R530" s="50"/>
      <c r="S530" s="50"/>
      <c r="T530" s="50"/>
      <c r="U530" s="11"/>
      <c r="V530" s="50"/>
      <c r="W530" s="50"/>
      <c r="X530" s="50"/>
      <c r="Y530" s="50"/>
      <c r="Z530" s="50"/>
      <c r="AA530" s="11"/>
      <c r="AB530" s="50"/>
      <c r="AC530" s="50"/>
      <c r="AD530" s="50"/>
      <c r="AE530" s="11"/>
      <c r="AF530" s="50"/>
      <c r="AG530" s="50"/>
      <c r="AH530" s="50"/>
      <c r="AI530" s="11"/>
      <c r="AJ530" s="50"/>
      <c r="AK530" s="50"/>
      <c r="AL530" s="50"/>
      <c r="AM530" s="11"/>
      <c r="AN530" s="50"/>
      <c r="AO530" s="50"/>
      <c r="AP530" s="50"/>
      <c r="AQ530" s="11"/>
      <c r="AR530" s="50"/>
      <c r="AS530" s="50"/>
      <c r="AT530" s="50"/>
      <c r="AU530" s="11"/>
      <c r="AV530" s="50"/>
      <c r="AW530" s="50"/>
      <c r="AX530" s="50"/>
      <c r="AY530" s="50"/>
      <c r="AZ530" s="50"/>
      <c r="BA530" s="50"/>
      <c r="BB530" s="50"/>
      <c r="BC530" s="50"/>
      <c r="BD530" s="50"/>
      <c r="BE530" s="20"/>
      <c r="BF530" s="518"/>
      <c r="BG530" s="484"/>
      <c r="BH530" s="484"/>
      <c r="BI530" s="527"/>
      <c r="BJ530" s="484"/>
      <c r="BK530" s="484"/>
      <c r="BL530" s="484"/>
      <c r="BM530" s="484"/>
    </row>
    <row r="531" spans="1:65" s="22" customFormat="1" x14ac:dyDescent="0.25">
      <c r="A531" s="20"/>
      <c r="B531" s="515"/>
      <c r="C531" s="11"/>
      <c r="D531" s="11"/>
      <c r="E531" s="11"/>
      <c r="F531" s="21"/>
      <c r="G531" s="11"/>
      <c r="H531" s="50"/>
      <c r="I531" s="50"/>
      <c r="J531" s="50"/>
      <c r="K531" s="11"/>
      <c r="L531" s="50"/>
      <c r="M531" s="50"/>
      <c r="N531" s="50"/>
      <c r="O531" s="50"/>
      <c r="P531" s="50"/>
      <c r="Q531" s="11"/>
      <c r="R531" s="50"/>
      <c r="S531" s="50"/>
      <c r="T531" s="50"/>
      <c r="U531" s="11"/>
      <c r="V531" s="50"/>
      <c r="W531" s="50"/>
      <c r="X531" s="50"/>
      <c r="Y531" s="50"/>
      <c r="Z531" s="50"/>
      <c r="AA531" s="11"/>
      <c r="AB531" s="50"/>
      <c r="AC531" s="50"/>
      <c r="AD531" s="50"/>
      <c r="AE531" s="11"/>
      <c r="AF531" s="50"/>
      <c r="AG531" s="50"/>
      <c r="AH531" s="50"/>
      <c r="AI531" s="11"/>
      <c r="AJ531" s="50"/>
      <c r="AK531" s="50"/>
      <c r="AL531" s="50"/>
      <c r="AM531" s="11"/>
      <c r="AN531" s="50"/>
      <c r="AO531" s="50"/>
      <c r="AP531" s="50"/>
      <c r="AQ531" s="11"/>
      <c r="AR531" s="50"/>
      <c r="AS531" s="50"/>
      <c r="AT531" s="50"/>
      <c r="AU531" s="11"/>
      <c r="AV531" s="50"/>
      <c r="AW531" s="50"/>
      <c r="AX531" s="50"/>
      <c r="AY531" s="50"/>
      <c r="AZ531" s="50"/>
      <c r="BA531" s="50"/>
      <c r="BB531" s="50"/>
      <c r="BC531" s="50"/>
      <c r="BD531" s="50"/>
      <c r="BE531" s="20"/>
      <c r="BF531" s="518"/>
      <c r="BG531" s="484"/>
      <c r="BH531" s="484"/>
      <c r="BI531" s="527"/>
      <c r="BJ531" s="484"/>
      <c r="BK531" s="484"/>
      <c r="BL531" s="484"/>
      <c r="BM531" s="484"/>
    </row>
    <row r="532" spans="1:65" s="22" customFormat="1" x14ac:dyDescent="0.25">
      <c r="A532" s="20"/>
      <c r="B532" s="515"/>
      <c r="C532" s="11"/>
      <c r="D532" s="11"/>
      <c r="E532" s="11"/>
      <c r="F532" s="21"/>
      <c r="G532" s="11"/>
      <c r="H532" s="50"/>
      <c r="I532" s="50"/>
      <c r="J532" s="50"/>
      <c r="K532" s="11"/>
      <c r="L532" s="50"/>
      <c r="M532" s="50"/>
      <c r="N532" s="50"/>
      <c r="O532" s="50"/>
      <c r="P532" s="50"/>
      <c r="Q532" s="11"/>
      <c r="R532" s="50"/>
      <c r="S532" s="50"/>
      <c r="T532" s="50"/>
      <c r="U532" s="11"/>
      <c r="V532" s="50"/>
      <c r="W532" s="50"/>
      <c r="X532" s="50"/>
      <c r="Y532" s="50"/>
      <c r="Z532" s="50"/>
      <c r="AA532" s="11"/>
      <c r="AB532" s="50"/>
      <c r="AC532" s="50"/>
      <c r="AD532" s="50"/>
      <c r="AE532" s="11"/>
      <c r="AF532" s="50"/>
      <c r="AG532" s="50"/>
      <c r="AH532" s="50"/>
      <c r="AI532" s="11"/>
      <c r="AJ532" s="50"/>
      <c r="AK532" s="50"/>
      <c r="AL532" s="50"/>
      <c r="AM532" s="11"/>
      <c r="AN532" s="50"/>
      <c r="AO532" s="50"/>
      <c r="AP532" s="50"/>
      <c r="AQ532" s="11"/>
      <c r="AR532" s="50"/>
      <c r="AS532" s="50"/>
      <c r="AT532" s="50"/>
      <c r="AU532" s="11"/>
      <c r="AV532" s="50"/>
      <c r="AW532" s="50"/>
      <c r="AX532" s="50"/>
      <c r="AY532" s="50"/>
      <c r="AZ532" s="50"/>
      <c r="BA532" s="50"/>
      <c r="BB532" s="50"/>
      <c r="BC532" s="50"/>
      <c r="BD532" s="50"/>
      <c r="BE532" s="20"/>
      <c r="BF532" s="518"/>
      <c r="BG532" s="484"/>
      <c r="BH532" s="484"/>
      <c r="BI532" s="527"/>
      <c r="BJ532" s="484"/>
      <c r="BK532" s="484"/>
      <c r="BL532" s="484"/>
      <c r="BM532" s="484"/>
    </row>
    <row r="533" spans="1:65" s="22" customFormat="1" x14ac:dyDescent="0.25">
      <c r="A533" s="20"/>
      <c r="B533" s="515"/>
      <c r="C533" s="11"/>
      <c r="D533" s="11"/>
      <c r="E533" s="11"/>
      <c r="F533" s="21"/>
      <c r="G533" s="11"/>
      <c r="H533" s="50"/>
      <c r="I533" s="50"/>
      <c r="J533" s="50"/>
      <c r="K533" s="11"/>
      <c r="L533" s="50"/>
      <c r="M533" s="50"/>
      <c r="N533" s="50"/>
      <c r="O533" s="50"/>
      <c r="P533" s="50"/>
      <c r="Q533" s="11"/>
      <c r="R533" s="50"/>
      <c r="S533" s="50"/>
      <c r="T533" s="50"/>
      <c r="U533" s="11"/>
      <c r="V533" s="50"/>
      <c r="W533" s="50"/>
      <c r="X533" s="50"/>
      <c r="Y533" s="50"/>
      <c r="Z533" s="50"/>
      <c r="AA533" s="11"/>
      <c r="AB533" s="50"/>
      <c r="AC533" s="50"/>
      <c r="AD533" s="50"/>
      <c r="AE533" s="11"/>
      <c r="AF533" s="50"/>
      <c r="AG533" s="50"/>
      <c r="AH533" s="50"/>
      <c r="AI533" s="11"/>
      <c r="AJ533" s="50"/>
      <c r="AK533" s="50"/>
      <c r="AL533" s="50"/>
      <c r="AM533" s="11"/>
      <c r="AN533" s="50"/>
      <c r="AO533" s="50"/>
      <c r="AP533" s="50"/>
      <c r="AQ533" s="11"/>
      <c r="AR533" s="50"/>
      <c r="AS533" s="50"/>
      <c r="AT533" s="50"/>
      <c r="AU533" s="11"/>
      <c r="AV533" s="50"/>
      <c r="AW533" s="50"/>
      <c r="AX533" s="50"/>
      <c r="AY533" s="50"/>
      <c r="AZ533" s="50"/>
      <c r="BA533" s="50"/>
      <c r="BB533" s="50"/>
      <c r="BC533" s="50"/>
      <c r="BD533" s="50"/>
      <c r="BE533" s="20"/>
      <c r="BF533" s="518"/>
      <c r="BG533" s="484"/>
      <c r="BH533" s="484"/>
      <c r="BI533" s="527"/>
      <c r="BJ533" s="484"/>
      <c r="BK533" s="484"/>
      <c r="BL533" s="484"/>
      <c r="BM533" s="484"/>
    </row>
    <row r="534" spans="1:65" s="22" customFormat="1" x14ac:dyDescent="0.25">
      <c r="A534" s="20"/>
      <c r="B534" s="515"/>
      <c r="C534" s="11"/>
      <c r="D534" s="11"/>
      <c r="E534" s="11"/>
      <c r="F534" s="21"/>
      <c r="G534" s="11"/>
      <c r="H534" s="50"/>
      <c r="I534" s="50"/>
      <c r="J534" s="50"/>
      <c r="K534" s="11"/>
      <c r="L534" s="50"/>
      <c r="M534" s="50"/>
      <c r="N534" s="50"/>
      <c r="O534" s="50"/>
      <c r="P534" s="50"/>
      <c r="Q534" s="11"/>
      <c r="R534" s="50"/>
      <c r="S534" s="50"/>
      <c r="T534" s="50"/>
      <c r="U534" s="11"/>
      <c r="V534" s="50"/>
      <c r="W534" s="50"/>
      <c r="X534" s="50"/>
      <c r="Y534" s="50"/>
      <c r="Z534" s="50"/>
      <c r="AA534" s="11"/>
      <c r="AB534" s="50"/>
      <c r="AC534" s="50"/>
      <c r="AD534" s="50"/>
      <c r="AE534" s="11"/>
      <c r="AF534" s="50"/>
      <c r="AG534" s="50"/>
      <c r="AH534" s="50"/>
      <c r="AI534" s="11"/>
      <c r="AJ534" s="50"/>
      <c r="AK534" s="50"/>
      <c r="AL534" s="50"/>
      <c r="AM534" s="11"/>
      <c r="AN534" s="50"/>
      <c r="AO534" s="50"/>
      <c r="AP534" s="50"/>
      <c r="AQ534" s="11"/>
      <c r="AR534" s="50"/>
      <c r="AS534" s="50"/>
      <c r="AT534" s="50"/>
      <c r="AU534" s="11"/>
      <c r="AV534" s="50"/>
      <c r="AW534" s="50"/>
      <c r="AX534" s="50"/>
      <c r="AY534" s="50"/>
      <c r="AZ534" s="50"/>
      <c r="BA534" s="50"/>
      <c r="BB534" s="50"/>
      <c r="BC534" s="50"/>
      <c r="BD534" s="50"/>
      <c r="BE534" s="20"/>
      <c r="BF534" s="518"/>
      <c r="BG534" s="484"/>
      <c r="BH534" s="484"/>
      <c r="BI534" s="527"/>
      <c r="BJ534" s="484"/>
      <c r="BK534" s="484"/>
      <c r="BL534" s="484"/>
      <c r="BM534" s="484"/>
    </row>
    <row r="535" spans="1:65" s="22" customFormat="1" x14ac:dyDescent="0.25">
      <c r="A535" s="20"/>
      <c r="B535" s="515"/>
      <c r="C535" s="11"/>
      <c r="D535" s="11"/>
      <c r="E535" s="11"/>
      <c r="F535" s="21"/>
      <c r="G535" s="11"/>
      <c r="H535" s="50"/>
      <c r="I535" s="50"/>
      <c r="J535" s="50"/>
      <c r="K535" s="11"/>
      <c r="L535" s="50"/>
      <c r="M535" s="50"/>
      <c r="N535" s="50"/>
      <c r="O535" s="50"/>
      <c r="P535" s="50"/>
      <c r="Q535" s="11"/>
      <c r="R535" s="50"/>
      <c r="S535" s="50"/>
      <c r="T535" s="50"/>
      <c r="U535" s="11"/>
      <c r="V535" s="50"/>
      <c r="W535" s="50"/>
      <c r="X535" s="50"/>
      <c r="Y535" s="50"/>
      <c r="Z535" s="50"/>
      <c r="AA535" s="11"/>
      <c r="AB535" s="50"/>
      <c r="AC535" s="50"/>
      <c r="AD535" s="50"/>
      <c r="AE535" s="11"/>
      <c r="AF535" s="50"/>
      <c r="AG535" s="50"/>
      <c r="AH535" s="50"/>
      <c r="AI535" s="11"/>
      <c r="AJ535" s="50"/>
      <c r="AK535" s="50"/>
      <c r="AL535" s="50"/>
      <c r="AM535" s="11"/>
      <c r="AN535" s="50"/>
      <c r="AO535" s="50"/>
      <c r="AP535" s="50"/>
      <c r="AQ535" s="11"/>
      <c r="AR535" s="50"/>
      <c r="AS535" s="50"/>
      <c r="AT535" s="50"/>
      <c r="AU535" s="11"/>
      <c r="AV535" s="50"/>
      <c r="AW535" s="50"/>
      <c r="AX535" s="50"/>
      <c r="AY535" s="50"/>
      <c r="AZ535" s="50"/>
      <c r="BA535" s="50"/>
      <c r="BB535" s="50"/>
      <c r="BC535" s="50"/>
      <c r="BD535" s="50"/>
      <c r="BE535" s="20"/>
      <c r="BF535" s="518"/>
      <c r="BG535" s="484"/>
      <c r="BH535" s="484"/>
      <c r="BI535" s="527"/>
      <c r="BJ535" s="484"/>
      <c r="BK535" s="484"/>
      <c r="BL535" s="484"/>
      <c r="BM535" s="484"/>
    </row>
    <row r="536" spans="1:65" s="22" customFormat="1" x14ac:dyDescent="0.25">
      <c r="A536" s="20"/>
      <c r="B536" s="515"/>
      <c r="C536" s="11"/>
      <c r="D536" s="11"/>
      <c r="E536" s="11"/>
      <c r="F536" s="21"/>
      <c r="G536" s="11"/>
      <c r="H536" s="50"/>
      <c r="I536" s="50"/>
      <c r="J536" s="50"/>
      <c r="K536" s="11"/>
      <c r="L536" s="50"/>
      <c r="M536" s="50"/>
      <c r="N536" s="50"/>
      <c r="O536" s="50"/>
      <c r="P536" s="50"/>
      <c r="Q536" s="11"/>
      <c r="R536" s="50"/>
      <c r="S536" s="50"/>
      <c r="T536" s="50"/>
      <c r="U536" s="11"/>
      <c r="V536" s="50"/>
      <c r="W536" s="50"/>
      <c r="X536" s="50"/>
      <c r="Y536" s="50"/>
      <c r="Z536" s="50"/>
      <c r="AA536" s="11"/>
      <c r="AB536" s="50"/>
      <c r="AC536" s="50"/>
      <c r="AD536" s="50"/>
      <c r="AE536" s="11"/>
      <c r="AF536" s="50"/>
      <c r="AG536" s="50"/>
      <c r="AH536" s="50"/>
      <c r="AI536" s="11"/>
      <c r="AJ536" s="50"/>
      <c r="AK536" s="50"/>
      <c r="AL536" s="50"/>
      <c r="AM536" s="11"/>
      <c r="AN536" s="50"/>
      <c r="AO536" s="50"/>
      <c r="AP536" s="50"/>
      <c r="AQ536" s="11"/>
      <c r="AR536" s="50"/>
      <c r="AS536" s="50"/>
      <c r="AT536" s="50"/>
      <c r="AU536" s="11"/>
      <c r="AV536" s="50"/>
      <c r="AW536" s="50"/>
      <c r="AX536" s="50"/>
      <c r="AY536" s="50"/>
      <c r="AZ536" s="50"/>
      <c r="BA536" s="50"/>
      <c r="BB536" s="50"/>
      <c r="BC536" s="50"/>
      <c r="BD536" s="50"/>
      <c r="BE536" s="20"/>
      <c r="BF536" s="518"/>
      <c r="BG536" s="484"/>
      <c r="BH536" s="484"/>
      <c r="BI536" s="527"/>
      <c r="BJ536" s="484"/>
      <c r="BK536" s="484"/>
      <c r="BL536" s="484"/>
      <c r="BM536" s="484"/>
    </row>
    <row r="537" spans="1:65" s="22" customFormat="1" x14ac:dyDescent="0.25">
      <c r="A537" s="20"/>
      <c r="B537" s="515"/>
      <c r="C537" s="11"/>
      <c r="D537" s="11"/>
      <c r="E537" s="11"/>
      <c r="F537" s="21"/>
      <c r="G537" s="11"/>
      <c r="H537" s="50"/>
      <c r="I537" s="50"/>
      <c r="J537" s="50"/>
      <c r="K537" s="11"/>
      <c r="L537" s="50"/>
      <c r="M537" s="50"/>
      <c r="N537" s="50"/>
      <c r="O537" s="50"/>
      <c r="P537" s="50"/>
      <c r="Q537" s="11"/>
      <c r="R537" s="50"/>
      <c r="S537" s="50"/>
      <c r="T537" s="50"/>
      <c r="U537" s="11"/>
      <c r="V537" s="50"/>
      <c r="W537" s="50"/>
      <c r="X537" s="50"/>
      <c r="Y537" s="50"/>
      <c r="Z537" s="50"/>
      <c r="AA537" s="11"/>
      <c r="AB537" s="50"/>
      <c r="AC537" s="50"/>
      <c r="AD537" s="50"/>
      <c r="AE537" s="11"/>
      <c r="AF537" s="50"/>
      <c r="AG537" s="50"/>
      <c r="AH537" s="50"/>
      <c r="AI537" s="11"/>
      <c r="AJ537" s="50"/>
      <c r="AK537" s="50"/>
      <c r="AL537" s="50"/>
      <c r="AM537" s="11"/>
      <c r="AN537" s="50"/>
      <c r="AO537" s="50"/>
      <c r="AP537" s="50"/>
      <c r="AQ537" s="11"/>
      <c r="AR537" s="50"/>
      <c r="AS537" s="50"/>
      <c r="AT537" s="50"/>
      <c r="AU537" s="11"/>
      <c r="AV537" s="50"/>
      <c r="AW537" s="50"/>
      <c r="AX537" s="50"/>
      <c r="AY537" s="50"/>
      <c r="AZ537" s="50"/>
      <c r="BA537" s="50"/>
      <c r="BB537" s="50"/>
      <c r="BC537" s="50"/>
      <c r="BD537" s="50"/>
      <c r="BE537" s="20"/>
      <c r="BF537" s="518"/>
      <c r="BG537" s="484"/>
      <c r="BH537" s="484"/>
      <c r="BI537" s="527"/>
      <c r="BJ537" s="484"/>
      <c r="BK537" s="484"/>
      <c r="BL537" s="484"/>
      <c r="BM537" s="484"/>
    </row>
    <row r="538" spans="1:65" s="22" customFormat="1" x14ac:dyDescent="0.25">
      <c r="A538" s="20"/>
      <c r="B538" s="515"/>
      <c r="C538" s="11"/>
      <c r="D538" s="11"/>
      <c r="E538" s="11"/>
      <c r="F538" s="21"/>
      <c r="G538" s="11"/>
      <c r="H538" s="50"/>
      <c r="I538" s="50"/>
      <c r="J538" s="50"/>
      <c r="K538" s="11"/>
      <c r="L538" s="50"/>
      <c r="M538" s="50"/>
      <c r="N538" s="50"/>
      <c r="O538" s="50"/>
      <c r="P538" s="50"/>
      <c r="Q538" s="11"/>
      <c r="R538" s="50"/>
      <c r="S538" s="50"/>
      <c r="T538" s="50"/>
      <c r="U538" s="11"/>
      <c r="V538" s="50"/>
      <c r="W538" s="50"/>
      <c r="X538" s="50"/>
      <c r="Y538" s="50"/>
      <c r="Z538" s="50"/>
      <c r="AA538" s="11"/>
      <c r="AB538" s="50"/>
      <c r="AC538" s="50"/>
      <c r="AD538" s="50"/>
      <c r="AE538" s="11"/>
      <c r="AF538" s="50"/>
      <c r="AG538" s="50"/>
      <c r="AH538" s="50"/>
      <c r="AI538" s="11"/>
      <c r="AJ538" s="50"/>
      <c r="AK538" s="50"/>
      <c r="AL538" s="50"/>
      <c r="AM538" s="11"/>
      <c r="AN538" s="50"/>
      <c r="AO538" s="50"/>
      <c r="AP538" s="50"/>
      <c r="AQ538" s="11"/>
      <c r="AR538" s="50"/>
      <c r="AS538" s="50"/>
      <c r="AT538" s="50"/>
      <c r="AU538" s="11"/>
      <c r="AV538" s="50"/>
      <c r="AW538" s="50"/>
      <c r="AX538" s="50"/>
      <c r="AY538" s="50"/>
      <c r="AZ538" s="50"/>
      <c r="BA538" s="50"/>
      <c r="BB538" s="50"/>
      <c r="BC538" s="50"/>
      <c r="BD538" s="50"/>
      <c r="BE538" s="20"/>
      <c r="BF538" s="518"/>
      <c r="BG538" s="484"/>
      <c r="BH538" s="484"/>
      <c r="BI538" s="527"/>
      <c r="BJ538" s="484"/>
      <c r="BK538" s="484"/>
      <c r="BL538" s="484"/>
      <c r="BM538" s="484"/>
    </row>
    <row r="539" spans="1:65" s="22" customFormat="1" x14ac:dyDescent="0.25">
      <c r="A539" s="20"/>
      <c r="B539" s="515"/>
      <c r="C539" s="11"/>
      <c r="D539" s="11"/>
      <c r="E539" s="11"/>
      <c r="F539" s="21"/>
      <c r="G539" s="11"/>
      <c r="H539" s="50"/>
      <c r="I539" s="50"/>
      <c r="J539" s="50"/>
      <c r="K539" s="11"/>
      <c r="L539" s="50"/>
      <c r="M539" s="50"/>
      <c r="N539" s="50"/>
      <c r="O539" s="50"/>
      <c r="P539" s="50"/>
      <c r="Q539" s="11"/>
      <c r="R539" s="50"/>
      <c r="S539" s="50"/>
      <c r="T539" s="50"/>
      <c r="U539" s="11"/>
      <c r="V539" s="50"/>
      <c r="W539" s="50"/>
      <c r="X539" s="50"/>
      <c r="Y539" s="50"/>
      <c r="Z539" s="50"/>
      <c r="AA539" s="11"/>
      <c r="AB539" s="50"/>
      <c r="AC539" s="50"/>
      <c r="AD539" s="50"/>
      <c r="AE539" s="11"/>
      <c r="AF539" s="50"/>
      <c r="AG539" s="50"/>
      <c r="AH539" s="50"/>
      <c r="AI539" s="11"/>
      <c r="AJ539" s="50"/>
      <c r="AK539" s="50"/>
      <c r="AL539" s="50"/>
      <c r="AM539" s="11"/>
      <c r="AN539" s="50"/>
      <c r="AO539" s="50"/>
      <c r="AP539" s="50"/>
      <c r="AQ539" s="11"/>
      <c r="AR539" s="50"/>
      <c r="AS539" s="50"/>
      <c r="AT539" s="50"/>
      <c r="AU539" s="11"/>
      <c r="AV539" s="50"/>
      <c r="AW539" s="50"/>
      <c r="AX539" s="50"/>
      <c r="AY539" s="50"/>
      <c r="AZ539" s="50"/>
      <c r="BA539" s="50"/>
      <c r="BB539" s="50"/>
      <c r="BC539" s="50"/>
      <c r="BD539" s="50"/>
      <c r="BE539" s="20"/>
      <c r="BF539" s="518"/>
      <c r="BG539" s="484"/>
      <c r="BH539" s="484"/>
      <c r="BI539" s="527"/>
      <c r="BJ539" s="484"/>
      <c r="BK539" s="484"/>
      <c r="BL539" s="484"/>
      <c r="BM539" s="484"/>
    </row>
    <row r="540" spans="1:65" s="22" customFormat="1" x14ac:dyDescent="0.25">
      <c r="A540" s="20"/>
      <c r="B540" s="515"/>
      <c r="C540" s="11"/>
      <c r="D540" s="11"/>
      <c r="E540" s="11"/>
      <c r="F540" s="21"/>
      <c r="G540" s="11"/>
      <c r="H540" s="50"/>
      <c r="I540" s="50"/>
      <c r="J540" s="50"/>
      <c r="K540" s="11"/>
      <c r="L540" s="50"/>
      <c r="M540" s="50"/>
      <c r="N540" s="50"/>
      <c r="O540" s="50"/>
      <c r="P540" s="50"/>
      <c r="Q540" s="11"/>
      <c r="R540" s="50"/>
      <c r="S540" s="50"/>
      <c r="T540" s="50"/>
      <c r="U540" s="11"/>
      <c r="V540" s="50"/>
      <c r="W540" s="50"/>
      <c r="X540" s="50"/>
      <c r="Y540" s="50"/>
      <c r="Z540" s="50"/>
      <c r="AA540" s="11"/>
      <c r="AB540" s="50"/>
      <c r="AC540" s="50"/>
      <c r="AD540" s="50"/>
      <c r="AE540" s="11"/>
      <c r="AF540" s="50"/>
      <c r="AG540" s="50"/>
      <c r="AH540" s="50"/>
      <c r="AI540" s="11"/>
      <c r="AJ540" s="50"/>
      <c r="AK540" s="50"/>
      <c r="AL540" s="50"/>
      <c r="AM540" s="11"/>
      <c r="AN540" s="50"/>
      <c r="AO540" s="50"/>
      <c r="AP540" s="50"/>
      <c r="AQ540" s="11"/>
      <c r="AR540" s="50"/>
      <c r="AS540" s="50"/>
      <c r="AT540" s="50"/>
      <c r="AU540" s="11"/>
      <c r="AV540" s="50"/>
      <c r="AW540" s="50"/>
      <c r="AX540" s="50"/>
      <c r="AY540" s="50"/>
      <c r="AZ540" s="50"/>
      <c r="BA540" s="50"/>
      <c r="BB540" s="50"/>
      <c r="BC540" s="50"/>
      <c r="BD540" s="50"/>
      <c r="BE540" s="20"/>
      <c r="BF540" s="518"/>
      <c r="BG540" s="484"/>
      <c r="BH540" s="484"/>
      <c r="BI540" s="527"/>
      <c r="BJ540" s="484"/>
      <c r="BK540" s="484"/>
      <c r="BL540" s="484"/>
      <c r="BM540" s="484"/>
    </row>
    <row r="541" spans="1:65" s="22" customFormat="1" x14ac:dyDescent="0.25">
      <c r="A541" s="20"/>
      <c r="B541" s="515"/>
      <c r="C541" s="11"/>
      <c r="D541" s="11"/>
      <c r="E541" s="11"/>
      <c r="F541" s="21"/>
      <c r="G541" s="11"/>
      <c r="H541" s="50"/>
      <c r="I541" s="50"/>
      <c r="J541" s="50"/>
      <c r="K541" s="11"/>
      <c r="L541" s="50"/>
      <c r="M541" s="50"/>
      <c r="N541" s="50"/>
      <c r="O541" s="50"/>
      <c r="P541" s="50"/>
      <c r="Q541" s="11"/>
      <c r="R541" s="50"/>
      <c r="S541" s="50"/>
      <c r="T541" s="50"/>
      <c r="U541" s="11"/>
      <c r="V541" s="50"/>
      <c r="W541" s="50"/>
      <c r="X541" s="50"/>
      <c r="Y541" s="50"/>
      <c r="Z541" s="50"/>
      <c r="AA541" s="11"/>
      <c r="AB541" s="50"/>
      <c r="AC541" s="50"/>
      <c r="AD541" s="50"/>
      <c r="AE541" s="11"/>
      <c r="AF541" s="50"/>
      <c r="AG541" s="50"/>
      <c r="AH541" s="50"/>
      <c r="AI541" s="11"/>
      <c r="AJ541" s="50"/>
      <c r="AK541" s="50"/>
      <c r="AL541" s="50"/>
      <c r="AM541" s="11"/>
      <c r="AN541" s="50"/>
      <c r="AO541" s="50"/>
      <c r="AP541" s="50"/>
      <c r="AQ541" s="11"/>
      <c r="AR541" s="50"/>
      <c r="AS541" s="50"/>
      <c r="AT541" s="50"/>
      <c r="AU541" s="11"/>
      <c r="AV541" s="50"/>
      <c r="AW541" s="50"/>
      <c r="AX541" s="50"/>
      <c r="AY541" s="50"/>
      <c r="AZ541" s="50"/>
      <c r="BA541" s="50"/>
      <c r="BB541" s="50"/>
      <c r="BC541" s="50"/>
      <c r="BD541" s="50"/>
      <c r="BE541" s="20"/>
      <c r="BF541" s="518"/>
      <c r="BG541" s="484"/>
      <c r="BH541" s="484"/>
      <c r="BI541" s="527"/>
      <c r="BJ541" s="484"/>
      <c r="BK541" s="484"/>
      <c r="BL541" s="484"/>
      <c r="BM541" s="484"/>
    </row>
    <row r="542" spans="1:65" s="22" customFormat="1" x14ac:dyDescent="0.25">
      <c r="A542" s="20"/>
      <c r="B542" s="515"/>
      <c r="C542" s="11"/>
      <c r="D542" s="11"/>
      <c r="E542" s="11"/>
      <c r="F542" s="21"/>
      <c r="G542" s="11"/>
      <c r="H542" s="50"/>
      <c r="I542" s="50"/>
      <c r="J542" s="50"/>
      <c r="K542" s="11"/>
      <c r="L542" s="50"/>
      <c r="M542" s="50"/>
      <c r="N542" s="50"/>
      <c r="O542" s="50"/>
      <c r="P542" s="50"/>
      <c r="Q542" s="11"/>
      <c r="R542" s="50"/>
      <c r="S542" s="50"/>
      <c r="T542" s="50"/>
      <c r="U542" s="11"/>
      <c r="V542" s="50"/>
      <c r="W542" s="50"/>
      <c r="X542" s="50"/>
      <c r="Y542" s="50"/>
      <c r="Z542" s="50"/>
      <c r="AA542" s="11"/>
      <c r="AB542" s="50"/>
      <c r="AC542" s="50"/>
      <c r="AD542" s="50"/>
      <c r="AE542" s="11"/>
      <c r="AF542" s="50"/>
      <c r="AG542" s="50"/>
      <c r="AH542" s="50"/>
      <c r="AI542" s="11"/>
      <c r="AJ542" s="50"/>
      <c r="AK542" s="50"/>
      <c r="AL542" s="50"/>
      <c r="AM542" s="11"/>
      <c r="AN542" s="50"/>
      <c r="AO542" s="50"/>
      <c r="AP542" s="50"/>
      <c r="AQ542" s="11"/>
      <c r="AR542" s="50"/>
      <c r="AS542" s="50"/>
      <c r="AT542" s="50"/>
      <c r="AU542" s="11"/>
      <c r="AV542" s="50"/>
      <c r="AW542" s="50"/>
      <c r="AX542" s="50"/>
      <c r="AY542" s="50"/>
      <c r="AZ542" s="50"/>
      <c r="BA542" s="50"/>
      <c r="BB542" s="50"/>
      <c r="BC542" s="50"/>
      <c r="BD542" s="50"/>
      <c r="BE542" s="20"/>
      <c r="BF542" s="518"/>
      <c r="BG542" s="484"/>
      <c r="BH542" s="484"/>
      <c r="BI542" s="527"/>
      <c r="BJ542" s="484"/>
      <c r="BK542" s="484"/>
      <c r="BL542" s="484"/>
      <c r="BM542" s="484"/>
    </row>
    <row r="543" spans="1:65" s="22" customFormat="1" x14ac:dyDescent="0.25">
      <c r="A543" s="20"/>
      <c r="B543" s="515"/>
      <c r="C543" s="11"/>
      <c r="D543" s="11"/>
      <c r="E543" s="11"/>
      <c r="F543" s="21"/>
      <c r="G543" s="11"/>
      <c r="H543" s="50"/>
      <c r="I543" s="50"/>
      <c r="J543" s="50"/>
      <c r="K543" s="11"/>
      <c r="L543" s="50"/>
      <c r="M543" s="50"/>
      <c r="N543" s="50"/>
      <c r="O543" s="50"/>
      <c r="P543" s="50"/>
      <c r="Q543" s="11"/>
      <c r="R543" s="50"/>
      <c r="S543" s="50"/>
      <c r="T543" s="50"/>
      <c r="U543" s="11"/>
      <c r="V543" s="50"/>
      <c r="W543" s="50"/>
      <c r="X543" s="50"/>
      <c r="Y543" s="50"/>
      <c r="Z543" s="50"/>
      <c r="AA543" s="11"/>
      <c r="AB543" s="50"/>
      <c r="AC543" s="50"/>
      <c r="AD543" s="50"/>
      <c r="AE543" s="11"/>
      <c r="AF543" s="50"/>
      <c r="AG543" s="50"/>
      <c r="AH543" s="50"/>
      <c r="AI543" s="11"/>
      <c r="AJ543" s="50"/>
      <c r="AK543" s="50"/>
      <c r="AL543" s="50"/>
      <c r="AM543" s="11"/>
      <c r="AN543" s="50"/>
      <c r="AO543" s="50"/>
      <c r="AP543" s="50"/>
      <c r="AQ543" s="11"/>
      <c r="AR543" s="50"/>
      <c r="AS543" s="50"/>
      <c r="AT543" s="50"/>
      <c r="AU543" s="11"/>
      <c r="AV543" s="50"/>
      <c r="AW543" s="50"/>
      <c r="AX543" s="50"/>
      <c r="AY543" s="50"/>
      <c r="AZ543" s="50"/>
      <c r="BA543" s="50"/>
      <c r="BB543" s="50"/>
      <c r="BC543" s="50"/>
      <c r="BD543" s="50"/>
      <c r="BE543" s="20"/>
      <c r="BF543" s="518"/>
      <c r="BG543" s="484"/>
      <c r="BH543" s="484"/>
      <c r="BI543" s="527"/>
      <c r="BJ543" s="484"/>
      <c r="BK543" s="484"/>
      <c r="BL543" s="484"/>
      <c r="BM543" s="484"/>
    </row>
    <row r="544" spans="1:65" s="22" customFormat="1" x14ac:dyDescent="0.25">
      <c r="A544" s="20"/>
      <c r="B544" s="515"/>
      <c r="C544" s="11"/>
      <c r="D544" s="11"/>
      <c r="E544" s="11"/>
      <c r="F544" s="21"/>
      <c r="G544" s="11"/>
      <c r="H544" s="50"/>
      <c r="I544" s="50"/>
      <c r="J544" s="50"/>
      <c r="K544" s="11"/>
      <c r="L544" s="50"/>
      <c r="M544" s="50"/>
      <c r="N544" s="50"/>
      <c r="O544" s="50"/>
      <c r="P544" s="50"/>
      <c r="Q544" s="11"/>
      <c r="R544" s="50"/>
      <c r="S544" s="50"/>
      <c r="T544" s="50"/>
      <c r="U544" s="11"/>
      <c r="V544" s="50"/>
      <c r="W544" s="50"/>
      <c r="X544" s="50"/>
      <c r="Y544" s="50"/>
      <c r="Z544" s="50"/>
      <c r="AA544" s="11"/>
      <c r="AB544" s="50"/>
      <c r="AC544" s="50"/>
      <c r="AD544" s="50"/>
      <c r="AE544" s="11"/>
      <c r="AF544" s="50"/>
      <c r="AG544" s="50"/>
      <c r="AH544" s="50"/>
      <c r="AI544" s="11"/>
      <c r="AJ544" s="50"/>
      <c r="AK544" s="50"/>
      <c r="AL544" s="50"/>
      <c r="AM544" s="11"/>
      <c r="AN544" s="50"/>
      <c r="AO544" s="50"/>
      <c r="AP544" s="50"/>
      <c r="AQ544" s="11"/>
      <c r="AR544" s="50"/>
      <c r="AS544" s="50"/>
      <c r="AT544" s="50"/>
      <c r="AU544" s="11"/>
      <c r="AV544" s="50"/>
      <c r="AW544" s="50"/>
      <c r="AX544" s="50"/>
      <c r="AY544" s="50"/>
      <c r="AZ544" s="50"/>
      <c r="BA544" s="50"/>
      <c r="BB544" s="50"/>
      <c r="BC544" s="50"/>
      <c r="BD544" s="50"/>
      <c r="BE544" s="20"/>
      <c r="BF544" s="518"/>
      <c r="BG544" s="484"/>
      <c r="BH544" s="484"/>
      <c r="BI544" s="527"/>
      <c r="BJ544" s="484"/>
      <c r="BK544" s="484"/>
      <c r="BL544" s="484"/>
      <c r="BM544" s="484"/>
    </row>
    <row r="545" spans="1:65" s="22" customFormat="1" x14ac:dyDescent="0.25">
      <c r="A545" s="20"/>
      <c r="B545" s="515"/>
      <c r="C545" s="11"/>
      <c r="D545" s="11"/>
      <c r="E545" s="11"/>
      <c r="F545" s="21"/>
      <c r="G545" s="11"/>
      <c r="H545" s="50"/>
      <c r="I545" s="50"/>
      <c r="J545" s="50"/>
      <c r="K545" s="11"/>
      <c r="L545" s="50"/>
      <c r="M545" s="50"/>
      <c r="N545" s="50"/>
      <c r="O545" s="50"/>
      <c r="P545" s="50"/>
      <c r="Q545" s="11"/>
      <c r="R545" s="50"/>
      <c r="S545" s="50"/>
      <c r="T545" s="50"/>
      <c r="U545" s="11"/>
      <c r="V545" s="50"/>
      <c r="W545" s="50"/>
      <c r="X545" s="50"/>
      <c r="Y545" s="50"/>
      <c r="Z545" s="50"/>
      <c r="AA545" s="11"/>
      <c r="AB545" s="50"/>
      <c r="AC545" s="50"/>
      <c r="AD545" s="50"/>
      <c r="AE545" s="11"/>
      <c r="AF545" s="50"/>
      <c r="AG545" s="50"/>
      <c r="AH545" s="50"/>
      <c r="AI545" s="11"/>
      <c r="AJ545" s="50"/>
      <c r="AK545" s="50"/>
      <c r="AL545" s="50"/>
      <c r="AM545" s="11"/>
      <c r="AN545" s="50"/>
      <c r="AO545" s="50"/>
      <c r="AP545" s="50"/>
      <c r="AQ545" s="11"/>
      <c r="AR545" s="50"/>
      <c r="AS545" s="50"/>
      <c r="AT545" s="50"/>
      <c r="AU545" s="11"/>
      <c r="AV545" s="50"/>
      <c r="AW545" s="50"/>
      <c r="AX545" s="50"/>
      <c r="AY545" s="50"/>
      <c r="AZ545" s="50"/>
      <c r="BA545" s="50"/>
      <c r="BB545" s="50"/>
      <c r="BC545" s="50"/>
      <c r="BD545" s="50"/>
      <c r="BE545" s="20"/>
      <c r="BF545" s="518"/>
      <c r="BG545" s="484"/>
      <c r="BH545" s="484"/>
      <c r="BI545" s="527"/>
      <c r="BJ545" s="484"/>
      <c r="BK545" s="484"/>
      <c r="BL545" s="484"/>
      <c r="BM545" s="484"/>
    </row>
    <row r="546" spans="1:65" s="22" customFormat="1" x14ac:dyDescent="0.25">
      <c r="A546" s="20"/>
      <c r="B546" s="515"/>
      <c r="C546" s="11"/>
      <c r="D546" s="11"/>
      <c r="E546" s="11"/>
      <c r="F546" s="21"/>
      <c r="G546" s="11"/>
      <c r="H546" s="50"/>
      <c r="I546" s="50"/>
      <c r="J546" s="50"/>
      <c r="K546" s="11"/>
      <c r="L546" s="50"/>
      <c r="M546" s="50"/>
      <c r="N546" s="50"/>
      <c r="O546" s="50"/>
      <c r="P546" s="50"/>
      <c r="Q546" s="11"/>
      <c r="R546" s="50"/>
      <c r="S546" s="50"/>
      <c r="T546" s="50"/>
      <c r="U546" s="11"/>
      <c r="V546" s="50"/>
      <c r="W546" s="50"/>
      <c r="X546" s="50"/>
      <c r="Y546" s="50"/>
      <c r="Z546" s="50"/>
      <c r="AA546" s="11"/>
      <c r="AB546" s="50"/>
      <c r="AC546" s="50"/>
      <c r="AD546" s="50"/>
      <c r="AE546" s="11"/>
      <c r="AF546" s="50"/>
      <c r="AG546" s="50"/>
      <c r="AH546" s="50"/>
      <c r="AI546" s="11"/>
      <c r="AJ546" s="50"/>
      <c r="AK546" s="50"/>
      <c r="AL546" s="50"/>
      <c r="AM546" s="11"/>
      <c r="AN546" s="50"/>
      <c r="AO546" s="50"/>
      <c r="AP546" s="50"/>
      <c r="AQ546" s="11"/>
      <c r="AR546" s="50"/>
      <c r="AS546" s="50"/>
      <c r="AT546" s="50"/>
      <c r="AU546" s="11"/>
      <c r="AV546" s="50"/>
      <c r="AW546" s="50"/>
      <c r="AX546" s="50"/>
      <c r="AY546" s="50"/>
      <c r="AZ546" s="50"/>
      <c r="BA546" s="50"/>
      <c r="BB546" s="50"/>
      <c r="BC546" s="50"/>
      <c r="BD546" s="50"/>
      <c r="BE546" s="20"/>
      <c r="BF546" s="518"/>
      <c r="BG546" s="484"/>
      <c r="BH546" s="484"/>
      <c r="BI546" s="527"/>
      <c r="BJ546" s="484"/>
      <c r="BK546" s="484"/>
      <c r="BL546" s="484"/>
      <c r="BM546" s="484"/>
    </row>
    <row r="547" spans="1:65" s="22" customFormat="1" x14ac:dyDescent="0.25">
      <c r="A547" s="20"/>
      <c r="B547" s="515"/>
      <c r="C547" s="11"/>
      <c r="D547" s="11"/>
      <c r="E547" s="11"/>
      <c r="F547" s="21"/>
      <c r="G547" s="11"/>
      <c r="H547" s="50"/>
      <c r="I547" s="50"/>
      <c r="J547" s="50"/>
      <c r="K547" s="11"/>
      <c r="L547" s="50"/>
      <c r="M547" s="50"/>
      <c r="N547" s="50"/>
      <c r="O547" s="50"/>
      <c r="P547" s="50"/>
      <c r="Q547" s="11"/>
      <c r="R547" s="50"/>
      <c r="S547" s="50"/>
      <c r="T547" s="50"/>
      <c r="U547" s="11"/>
      <c r="V547" s="50"/>
      <c r="W547" s="50"/>
      <c r="X547" s="50"/>
      <c r="Y547" s="50"/>
      <c r="Z547" s="50"/>
      <c r="AA547" s="11"/>
      <c r="AB547" s="50"/>
      <c r="AC547" s="50"/>
      <c r="AD547" s="50"/>
      <c r="AE547" s="11"/>
      <c r="AF547" s="50"/>
      <c r="AG547" s="50"/>
      <c r="AH547" s="50"/>
      <c r="AI547" s="11"/>
      <c r="AJ547" s="50"/>
      <c r="AK547" s="50"/>
      <c r="AL547" s="50"/>
      <c r="AM547" s="11"/>
      <c r="AN547" s="50"/>
      <c r="AO547" s="50"/>
      <c r="AP547" s="50"/>
      <c r="AQ547" s="11"/>
      <c r="AR547" s="50"/>
      <c r="AS547" s="50"/>
      <c r="AT547" s="50"/>
      <c r="AU547" s="11"/>
      <c r="AV547" s="50"/>
      <c r="AW547" s="50"/>
      <c r="AX547" s="50"/>
      <c r="AY547" s="50"/>
      <c r="AZ547" s="50"/>
      <c r="BA547" s="50"/>
      <c r="BB547" s="50"/>
      <c r="BC547" s="50"/>
      <c r="BD547" s="50"/>
      <c r="BE547" s="20"/>
      <c r="BF547" s="518"/>
      <c r="BG547" s="484"/>
      <c r="BH547" s="484"/>
      <c r="BI547" s="527"/>
      <c r="BJ547" s="484"/>
      <c r="BK547" s="484"/>
      <c r="BL547" s="484"/>
      <c r="BM547" s="484"/>
    </row>
    <row r="548" spans="1:65" s="22" customFormat="1" x14ac:dyDescent="0.25">
      <c r="A548" s="20"/>
      <c r="B548" s="515"/>
      <c r="C548" s="11"/>
      <c r="D548" s="11"/>
      <c r="E548" s="11"/>
      <c r="F548" s="21"/>
      <c r="G548" s="11"/>
      <c r="H548" s="50"/>
      <c r="I548" s="50"/>
      <c r="J548" s="50"/>
      <c r="K548" s="11"/>
      <c r="L548" s="50"/>
      <c r="M548" s="50"/>
      <c r="N548" s="50"/>
      <c r="O548" s="50"/>
      <c r="P548" s="50"/>
      <c r="Q548" s="11"/>
      <c r="R548" s="50"/>
      <c r="S548" s="50"/>
      <c r="T548" s="50"/>
      <c r="U548" s="11"/>
      <c r="V548" s="50"/>
      <c r="W548" s="50"/>
      <c r="X548" s="50"/>
      <c r="Y548" s="50"/>
      <c r="Z548" s="50"/>
      <c r="AA548" s="11"/>
      <c r="AB548" s="50"/>
      <c r="AC548" s="50"/>
      <c r="AD548" s="50"/>
      <c r="AE548" s="11"/>
      <c r="AF548" s="50"/>
      <c r="AG548" s="50"/>
      <c r="AH548" s="50"/>
      <c r="AI548" s="11"/>
      <c r="AJ548" s="50"/>
      <c r="AK548" s="50"/>
      <c r="AL548" s="50"/>
      <c r="AM548" s="11"/>
      <c r="AN548" s="50"/>
      <c r="AO548" s="50"/>
      <c r="AP548" s="50"/>
      <c r="AQ548" s="11"/>
      <c r="AR548" s="50"/>
      <c r="AS548" s="50"/>
      <c r="AT548" s="50"/>
      <c r="AU548" s="11"/>
      <c r="AV548" s="50"/>
      <c r="AW548" s="50"/>
      <c r="AX548" s="50"/>
      <c r="AY548" s="50"/>
      <c r="AZ548" s="50"/>
      <c r="BA548" s="50"/>
      <c r="BB548" s="50"/>
      <c r="BC548" s="50"/>
      <c r="BD548" s="50"/>
      <c r="BE548" s="20"/>
      <c r="BF548" s="518"/>
      <c r="BG548" s="484"/>
      <c r="BH548" s="484"/>
      <c r="BI548" s="527"/>
      <c r="BJ548" s="484"/>
      <c r="BK548" s="484"/>
      <c r="BL548" s="484"/>
      <c r="BM548" s="484"/>
    </row>
    <row r="549" spans="1:65" s="22" customFormat="1" x14ac:dyDescent="0.25">
      <c r="A549" s="20"/>
      <c r="B549" s="515"/>
      <c r="C549" s="11"/>
      <c r="D549" s="11"/>
      <c r="E549" s="11"/>
      <c r="F549" s="21"/>
      <c r="G549" s="11"/>
      <c r="H549" s="50"/>
      <c r="I549" s="50"/>
      <c r="J549" s="50"/>
      <c r="K549" s="11"/>
      <c r="L549" s="50"/>
      <c r="M549" s="50"/>
      <c r="N549" s="50"/>
      <c r="O549" s="50"/>
      <c r="P549" s="50"/>
      <c r="Q549" s="11"/>
      <c r="R549" s="50"/>
      <c r="S549" s="50"/>
      <c r="T549" s="50"/>
      <c r="U549" s="11"/>
      <c r="V549" s="50"/>
      <c r="W549" s="50"/>
      <c r="X549" s="50"/>
      <c r="Y549" s="50"/>
      <c r="Z549" s="50"/>
      <c r="AA549" s="11"/>
      <c r="AB549" s="50"/>
      <c r="AC549" s="50"/>
      <c r="AD549" s="50"/>
      <c r="AE549" s="11"/>
      <c r="AF549" s="50"/>
      <c r="AG549" s="50"/>
      <c r="AH549" s="50"/>
      <c r="AI549" s="11"/>
      <c r="AJ549" s="50"/>
      <c r="AK549" s="50"/>
      <c r="AL549" s="50"/>
      <c r="AM549" s="11"/>
      <c r="AN549" s="50"/>
      <c r="AO549" s="50"/>
      <c r="AP549" s="50"/>
      <c r="AQ549" s="11"/>
      <c r="AR549" s="50"/>
      <c r="AS549" s="50"/>
      <c r="AT549" s="50"/>
      <c r="AU549" s="11"/>
      <c r="AV549" s="50"/>
      <c r="AW549" s="50"/>
      <c r="AX549" s="50"/>
      <c r="AY549" s="50"/>
      <c r="AZ549" s="50"/>
      <c r="BA549" s="50"/>
      <c r="BB549" s="50"/>
      <c r="BC549" s="50"/>
      <c r="BD549" s="50"/>
      <c r="BE549" s="20"/>
      <c r="BF549" s="518"/>
      <c r="BG549" s="484"/>
      <c r="BH549" s="484"/>
      <c r="BI549" s="527"/>
      <c r="BJ549" s="484"/>
      <c r="BK549" s="484"/>
      <c r="BL549" s="484"/>
      <c r="BM549" s="484"/>
    </row>
    <row r="550" spans="1:65" s="22" customFormat="1" x14ac:dyDescent="0.25">
      <c r="A550" s="20"/>
      <c r="B550" s="515"/>
      <c r="C550" s="11"/>
      <c r="D550" s="11"/>
      <c r="E550" s="11"/>
      <c r="F550" s="21"/>
      <c r="G550" s="11"/>
      <c r="H550" s="50"/>
      <c r="I550" s="50"/>
      <c r="J550" s="50"/>
      <c r="K550" s="11"/>
      <c r="L550" s="50"/>
      <c r="M550" s="50"/>
      <c r="N550" s="50"/>
      <c r="O550" s="50"/>
      <c r="P550" s="50"/>
      <c r="Q550" s="11"/>
      <c r="R550" s="50"/>
      <c r="S550" s="50"/>
      <c r="T550" s="50"/>
      <c r="U550" s="11"/>
      <c r="V550" s="50"/>
      <c r="W550" s="50"/>
      <c r="X550" s="50"/>
      <c r="Y550" s="50"/>
      <c r="Z550" s="50"/>
      <c r="AA550" s="11"/>
      <c r="AB550" s="50"/>
      <c r="AC550" s="50"/>
      <c r="AD550" s="50"/>
      <c r="AE550" s="11"/>
      <c r="AF550" s="50"/>
      <c r="AG550" s="50"/>
      <c r="AH550" s="50"/>
      <c r="AI550" s="11"/>
      <c r="AJ550" s="50"/>
      <c r="AK550" s="50"/>
      <c r="AL550" s="50"/>
      <c r="AM550" s="11"/>
      <c r="AN550" s="50"/>
      <c r="AO550" s="50"/>
      <c r="AP550" s="50"/>
      <c r="AQ550" s="11"/>
      <c r="AR550" s="50"/>
      <c r="AS550" s="50"/>
      <c r="AT550" s="50"/>
      <c r="AU550" s="11"/>
      <c r="AV550" s="50"/>
      <c r="AW550" s="50"/>
      <c r="AX550" s="50"/>
      <c r="AY550" s="50"/>
      <c r="AZ550" s="50"/>
      <c r="BA550" s="50"/>
      <c r="BB550" s="50"/>
      <c r="BC550" s="50"/>
      <c r="BD550" s="50"/>
      <c r="BE550" s="20"/>
      <c r="BF550" s="518"/>
      <c r="BG550" s="484"/>
      <c r="BH550" s="484"/>
      <c r="BI550" s="527"/>
      <c r="BJ550" s="484"/>
      <c r="BK550" s="484"/>
      <c r="BL550" s="484"/>
      <c r="BM550" s="484"/>
    </row>
    <row r="551" spans="1:65" s="22" customFormat="1" x14ac:dyDescent="0.25">
      <c r="A551" s="20"/>
      <c r="B551" s="515"/>
      <c r="C551" s="11"/>
      <c r="D551" s="11"/>
      <c r="E551" s="11"/>
      <c r="F551" s="21"/>
      <c r="G551" s="11"/>
      <c r="H551" s="50"/>
      <c r="I551" s="50"/>
      <c r="J551" s="50"/>
      <c r="K551" s="11"/>
      <c r="L551" s="50"/>
      <c r="M551" s="50"/>
      <c r="N551" s="50"/>
      <c r="O551" s="50"/>
      <c r="P551" s="50"/>
      <c r="Q551" s="11"/>
      <c r="R551" s="50"/>
      <c r="S551" s="50"/>
      <c r="T551" s="50"/>
      <c r="U551" s="11"/>
      <c r="V551" s="50"/>
      <c r="W551" s="50"/>
      <c r="X551" s="50"/>
      <c r="Y551" s="50"/>
      <c r="Z551" s="50"/>
      <c r="AA551" s="11"/>
      <c r="AB551" s="50"/>
      <c r="AC551" s="50"/>
      <c r="AD551" s="50"/>
      <c r="AE551" s="11"/>
      <c r="AF551" s="50"/>
      <c r="AG551" s="50"/>
      <c r="AH551" s="50"/>
      <c r="AI551" s="11"/>
      <c r="AJ551" s="50"/>
      <c r="AK551" s="50"/>
      <c r="AL551" s="50"/>
      <c r="AM551" s="11"/>
      <c r="AN551" s="50"/>
      <c r="AO551" s="50"/>
      <c r="AP551" s="50"/>
      <c r="AQ551" s="11"/>
      <c r="AR551" s="50"/>
      <c r="AS551" s="50"/>
      <c r="AT551" s="50"/>
      <c r="AU551" s="11"/>
      <c r="AV551" s="50"/>
      <c r="AW551" s="50"/>
      <c r="AX551" s="50"/>
      <c r="AY551" s="50"/>
      <c r="AZ551" s="50"/>
      <c r="BA551" s="50"/>
      <c r="BB551" s="50"/>
      <c r="BC551" s="50"/>
      <c r="BD551" s="50"/>
      <c r="BE551" s="20"/>
      <c r="BF551" s="518"/>
      <c r="BG551" s="484"/>
      <c r="BH551" s="484"/>
      <c r="BI551" s="527"/>
      <c r="BJ551" s="484"/>
      <c r="BK551" s="484"/>
      <c r="BL551" s="484"/>
      <c r="BM551" s="484"/>
    </row>
    <row r="552" spans="1:65" s="22" customFormat="1" x14ac:dyDescent="0.25">
      <c r="A552" s="20"/>
      <c r="B552" s="515"/>
      <c r="C552" s="11"/>
      <c r="D552" s="11"/>
      <c r="E552" s="11"/>
      <c r="F552" s="21"/>
      <c r="G552" s="11"/>
      <c r="H552" s="50"/>
      <c r="I552" s="50"/>
      <c r="J552" s="50"/>
      <c r="K552" s="11"/>
      <c r="L552" s="50"/>
      <c r="M552" s="50"/>
      <c r="N552" s="50"/>
      <c r="O552" s="50"/>
      <c r="P552" s="50"/>
      <c r="Q552" s="11"/>
      <c r="R552" s="50"/>
      <c r="S552" s="50"/>
      <c r="T552" s="50"/>
      <c r="U552" s="11"/>
      <c r="V552" s="50"/>
      <c r="W552" s="50"/>
      <c r="X552" s="50"/>
      <c r="Y552" s="50"/>
      <c r="Z552" s="50"/>
      <c r="AA552" s="11"/>
      <c r="AB552" s="50"/>
      <c r="AC552" s="50"/>
      <c r="AD552" s="50"/>
      <c r="AE552" s="11"/>
      <c r="AF552" s="50"/>
      <c r="AG552" s="50"/>
      <c r="AH552" s="50"/>
      <c r="AI552" s="11"/>
      <c r="AJ552" s="50"/>
      <c r="AK552" s="50"/>
      <c r="AL552" s="50"/>
      <c r="AM552" s="11"/>
      <c r="AN552" s="50"/>
      <c r="AO552" s="50"/>
      <c r="AP552" s="50"/>
      <c r="AQ552" s="11"/>
      <c r="AR552" s="50"/>
      <c r="AS552" s="50"/>
      <c r="AT552" s="50"/>
      <c r="AU552" s="11"/>
      <c r="AV552" s="50"/>
      <c r="AW552" s="50"/>
      <c r="AX552" s="50"/>
      <c r="AY552" s="50"/>
      <c r="AZ552" s="50"/>
      <c r="BA552" s="50"/>
      <c r="BB552" s="50"/>
      <c r="BC552" s="50"/>
      <c r="BD552" s="50"/>
      <c r="BE552" s="20"/>
      <c r="BF552" s="518"/>
      <c r="BG552" s="484"/>
      <c r="BH552" s="484"/>
      <c r="BI552" s="527"/>
      <c r="BJ552" s="484"/>
      <c r="BK552" s="484"/>
      <c r="BL552" s="484"/>
      <c r="BM552" s="484"/>
    </row>
    <row r="553" spans="1:65" s="22" customFormat="1" x14ac:dyDescent="0.25">
      <c r="A553" s="20"/>
      <c r="B553" s="515"/>
      <c r="C553" s="11"/>
      <c r="D553" s="11"/>
      <c r="E553" s="11"/>
      <c r="F553" s="21"/>
      <c r="G553" s="11"/>
      <c r="H553" s="50"/>
      <c r="I553" s="50"/>
      <c r="J553" s="50"/>
      <c r="K553" s="11"/>
      <c r="L553" s="50"/>
      <c r="M553" s="50"/>
      <c r="N553" s="50"/>
      <c r="O553" s="50"/>
      <c r="P553" s="50"/>
      <c r="Q553" s="11"/>
      <c r="R553" s="50"/>
      <c r="S553" s="50"/>
      <c r="T553" s="50"/>
      <c r="U553" s="11"/>
      <c r="V553" s="50"/>
      <c r="W553" s="50"/>
      <c r="X553" s="50"/>
      <c r="Y553" s="50"/>
      <c r="Z553" s="50"/>
      <c r="AA553" s="11"/>
      <c r="AB553" s="50"/>
      <c r="AC553" s="50"/>
      <c r="AD553" s="50"/>
      <c r="AE553" s="11"/>
      <c r="AF553" s="50"/>
      <c r="AG553" s="50"/>
      <c r="AH553" s="50"/>
      <c r="AI553" s="11"/>
      <c r="AJ553" s="50"/>
      <c r="AK553" s="50"/>
      <c r="AL553" s="50"/>
      <c r="AM553" s="11"/>
      <c r="AN553" s="50"/>
      <c r="AO553" s="50"/>
      <c r="AP553" s="50"/>
      <c r="AQ553" s="11"/>
      <c r="AR553" s="50"/>
      <c r="AS553" s="50"/>
      <c r="AT553" s="50"/>
      <c r="AU553" s="11"/>
      <c r="AV553" s="50"/>
      <c r="AW553" s="50"/>
      <c r="AX553" s="50"/>
      <c r="AY553" s="50"/>
      <c r="AZ553" s="50"/>
      <c r="BA553" s="50"/>
      <c r="BB553" s="50"/>
      <c r="BC553" s="50"/>
      <c r="BD553" s="50"/>
      <c r="BE553" s="20"/>
      <c r="BF553" s="518"/>
      <c r="BG553" s="484"/>
      <c r="BH553" s="484"/>
      <c r="BI553" s="527"/>
      <c r="BJ553" s="484"/>
      <c r="BK553" s="484"/>
      <c r="BL553" s="484"/>
      <c r="BM553" s="484"/>
    </row>
    <row r="554" spans="1:65" s="22" customFormat="1" x14ac:dyDescent="0.25">
      <c r="A554" s="20"/>
      <c r="B554" s="515"/>
      <c r="C554" s="11"/>
      <c r="D554" s="11"/>
      <c r="E554" s="11"/>
      <c r="F554" s="21"/>
      <c r="G554" s="11"/>
      <c r="H554" s="50"/>
      <c r="I554" s="50"/>
      <c r="J554" s="50"/>
      <c r="K554" s="11"/>
      <c r="L554" s="50"/>
      <c r="M554" s="50"/>
      <c r="N554" s="50"/>
      <c r="O554" s="50"/>
      <c r="P554" s="50"/>
      <c r="Q554" s="11"/>
      <c r="R554" s="50"/>
      <c r="S554" s="50"/>
      <c r="T554" s="50"/>
      <c r="U554" s="11"/>
      <c r="V554" s="50"/>
      <c r="W554" s="50"/>
      <c r="X554" s="50"/>
      <c r="Y554" s="50"/>
      <c r="Z554" s="50"/>
      <c r="AA554" s="11"/>
      <c r="AB554" s="50"/>
      <c r="AC554" s="50"/>
      <c r="AD554" s="50"/>
      <c r="AE554" s="11"/>
      <c r="AF554" s="50"/>
      <c r="AG554" s="50"/>
      <c r="AH554" s="50"/>
      <c r="AI554" s="11"/>
      <c r="AJ554" s="50"/>
      <c r="AK554" s="50"/>
      <c r="AL554" s="50"/>
      <c r="AM554" s="11"/>
      <c r="AN554" s="50"/>
      <c r="AO554" s="50"/>
      <c r="AP554" s="50"/>
      <c r="AQ554" s="11"/>
      <c r="AR554" s="50"/>
      <c r="AS554" s="50"/>
      <c r="AT554" s="50"/>
      <c r="AU554" s="11"/>
      <c r="AV554" s="50"/>
      <c r="AW554" s="50"/>
      <c r="AX554" s="50"/>
      <c r="AY554" s="50"/>
      <c r="AZ554" s="50"/>
      <c r="BA554" s="50"/>
      <c r="BB554" s="50"/>
      <c r="BC554" s="50"/>
      <c r="BD554" s="50"/>
      <c r="BE554" s="20"/>
      <c r="BF554" s="518"/>
      <c r="BG554" s="484"/>
      <c r="BH554" s="484"/>
      <c r="BI554" s="527"/>
      <c r="BJ554" s="484"/>
      <c r="BK554" s="484"/>
      <c r="BL554" s="484"/>
      <c r="BM554" s="484"/>
    </row>
    <row r="555" spans="1:65" s="22" customFormat="1" x14ac:dyDescent="0.25">
      <c r="A555" s="20"/>
      <c r="B555" s="515"/>
      <c r="C555" s="11"/>
      <c r="D555" s="11"/>
      <c r="E555" s="11"/>
      <c r="F555" s="21"/>
      <c r="G555" s="11"/>
      <c r="H555" s="50"/>
      <c r="I555" s="50"/>
      <c r="J555" s="50"/>
      <c r="K555" s="11"/>
      <c r="L555" s="50"/>
      <c r="M555" s="50"/>
      <c r="N555" s="50"/>
      <c r="O555" s="50"/>
      <c r="P555" s="50"/>
      <c r="Q555" s="11"/>
      <c r="R555" s="50"/>
      <c r="S555" s="50"/>
      <c r="T555" s="50"/>
      <c r="U555" s="11"/>
      <c r="V555" s="50"/>
      <c r="W555" s="50"/>
      <c r="X555" s="50"/>
      <c r="Y555" s="50"/>
      <c r="Z555" s="50"/>
      <c r="AA555" s="11"/>
      <c r="AB555" s="50"/>
      <c r="AC555" s="50"/>
      <c r="AD555" s="50"/>
      <c r="AE555" s="11"/>
      <c r="AF555" s="50"/>
      <c r="AG555" s="50"/>
      <c r="AH555" s="50"/>
      <c r="AI555" s="11"/>
      <c r="AJ555" s="50"/>
      <c r="AK555" s="50"/>
      <c r="AL555" s="50"/>
      <c r="AM555" s="11"/>
      <c r="AN555" s="50"/>
      <c r="AO555" s="50"/>
      <c r="AP555" s="50"/>
      <c r="AQ555" s="11"/>
      <c r="AR555" s="50"/>
      <c r="AS555" s="50"/>
      <c r="AT555" s="50"/>
      <c r="AU555" s="11"/>
      <c r="AV555" s="50"/>
      <c r="AW555" s="50"/>
      <c r="AX555" s="50"/>
      <c r="AY555" s="50"/>
      <c r="AZ555" s="50"/>
      <c r="BA555" s="50"/>
      <c r="BB555" s="50"/>
      <c r="BC555" s="50"/>
      <c r="BD555" s="50"/>
      <c r="BE555" s="20"/>
      <c r="BF555" s="518"/>
      <c r="BG555" s="484"/>
      <c r="BH555" s="484"/>
      <c r="BI555" s="527"/>
      <c r="BJ555" s="484"/>
      <c r="BK555" s="484"/>
      <c r="BL555" s="484"/>
      <c r="BM555" s="484"/>
    </row>
    <row r="556" spans="1:65" s="22" customFormat="1" x14ac:dyDescent="0.25">
      <c r="A556" s="20"/>
      <c r="B556" s="515"/>
      <c r="C556" s="11"/>
      <c r="D556" s="11"/>
      <c r="E556" s="11"/>
      <c r="F556" s="21"/>
      <c r="G556" s="11"/>
      <c r="H556" s="50"/>
      <c r="I556" s="50"/>
      <c r="J556" s="50"/>
      <c r="K556" s="11"/>
      <c r="L556" s="50"/>
      <c r="M556" s="50"/>
      <c r="N556" s="50"/>
      <c r="O556" s="50"/>
      <c r="P556" s="50"/>
      <c r="Q556" s="11"/>
      <c r="R556" s="50"/>
      <c r="S556" s="50"/>
      <c r="T556" s="50"/>
      <c r="U556" s="11"/>
      <c r="V556" s="50"/>
      <c r="W556" s="50"/>
      <c r="X556" s="50"/>
      <c r="Y556" s="50"/>
      <c r="Z556" s="50"/>
      <c r="AA556" s="11"/>
      <c r="AB556" s="50"/>
      <c r="AC556" s="50"/>
      <c r="AD556" s="50"/>
      <c r="AE556" s="11"/>
      <c r="AF556" s="50"/>
      <c r="AG556" s="50"/>
      <c r="AH556" s="50"/>
      <c r="AI556" s="11"/>
      <c r="AJ556" s="50"/>
      <c r="AK556" s="50"/>
      <c r="AL556" s="50"/>
      <c r="AM556" s="11"/>
      <c r="AN556" s="50"/>
      <c r="AO556" s="50"/>
      <c r="AP556" s="50"/>
      <c r="AQ556" s="11"/>
      <c r="AR556" s="50"/>
      <c r="AS556" s="50"/>
      <c r="AT556" s="50"/>
      <c r="AU556" s="11"/>
      <c r="AV556" s="50"/>
      <c r="AW556" s="50"/>
      <c r="AX556" s="50"/>
      <c r="AY556" s="50"/>
      <c r="AZ556" s="50"/>
      <c r="BA556" s="50"/>
      <c r="BB556" s="50"/>
      <c r="BC556" s="50"/>
      <c r="BD556" s="50"/>
      <c r="BE556" s="20"/>
      <c r="BF556" s="518"/>
      <c r="BG556" s="484"/>
      <c r="BH556" s="484"/>
      <c r="BI556" s="527"/>
      <c r="BJ556" s="484"/>
      <c r="BK556" s="484"/>
      <c r="BL556" s="484"/>
      <c r="BM556" s="484"/>
    </row>
    <row r="557" spans="1:65" s="22" customFormat="1" x14ac:dyDescent="0.25">
      <c r="A557" s="20"/>
      <c r="B557" s="515"/>
      <c r="C557" s="11"/>
      <c r="D557" s="11"/>
      <c r="E557" s="11"/>
      <c r="F557" s="21"/>
      <c r="G557" s="11"/>
      <c r="H557" s="50"/>
      <c r="I557" s="50"/>
      <c r="J557" s="50"/>
      <c r="K557" s="11"/>
      <c r="L557" s="50"/>
      <c r="M557" s="50"/>
      <c r="N557" s="50"/>
      <c r="O557" s="50"/>
      <c r="P557" s="50"/>
      <c r="Q557" s="11"/>
      <c r="R557" s="50"/>
      <c r="S557" s="50"/>
      <c r="T557" s="50"/>
      <c r="U557" s="11"/>
      <c r="V557" s="50"/>
      <c r="W557" s="50"/>
      <c r="X557" s="50"/>
      <c r="Y557" s="50"/>
      <c r="Z557" s="50"/>
      <c r="AA557" s="11"/>
      <c r="AB557" s="50"/>
      <c r="AC557" s="50"/>
      <c r="AD557" s="50"/>
      <c r="AE557" s="11"/>
      <c r="AF557" s="50"/>
      <c r="AG557" s="50"/>
      <c r="AH557" s="50"/>
      <c r="AI557" s="11"/>
      <c r="AJ557" s="50"/>
      <c r="AK557" s="50"/>
      <c r="AL557" s="50"/>
      <c r="AM557" s="11"/>
      <c r="AN557" s="50"/>
      <c r="AO557" s="50"/>
      <c r="AP557" s="50"/>
      <c r="AQ557" s="11"/>
      <c r="AR557" s="50"/>
      <c r="AS557" s="50"/>
      <c r="AT557" s="50"/>
      <c r="AU557" s="11"/>
      <c r="AV557" s="50"/>
      <c r="AW557" s="50"/>
      <c r="AX557" s="50"/>
      <c r="AY557" s="50"/>
      <c r="AZ557" s="50"/>
      <c r="BA557" s="50"/>
      <c r="BB557" s="50"/>
      <c r="BC557" s="50"/>
      <c r="BD557" s="50"/>
      <c r="BE557" s="20"/>
      <c r="BF557" s="518"/>
      <c r="BG557" s="484"/>
      <c r="BH557" s="484"/>
      <c r="BI557" s="527"/>
      <c r="BJ557" s="484"/>
      <c r="BK557" s="484"/>
      <c r="BL557" s="484"/>
      <c r="BM557" s="484"/>
    </row>
    <row r="558" spans="1:65" s="22" customFormat="1" x14ac:dyDescent="0.25">
      <c r="A558" s="20"/>
      <c r="B558" s="515"/>
      <c r="C558" s="11"/>
      <c r="D558" s="11"/>
      <c r="E558" s="11"/>
      <c r="F558" s="21"/>
      <c r="G558" s="11"/>
      <c r="H558" s="50"/>
      <c r="I558" s="50"/>
      <c r="J558" s="50"/>
      <c r="K558" s="11"/>
      <c r="L558" s="50"/>
      <c r="M558" s="50"/>
      <c r="N558" s="50"/>
      <c r="O558" s="50"/>
      <c r="P558" s="50"/>
      <c r="Q558" s="11"/>
      <c r="R558" s="50"/>
      <c r="S558" s="50"/>
      <c r="T558" s="50"/>
      <c r="U558" s="11"/>
      <c r="V558" s="50"/>
      <c r="W558" s="50"/>
      <c r="X558" s="50"/>
      <c r="Y558" s="50"/>
      <c r="Z558" s="50"/>
      <c r="AA558" s="11"/>
      <c r="AB558" s="50"/>
      <c r="AC558" s="50"/>
      <c r="AD558" s="50"/>
      <c r="AE558" s="11"/>
      <c r="AF558" s="50"/>
      <c r="AG558" s="50"/>
      <c r="AH558" s="50"/>
      <c r="AI558" s="11"/>
      <c r="AJ558" s="50"/>
      <c r="AK558" s="50"/>
      <c r="AL558" s="50"/>
      <c r="AM558" s="11"/>
      <c r="AN558" s="50"/>
      <c r="AO558" s="50"/>
      <c r="AP558" s="50"/>
      <c r="AQ558" s="11"/>
      <c r="AR558" s="50"/>
      <c r="AS558" s="50"/>
      <c r="AT558" s="50"/>
      <c r="AU558" s="11"/>
      <c r="AV558" s="50"/>
      <c r="AW558" s="50"/>
      <c r="AX558" s="50"/>
      <c r="AY558" s="50"/>
      <c r="AZ558" s="50"/>
      <c r="BA558" s="50"/>
      <c r="BB558" s="50"/>
      <c r="BC558" s="50"/>
      <c r="BD558" s="50"/>
      <c r="BE558" s="20"/>
      <c r="BF558" s="518"/>
      <c r="BG558" s="484"/>
      <c r="BH558" s="484"/>
      <c r="BI558" s="527"/>
      <c r="BJ558" s="484"/>
      <c r="BK558" s="484"/>
      <c r="BL558" s="484"/>
      <c r="BM558" s="484"/>
    </row>
    <row r="559" spans="1:65" s="22" customFormat="1" x14ac:dyDescent="0.25">
      <c r="A559" s="20"/>
      <c r="B559" s="515"/>
      <c r="C559" s="11"/>
      <c r="D559" s="11"/>
      <c r="E559" s="11"/>
      <c r="F559" s="21"/>
      <c r="G559" s="11"/>
      <c r="H559" s="50"/>
      <c r="I559" s="50"/>
      <c r="J559" s="50"/>
      <c r="K559" s="11"/>
      <c r="L559" s="50"/>
      <c r="M559" s="50"/>
      <c r="N559" s="50"/>
      <c r="O559" s="50"/>
      <c r="P559" s="50"/>
      <c r="Q559" s="11"/>
      <c r="R559" s="50"/>
      <c r="S559" s="50"/>
      <c r="T559" s="50"/>
      <c r="U559" s="11"/>
      <c r="V559" s="50"/>
      <c r="W559" s="50"/>
      <c r="X559" s="50"/>
      <c r="Y559" s="50"/>
      <c r="Z559" s="50"/>
      <c r="AA559" s="11"/>
      <c r="AB559" s="50"/>
      <c r="AC559" s="50"/>
      <c r="AD559" s="50"/>
      <c r="AE559" s="11"/>
      <c r="AF559" s="50"/>
      <c r="AG559" s="50"/>
      <c r="AH559" s="50"/>
      <c r="AI559" s="11"/>
      <c r="AJ559" s="50"/>
      <c r="AK559" s="50"/>
      <c r="AL559" s="50"/>
      <c r="AM559" s="11"/>
      <c r="AN559" s="50"/>
      <c r="AO559" s="50"/>
      <c r="AP559" s="50"/>
      <c r="AQ559" s="11"/>
      <c r="AR559" s="50"/>
      <c r="AS559" s="50"/>
      <c r="AT559" s="50"/>
      <c r="AU559" s="11"/>
      <c r="AV559" s="50"/>
      <c r="AW559" s="50"/>
      <c r="AX559" s="50"/>
      <c r="AY559" s="50"/>
      <c r="AZ559" s="50"/>
      <c r="BA559" s="50"/>
      <c r="BB559" s="50"/>
      <c r="BC559" s="50"/>
      <c r="BD559" s="50"/>
      <c r="BE559" s="20"/>
      <c r="BF559" s="518"/>
      <c r="BG559" s="484"/>
      <c r="BH559" s="484"/>
      <c r="BI559" s="527"/>
      <c r="BJ559" s="484"/>
      <c r="BK559" s="484"/>
      <c r="BL559" s="484"/>
      <c r="BM559" s="484"/>
    </row>
    <row r="560" spans="1:65" s="22" customFormat="1" x14ac:dyDescent="0.25">
      <c r="A560" s="20"/>
      <c r="B560" s="515"/>
      <c r="C560" s="11"/>
      <c r="D560" s="11"/>
      <c r="E560" s="11"/>
      <c r="F560" s="21"/>
      <c r="G560" s="11"/>
      <c r="H560" s="50"/>
      <c r="I560" s="50"/>
      <c r="J560" s="50"/>
      <c r="K560" s="11"/>
      <c r="L560" s="50"/>
      <c r="M560" s="50"/>
      <c r="N560" s="50"/>
      <c r="O560" s="50"/>
      <c r="P560" s="50"/>
      <c r="Q560" s="11"/>
      <c r="R560" s="50"/>
      <c r="S560" s="50"/>
      <c r="T560" s="50"/>
      <c r="U560" s="11"/>
      <c r="V560" s="50"/>
      <c r="W560" s="50"/>
      <c r="X560" s="50"/>
      <c r="Y560" s="50"/>
      <c r="Z560" s="50"/>
      <c r="AA560" s="11"/>
      <c r="AB560" s="50"/>
      <c r="AC560" s="50"/>
      <c r="AD560" s="50"/>
      <c r="AE560" s="11"/>
      <c r="AF560" s="50"/>
      <c r="AG560" s="50"/>
      <c r="AH560" s="50"/>
      <c r="AI560" s="11"/>
      <c r="AJ560" s="50"/>
      <c r="AK560" s="50"/>
      <c r="AL560" s="50"/>
      <c r="AM560" s="11"/>
      <c r="AN560" s="50"/>
      <c r="AO560" s="50"/>
      <c r="AP560" s="50"/>
      <c r="AQ560" s="11"/>
      <c r="AR560" s="50"/>
      <c r="AS560" s="50"/>
      <c r="AT560" s="50"/>
      <c r="AU560" s="11"/>
      <c r="AV560" s="50"/>
      <c r="AW560" s="50"/>
      <c r="AX560" s="50"/>
      <c r="AY560" s="50"/>
      <c r="AZ560" s="50"/>
      <c r="BA560" s="50"/>
      <c r="BB560" s="50"/>
      <c r="BC560" s="50"/>
      <c r="BD560" s="50"/>
      <c r="BE560" s="20"/>
      <c r="BF560" s="518"/>
      <c r="BG560" s="484"/>
      <c r="BH560" s="484"/>
      <c r="BI560" s="527"/>
      <c r="BJ560" s="484"/>
      <c r="BK560" s="484"/>
      <c r="BL560" s="484"/>
      <c r="BM560" s="484"/>
    </row>
    <row r="561" spans="1:65" s="22" customFormat="1" x14ac:dyDescent="0.25">
      <c r="A561" s="20"/>
      <c r="B561" s="515"/>
      <c r="C561" s="11"/>
      <c r="D561" s="11"/>
      <c r="E561" s="11"/>
      <c r="F561" s="21"/>
      <c r="G561" s="11"/>
      <c r="H561" s="50"/>
      <c r="I561" s="50"/>
      <c r="J561" s="50"/>
      <c r="K561" s="11"/>
      <c r="L561" s="50"/>
      <c r="M561" s="50"/>
      <c r="N561" s="50"/>
      <c r="O561" s="50"/>
      <c r="P561" s="50"/>
      <c r="Q561" s="11"/>
      <c r="R561" s="50"/>
      <c r="S561" s="50"/>
      <c r="T561" s="50"/>
      <c r="U561" s="11"/>
      <c r="V561" s="50"/>
      <c r="W561" s="50"/>
      <c r="X561" s="50"/>
      <c r="Y561" s="50"/>
      <c r="Z561" s="50"/>
      <c r="AA561" s="11"/>
      <c r="AB561" s="50"/>
      <c r="AC561" s="50"/>
      <c r="AD561" s="50"/>
      <c r="AE561" s="11"/>
      <c r="AF561" s="50"/>
      <c r="AG561" s="50"/>
      <c r="AH561" s="50"/>
      <c r="AI561" s="11"/>
      <c r="AJ561" s="50"/>
      <c r="AK561" s="50"/>
      <c r="AL561" s="50"/>
      <c r="AM561" s="11"/>
      <c r="AN561" s="50"/>
      <c r="AO561" s="50"/>
      <c r="AP561" s="50"/>
      <c r="AQ561" s="11"/>
      <c r="AR561" s="50"/>
      <c r="AS561" s="50"/>
      <c r="AT561" s="50"/>
      <c r="AU561" s="11"/>
      <c r="AV561" s="50"/>
      <c r="AW561" s="50"/>
      <c r="AX561" s="50"/>
      <c r="AY561" s="50"/>
      <c r="AZ561" s="50"/>
      <c r="BA561" s="50"/>
      <c r="BB561" s="50"/>
      <c r="BC561" s="50"/>
      <c r="BD561" s="50"/>
      <c r="BE561" s="20"/>
      <c r="BF561" s="518"/>
      <c r="BG561" s="484"/>
      <c r="BH561" s="484"/>
      <c r="BI561" s="527"/>
      <c r="BJ561" s="484"/>
      <c r="BK561" s="484"/>
      <c r="BL561" s="484"/>
      <c r="BM561" s="484"/>
    </row>
    <row r="562" spans="1:65" s="22" customFormat="1" x14ac:dyDescent="0.25">
      <c r="A562" s="20"/>
      <c r="B562" s="515"/>
      <c r="C562" s="11"/>
      <c r="D562" s="11"/>
      <c r="E562" s="11"/>
      <c r="F562" s="21"/>
      <c r="G562" s="11"/>
      <c r="H562" s="50"/>
      <c r="I562" s="50"/>
      <c r="J562" s="50"/>
      <c r="K562" s="11"/>
      <c r="L562" s="50"/>
      <c r="M562" s="50"/>
      <c r="N562" s="50"/>
      <c r="O562" s="50"/>
      <c r="P562" s="50"/>
      <c r="Q562" s="11"/>
      <c r="R562" s="50"/>
      <c r="S562" s="50"/>
      <c r="T562" s="50"/>
      <c r="U562" s="11"/>
      <c r="V562" s="50"/>
      <c r="W562" s="50"/>
      <c r="X562" s="50"/>
      <c r="Y562" s="50"/>
      <c r="Z562" s="50"/>
      <c r="AA562" s="11"/>
      <c r="AB562" s="50"/>
      <c r="AC562" s="50"/>
      <c r="AD562" s="50"/>
      <c r="AE562" s="11"/>
      <c r="AF562" s="50"/>
      <c r="AG562" s="50"/>
      <c r="AH562" s="50"/>
      <c r="AI562" s="11"/>
      <c r="AJ562" s="50"/>
      <c r="AK562" s="50"/>
      <c r="AL562" s="50"/>
      <c r="AM562" s="11"/>
      <c r="AN562" s="50"/>
      <c r="AO562" s="50"/>
      <c r="AP562" s="50"/>
      <c r="AQ562" s="11"/>
      <c r="AR562" s="50"/>
      <c r="AS562" s="50"/>
      <c r="AT562" s="50"/>
      <c r="AU562" s="11"/>
      <c r="AV562" s="50"/>
      <c r="AW562" s="50"/>
      <c r="AX562" s="50"/>
      <c r="AY562" s="50"/>
      <c r="AZ562" s="50"/>
      <c r="BA562" s="50"/>
      <c r="BB562" s="50"/>
      <c r="BC562" s="50"/>
      <c r="BD562" s="50"/>
      <c r="BE562" s="20"/>
      <c r="BF562" s="518"/>
      <c r="BG562" s="484"/>
      <c r="BH562" s="484"/>
      <c r="BI562" s="527"/>
      <c r="BJ562" s="484"/>
      <c r="BK562" s="484"/>
      <c r="BL562" s="484"/>
      <c r="BM562" s="484"/>
    </row>
    <row r="563" spans="1:65" s="22" customFormat="1" x14ac:dyDescent="0.25">
      <c r="A563" s="20"/>
      <c r="B563" s="515"/>
      <c r="C563" s="11"/>
      <c r="D563" s="11"/>
      <c r="E563" s="11"/>
      <c r="F563" s="21"/>
      <c r="G563" s="11"/>
      <c r="H563" s="50"/>
      <c r="I563" s="50"/>
      <c r="J563" s="50"/>
      <c r="K563" s="11"/>
      <c r="L563" s="50"/>
      <c r="M563" s="50"/>
      <c r="N563" s="50"/>
      <c r="O563" s="50"/>
      <c r="P563" s="50"/>
      <c r="Q563" s="11"/>
      <c r="R563" s="50"/>
      <c r="S563" s="50"/>
      <c r="T563" s="50"/>
      <c r="U563" s="11"/>
      <c r="V563" s="50"/>
      <c r="W563" s="50"/>
      <c r="X563" s="50"/>
      <c r="Y563" s="50"/>
      <c r="Z563" s="50"/>
      <c r="AA563" s="11"/>
      <c r="AB563" s="50"/>
      <c r="AC563" s="50"/>
      <c r="AD563" s="50"/>
      <c r="AE563" s="11"/>
      <c r="AF563" s="50"/>
      <c r="AG563" s="50"/>
      <c r="AH563" s="50"/>
      <c r="AI563" s="11"/>
      <c r="AJ563" s="50"/>
      <c r="AK563" s="50"/>
      <c r="AL563" s="50"/>
      <c r="AM563" s="11"/>
      <c r="AN563" s="50"/>
      <c r="AO563" s="50"/>
      <c r="AP563" s="50"/>
      <c r="AQ563" s="11"/>
      <c r="AR563" s="50"/>
      <c r="AS563" s="50"/>
      <c r="AT563" s="50"/>
      <c r="AU563" s="11"/>
      <c r="AV563" s="50"/>
      <c r="AW563" s="50"/>
      <c r="AX563" s="50"/>
      <c r="AY563" s="50"/>
      <c r="AZ563" s="50"/>
      <c r="BA563" s="50"/>
      <c r="BB563" s="50"/>
      <c r="BC563" s="50"/>
      <c r="BD563" s="50"/>
      <c r="BE563" s="20"/>
      <c r="BF563" s="518"/>
      <c r="BG563" s="484"/>
      <c r="BH563" s="484"/>
      <c r="BI563" s="527"/>
      <c r="BJ563" s="484"/>
      <c r="BK563" s="484"/>
      <c r="BL563" s="484"/>
      <c r="BM563" s="484"/>
    </row>
    <row r="564" spans="1:65" s="22" customFormat="1" x14ac:dyDescent="0.25">
      <c r="A564" s="20"/>
      <c r="B564" s="515"/>
      <c r="C564" s="11"/>
      <c r="D564" s="11"/>
      <c r="E564" s="11"/>
      <c r="F564" s="21"/>
      <c r="G564" s="11"/>
      <c r="H564" s="50"/>
      <c r="I564" s="50"/>
      <c r="J564" s="50"/>
      <c r="K564" s="11"/>
      <c r="L564" s="50"/>
      <c r="M564" s="50"/>
      <c r="N564" s="50"/>
      <c r="O564" s="50"/>
      <c r="P564" s="50"/>
      <c r="Q564" s="11"/>
      <c r="R564" s="50"/>
      <c r="S564" s="50"/>
      <c r="T564" s="50"/>
      <c r="U564" s="11"/>
      <c r="V564" s="50"/>
      <c r="W564" s="50"/>
      <c r="X564" s="50"/>
      <c r="Y564" s="50"/>
      <c r="Z564" s="50"/>
      <c r="AA564" s="11"/>
      <c r="AB564" s="50"/>
      <c r="AC564" s="50"/>
      <c r="AD564" s="50"/>
      <c r="AE564" s="11"/>
      <c r="AF564" s="50"/>
      <c r="AG564" s="50"/>
      <c r="AH564" s="50"/>
      <c r="AI564" s="11"/>
      <c r="AJ564" s="50"/>
      <c r="AK564" s="50"/>
      <c r="AL564" s="50"/>
      <c r="AM564" s="11"/>
      <c r="AN564" s="50"/>
      <c r="AO564" s="50"/>
      <c r="AP564" s="50"/>
      <c r="AQ564" s="11"/>
      <c r="AR564" s="50"/>
      <c r="AS564" s="50"/>
      <c r="AT564" s="50"/>
      <c r="AU564" s="11"/>
      <c r="AV564" s="50"/>
      <c r="AW564" s="50"/>
      <c r="AX564" s="50"/>
      <c r="AY564" s="50"/>
      <c r="AZ564" s="50"/>
      <c r="BA564" s="50"/>
      <c r="BB564" s="50"/>
      <c r="BC564" s="50"/>
      <c r="BD564" s="50"/>
      <c r="BE564" s="20"/>
      <c r="BF564" s="518"/>
      <c r="BG564" s="484"/>
      <c r="BH564" s="484"/>
      <c r="BI564" s="527"/>
      <c r="BJ564" s="484"/>
      <c r="BK564" s="484"/>
      <c r="BL564" s="484"/>
      <c r="BM564" s="484"/>
    </row>
    <row r="565" spans="1:65" s="22" customFormat="1" x14ac:dyDescent="0.25">
      <c r="A565" s="20"/>
      <c r="B565" s="515"/>
      <c r="C565" s="11"/>
      <c r="D565" s="11"/>
      <c r="E565" s="11"/>
      <c r="F565" s="21"/>
      <c r="G565" s="11"/>
      <c r="H565" s="50"/>
      <c r="I565" s="50"/>
      <c r="J565" s="50"/>
      <c r="K565" s="11"/>
      <c r="L565" s="50"/>
      <c r="M565" s="50"/>
      <c r="N565" s="50"/>
      <c r="O565" s="50"/>
      <c r="P565" s="50"/>
      <c r="Q565" s="11"/>
      <c r="R565" s="50"/>
      <c r="S565" s="50"/>
      <c r="T565" s="50"/>
      <c r="U565" s="11"/>
      <c r="V565" s="50"/>
      <c r="W565" s="50"/>
      <c r="X565" s="50"/>
      <c r="Y565" s="50"/>
      <c r="Z565" s="50"/>
      <c r="AA565" s="11"/>
      <c r="AB565" s="50"/>
      <c r="AC565" s="50"/>
      <c r="AD565" s="50"/>
      <c r="AE565" s="11"/>
      <c r="AF565" s="50"/>
      <c r="AG565" s="50"/>
      <c r="AH565" s="50"/>
      <c r="AI565" s="11"/>
      <c r="AJ565" s="50"/>
      <c r="AK565" s="50"/>
      <c r="AL565" s="50"/>
      <c r="AM565" s="11"/>
      <c r="AN565" s="50"/>
      <c r="AO565" s="50"/>
      <c r="AP565" s="50"/>
      <c r="AQ565" s="11"/>
      <c r="AR565" s="50"/>
      <c r="AS565" s="50"/>
      <c r="AT565" s="50"/>
      <c r="AU565" s="11"/>
      <c r="AV565" s="50"/>
      <c r="AW565" s="50"/>
      <c r="AX565" s="50"/>
      <c r="AY565" s="50"/>
      <c r="AZ565" s="50"/>
      <c r="BA565" s="50"/>
      <c r="BB565" s="50"/>
      <c r="BC565" s="50"/>
      <c r="BD565" s="50"/>
      <c r="BE565" s="20"/>
      <c r="BF565" s="518"/>
      <c r="BG565" s="484"/>
      <c r="BH565" s="484"/>
      <c r="BI565" s="527"/>
      <c r="BJ565" s="484"/>
      <c r="BK565" s="484"/>
      <c r="BL565" s="484"/>
      <c r="BM565" s="484"/>
    </row>
    <row r="566" spans="1:65" s="22" customFormat="1" x14ac:dyDescent="0.25">
      <c r="A566" s="20"/>
      <c r="B566" s="515"/>
      <c r="C566" s="11"/>
      <c r="D566" s="11"/>
      <c r="E566" s="11"/>
      <c r="F566" s="21"/>
      <c r="G566" s="11"/>
      <c r="H566" s="50"/>
      <c r="I566" s="50"/>
      <c r="J566" s="50"/>
      <c r="K566" s="11"/>
      <c r="L566" s="50"/>
      <c r="M566" s="50"/>
      <c r="N566" s="50"/>
      <c r="O566" s="50"/>
      <c r="P566" s="50"/>
      <c r="Q566" s="11"/>
      <c r="R566" s="50"/>
      <c r="S566" s="50"/>
      <c r="T566" s="50"/>
      <c r="U566" s="11"/>
      <c r="V566" s="50"/>
      <c r="W566" s="50"/>
      <c r="X566" s="50"/>
      <c r="Y566" s="50"/>
      <c r="Z566" s="50"/>
      <c r="AA566" s="11"/>
      <c r="AB566" s="50"/>
      <c r="AC566" s="50"/>
      <c r="AD566" s="50"/>
      <c r="AE566" s="11"/>
      <c r="AF566" s="50"/>
      <c r="AG566" s="50"/>
      <c r="AH566" s="50"/>
      <c r="AI566" s="11"/>
      <c r="AJ566" s="50"/>
      <c r="AK566" s="50"/>
      <c r="AL566" s="50"/>
      <c r="AM566" s="11"/>
      <c r="AN566" s="50"/>
      <c r="AO566" s="50"/>
      <c r="AP566" s="50"/>
      <c r="AQ566" s="11"/>
      <c r="AR566" s="50"/>
      <c r="AS566" s="50"/>
      <c r="AT566" s="50"/>
      <c r="AU566" s="11"/>
      <c r="AV566" s="50"/>
      <c r="AW566" s="50"/>
      <c r="AX566" s="50"/>
      <c r="AY566" s="50"/>
      <c r="AZ566" s="50"/>
      <c r="BA566" s="50"/>
      <c r="BB566" s="50"/>
      <c r="BC566" s="50"/>
      <c r="BD566" s="50"/>
      <c r="BE566" s="20"/>
      <c r="BF566" s="518"/>
      <c r="BG566" s="484"/>
      <c r="BH566" s="484"/>
      <c r="BI566" s="527"/>
      <c r="BJ566" s="484"/>
      <c r="BK566" s="484"/>
      <c r="BL566" s="484"/>
      <c r="BM566" s="484"/>
    </row>
    <row r="567" spans="1:65" s="22" customFormat="1" x14ac:dyDescent="0.25">
      <c r="A567" s="20"/>
      <c r="B567" s="515"/>
      <c r="C567" s="11"/>
      <c r="D567" s="11"/>
      <c r="E567" s="11"/>
      <c r="F567" s="21"/>
      <c r="G567" s="11"/>
      <c r="H567" s="50"/>
      <c r="I567" s="50"/>
      <c r="J567" s="50"/>
      <c r="K567" s="11"/>
      <c r="L567" s="50"/>
      <c r="M567" s="50"/>
      <c r="N567" s="50"/>
      <c r="O567" s="50"/>
      <c r="P567" s="50"/>
      <c r="Q567" s="11"/>
      <c r="R567" s="50"/>
      <c r="S567" s="50"/>
      <c r="T567" s="50"/>
      <c r="U567" s="11"/>
      <c r="V567" s="50"/>
      <c r="W567" s="50"/>
      <c r="X567" s="50"/>
      <c r="Y567" s="50"/>
      <c r="Z567" s="50"/>
      <c r="AA567" s="11"/>
      <c r="AB567" s="50"/>
      <c r="AC567" s="50"/>
      <c r="AD567" s="50"/>
      <c r="AE567" s="11"/>
      <c r="AF567" s="50"/>
      <c r="AG567" s="50"/>
      <c r="AH567" s="50"/>
      <c r="AI567" s="11"/>
      <c r="AJ567" s="50"/>
      <c r="AK567" s="50"/>
      <c r="AL567" s="50"/>
      <c r="AM567" s="11"/>
      <c r="AN567" s="50"/>
      <c r="AO567" s="50"/>
      <c r="AP567" s="50"/>
      <c r="AQ567" s="11"/>
      <c r="AR567" s="50"/>
      <c r="AS567" s="50"/>
      <c r="AT567" s="50"/>
      <c r="AU567" s="11"/>
      <c r="AV567" s="50"/>
      <c r="AW567" s="50"/>
      <c r="AX567" s="50"/>
      <c r="AY567" s="50"/>
      <c r="AZ567" s="50"/>
      <c r="BA567" s="50"/>
      <c r="BB567" s="50"/>
      <c r="BC567" s="50"/>
      <c r="BD567" s="50"/>
      <c r="BE567" s="20"/>
      <c r="BF567" s="518"/>
      <c r="BG567" s="484"/>
      <c r="BH567" s="484"/>
      <c r="BI567" s="527"/>
      <c r="BJ567" s="484"/>
      <c r="BK567" s="484"/>
      <c r="BL567" s="484"/>
      <c r="BM567" s="484"/>
    </row>
    <row r="568" spans="1:65" s="22" customFormat="1" x14ac:dyDescent="0.25">
      <c r="A568" s="20"/>
      <c r="B568" s="515"/>
      <c r="C568" s="11"/>
      <c r="D568" s="11"/>
      <c r="E568" s="11"/>
      <c r="F568" s="21"/>
      <c r="G568" s="11"/>
      <c r="H568" s="50"/>
      <c r="I568" s="50"/>
      <c r="J568" s="50"/>
      <c r="K568" s="11"/>
      <c r="L568" s="50"/>
      <c r="M568" s="50"/>
      <c r="N568" s="50"/>
      <c r="O568" s="50"/>
      <c r="P568" s="50"/>
      <c r="Q568" s="11"/>
      <c r="R568" s="50"/>
      <c r="S568" s="50"/>
      <c r="T568" s="50"/>
      <c r="U568" s="11"/>
      <c r="V568" s="50"/>
      <c r="W568" s="50"/>
      <c r="X568" s="50"/>
      <c r="Y568" s="50"/>
      <c r="Z568" s="50"/>
      <c r="AA568" s="11"/>
      <c r="AB568" s="50"/>
      <c r="AC568" s="50"/>
      <c r="AD568" s="50"/>
      <c r="AE568" s="11"/>
      <c r="AF568" s="50"/>
      <c r="AG568" s="50"/>
      <c r="AH568" s="50"/>
      <c r="AI568" s="11"/>
      <c r="AJ568" s="50"/>
      <c r="AK568" s="50"/>
      <c r="AL568" s="50"/>
      <c r="AM568" s="11"/>
      <c r="AN568" s="50"/>
      <c r="AO568" s="50"/>
      <c r="AP568" s="50"/>
      <c r="AQ568" s="11"/>
      <c r="AR568" s="50"/>
      <c r="AS568" s="50"/>
      <c r="AT568" s="50"/>
      <c r="AU568" s="11"/>
      <c r="AV568" s="50"/>
      <c r="AW568" s="50"/>
      <c r="AX568" s="50"/>
      <c r="AY568" s="50"/>
      <c r="AZ568" s="50"/>
      <c r="BA568" s="50"/>
      <c r="BB568" s="50"/>
      <c r="BC568" s="50"/>
      <c r="BD568" s="50"/>
      <c r="BE568" s="20"/>
      <c r="BF568" s="518"/>
      <c r="BG568" s="484"/>
      <c r="BH568" s="484"/>
      <c r="BI568" s="527"/>
      <c r="BJ568" s="484"/>
      <c r="BK568" s="484"/>
      <c r="BL568" s="484"/>
      <c r="BM568" s="484"/>
    </row>
    <row r="569" spans="1:65" s="22" customFormat="1" x14ac:dyDescent="0.25">
      <c r="A569" s="20"/>
      <c r="B569" s="515"/>
      <c r="C569" s="11"/>
      <c r="D569" s="11"/>
      <c r="E569" s="11"/>
      <c r="F569" s="21"/>
      <c r="G569" s="11"/>
      <c r="H569" s="50"/>
      <c r="I569" s="50"/>
      <c r="J569" s="50"/>
      <c r="K569" s="11"/>
      <c r="L569" s="50"/>
      <c r="M569" s="50"/>
      <c r="N569" s="50"/>
      <c r="O569" s="50"/>
      <c r="P569" s="50"/>
      <c r="Q569" s="11"/>
      <c r="R569" s="50"/>
      <c r="S569" s="50"/>
      <c r="T569" s="50"/>
      <c r="U569" s="11"/>
      <c r="V569" s="50"/>
      <c r="W569" s="50"/>
      <c r="X569" s="50"/>
      <c r="Y569" s="50"/>
      <c r="Z569" s="50"/>
      <c r="AA569" s="11"/>
      <c r="AB569" s="50"/>
      <c r="AC569" s="50"/>
      <c r="AD569" s="50"/>
      <c r="AE569" s="11"/>
      <c r="AF569" s="50"/>
      <c r="AG569" s="50"/>
      <c r="AH569" s="50"/>
      <c r="AI569" s="11"/>
      <c r="AJ569" s="50"/>
      <c r="AK569" s="50"/>
      <c r="AL569" s="50"/>
      <c r="AM569" s="11"/>
      <c r="AN569" s="50"/>
      <c r="AO569" s="50"/>
      <c r="AP569" s="50"/>
      <c r="AQ569" s="11"/>
      <c r="AR569" s="50"/>
      <c r="AS569" s="50"/>
      <c r="AT569" s="50"/>
      <c r="AU569" s="11"/>
      <c r="AV569" s="50"/>
      <c r="AW569" s="50"/>
      <c r="AX569" s="50"/>
      <c r="AY569" s="50"/>
      <c r="AZ569" s="50"/>
      <c r="BA569" s="50"/>
      <c r="BB569" s="50"/>
      <c r="BC569" s="50"/>
      <c r="BD569" s="50"/>
      <c r="BE569" s="20"/>
      <c r="BF569" s="518"/>
      <c r="BG569" s="484"/>
      <c r="BH569" s="484"/>
      <c r="BI569" s="527"/>
      <c r="BJ569" s="484"/>
      <c r="BK569" s="484"/>
      <c r="BL569" s="484"/>
      <c r="BM569" s="484"/>
    </row>
    <row r="570" spans="1:65" s="22" customFormat="1" x14ac:dyDescent="0.25">
      <c r="A570" s="20"/>
      <c r="B570" s="515"/>
      <c r="C570" s="11"/>
      <c r="D570" s="11"/>
      <c r="E570" s="11"/>
      <c r="F570" s="21"/>
      <c r="G570" s="11"/>
      <c r="H570" s="50"/>
      <c r="I570" s="50"/>
      <c r="J570" s="50"/>
      <c r="K570" s="11"/>
      <c r="L570" s="50"/>
      <c r="M570" s="50"/>
      <c r="N570" s="50"/>
      <c r="O570" s="50"/>
      <c r="P570" s="50"/>
      <c r="Q570" s="11"/>
      <c r="R570" s="50"/>
      <c r="S570" s="50"/>
      <c r="T570" s="50"/>
      <c r="U570" s="11"/>
      <c r="V570" s="50"/>
      <c r="W570" s="50"/>
      <c r="X570" s="50"/>
      <c r="Y570" s="50"/>
      <c r="Z570" s="50"/>
      <c r="AA570" s="11"/>
      <c r="AB570" s="50"/>
      <c r="AC570" s="50"/>
      <c r="AD570" s="50"/>
      <c r="AE570" s="11"/>
      <c r="AF570" s="50"/>
      <c r="AG570" s="50"/>
      <c r="AH570" s="50"/>
      <c r="AI570" s="11"/>
      <c r="AJ570" s="50"/>
      <c r="AK570" s="50"/>
      <c r="AL570" s="50"/>
      <c r="AM570" s="11"/>
      <c r="AN570" s="50"/>
      <c r="AO570" s="50"/>
      <c r="AP570" s="50"/>
      <c r="AQ570" s="11"/>
      <c r="AR570" s="50"/>
      <c r="AS570" s="50"/>
      <c r="AT570" s="50"/>
      <c r="AU570" s="11"/>
      <c r="AV570" s="50"/>
      <c r="AW570" s="50"/>
      <c r="AX570" s="50"/>
      <c r="AY570" s="50"/>
      <c r="AZ570" s="50"/>
      <c r="BA570" s="50"/>
      <c r="BB570" s="50"/>
      <c r="BC570" s="50"/>
      <c r="BD570" s="50"/>
      <c r="BE570" s="20"/>
      <c r="BF570" s="518"/>
      <c r="BG570" s="484"/>
      <c r="BH570" s="484"/>
      <c r="BI570" s="527"/>
      <c r="BJ570" s="484"/>
      <c r="BK570" s="484"/>
      <c r="BL570" s="484"/>
      <c r="BM570" s="484"/>
    </row>
    <row r="571" spans="1:65" s="22" customFormat="1" x14ac:dyDescent="0.25">
      <c r="A571" s="20"/>
      <c r="B571" s="515"/>
      <c r="C571" s="11"/>
      <c r="D571" s="11"/>
      <c r="E571" s="11"/>
      <c r="F571" s="21"/>
      <c r="G571" s="11"/>
      <c r="H571" s="50"/>
      <c r="I571" s="50"/>
      <c r="J571" s="50"/>
      <c r="K571" s="11"/>
      <c r="L571" s="50"/>
      <c r="M571" s="50"/>
      <c r="N571" s="50"/>
      <c r="O571" s="50"/>
      <c r="P571" s="50"/>
      <c r="Q571" s="11"/>
      <c r="R571" s="50"/>
      <c r="S571" s="50"/>
      <c r="T571" s="50"/>
      <c r="U571" s="11"/>
      <c r="V571" s="50"/>
      <c r="W571" s="50"/>
      <c r="X571" s="50"/>
      <c r="Y571" s="50"/>
      <c r="Z571" s="50"/>
      <c r="AA571" s="11"/>
      <c r="AB571" s="50"/>
      <c r="AC571" s="50"/>
      <c r="AD571" s="50"/>
      <c r="AE571" s="11"/>
      <c r="AF571" s="50"/>
      <c r="AG571" s="50"/>
      <c r="AH571" s="50"/>
      <c r="AI571" s="11"/>
      <c r="AJ571" s="50"/>
      <c r="AK571" s="50"/>
      <c r="AL571" s="50"/>
      <c r="AM571" s="11"/>
      <c r="AN571" s="50"/>
      <c r="AO571" s="50"/>
      <c r="AP571" s="50"/>
      <c r="AQ571" s="11"/>
      <c r="AR571" s="50"/>
      <c r="AS571" s="50"/>
      <c r="AT571" s="50"/>
      <c r="AU571" s="11"/>
      <c r="AV571" s="50"/>
      <c r="AW571" s="50"/>
      <c r="AX571" s="50"/>
      <c r="AY571" s="50"/>
      <c r="AZ571" s="50"/>
      <c r="BA571" s="50"/>
      <c r="BB571" s="50"/>
      <c r="BC571" s="50"/>
      <c r="BD571" s="50"/>
      <c r="BE571" s="20"/>
      <c r="BF571" s="518"/>
      <c r="BG571" s="484"/>
      <c r="BH571" s="484"/>
      <c r="BI571" s="527"/>
      <c r="BJ571" s="484"/>
      <c r="BK571" s="484"/>
      <c r="BL571" s="484"/>
      <c r="BM571" s="484"/>
    </row>
    <row r="572" spans="1:65" s="22" customFormat="1" x14ac:dyDescent="0.25">
      <c r="A572" s="20"/>
      <c r="B572" s="515"/>
      <c r="C572" s="11"/>
      <c r="D572" s="11"/>
      <c r="E572" s="11"/>
      <c r="F572" s="21"/>
      <c r="G572" s="11"/>
      <c r="H572" s="50"/>
      <c r="I572" s="50"/>
      <c r="J572" s="50"/>
      <c r="K572" s="11"/>
      <c r="L572" s="50"/>
      <c r="M572" s="50"/>
      <c r="N572" s="50"/>
      <c r="O572" s="50"/>
      <c r="P572" s="50"/>
      <c r="Q572" s="11"/>
      <c r="R572" s="50"/>
      <c r="S572" s="50"/>
      <c r="T572" s="50"/>
      <c r="U572" s="11"/>
      <c r="V572" s="50"/>
      <c r="W572" s="50"/>
      <c r="X572" s="50"/>
      <c r="Y572" s="50"/>
      <c r="Z572" s="50"/>
      <c r="AA572" s="11"/>
      <c r="AB572" s="50"/>
      <c r="AC572" s="50"/>
      <c r="AD572" s="50"/>
      <c r="AE572" s="11"/>
      <c r="AF572" s="50"/>
      <c r="AG572" s="50"/>
      <c r="AH572" s="50"/>
      <c r="AI572" s="11"/>
      <c r="AJ572" s="50"/>
      <c r="AK572" s="50"/>
      <c r="AL572" s="50"/>
      <c r="AM572" s="11"/>
      <c r="AN572" s="50"/>
      <c r="AO572" s="50"/>
      <c r="AP572" s="50"/>
      <c r="AQ572" s="11"/>
      <c r="AR572" s="50"/>
      <c r="AS572" s="50"/>
      <c r="AT572" s="50"/>
      <c r="AU572" s="11"/>
      <c r="AV572" s="50"/>
      <c r="AW572" s="50"/>
      <c r="AX572" s="50"/>
      <c r="AY572" s="50"/>
      <c r="AZ572" s="50"/>
      <c r="BA572" s="50"/>
      <c r="BB572" s="50"/>
      <c r="BC572" s="50"/>
      <c r="BD572" s="50"/>
      <c r="BE572" s="20"/>
      <c r="BF572" s="518"/>
      <c r="BG572" s="484"/>
      <c r="BH572" s="484"/>
      <c r="BI572" s="527"/>
      <c r="BJ572" s="484"/>
      <c r="BK572" s="484"/>
      <c r="BL572" s="484"/>
      <c r="BM572" s="484"/>
    </row>
    <row r="573" spans="1:65" s="22" customFormat="1" x14ac:dyDescent="0.25">
      <c r="A573" s="20"/>
      <c r="B573" s="515"/>
      <c r="C573" s="11"/>
      <c r="D573" s="11"/>
      <c r="E573" s="11"/>
      <c r="F573" s="21"/>
      <c r="G573" s="11"/>
      <c r="H573" s="50"/>
      <c r="I573" s="50"/>
      <c r="J573" s="50"/>
      <c r="K573" s="11"/>
      <c r="L573" s="50"/>
      <c r="M573" s="50"/>
      <c r="N573" s="50"/>
      <c r="O573" s="50"/>
      <c r="P573" s="50"/>
      <c r="Q573" s="11"/>
      <c r="R573" s="50"/>
      <c r="S573" s="50"/>
      <c r="T573" s="50"/>
      <c r="U573" s="11"/>
      <c r="V573" s="50"/>
      <c r="W573" s="50"/>
      <c r="X573" s="50"/>
      <c r="Y573" s="50"/>
      <c r="Z573" s="50"/>
      <c r="AA573" s="11"/>
      <c r="AB573" s="50"/>
      <c r="AC573" s="50"/>
      <c r="AD573" s="50"/>
      <c r="AE573" s="11"/>
      <c r="AF573" s="50"/>
      <c r="AG573" s="50"/>
      <c r="AH573" s="50"/>
      <c r="AI573" s="11"/>
      <c r="AJ573" s="50"/>
      <c r="AK573" s="50"/>
      <c r="AL573" s="50"/>
      <c r="AM573" s="11"/>
      <c r="AN573" s="50"/>
      <c r="AO573" s="50"/>
      <c r="AP573" s="50"/>
      <c r="AQ573" s="11"/>
      <c r="AR573" s="50"/>
      <c r="AS573" s="50"/>
      <c r="AT573" s="50"/>
      <c r="AU573" s="11"/>
      <c r="AV573" s="50"/>
      <c r="AW573" s="50"/>
      <c r="AX573" s="50"/>
      <c r="AY573" s="50"/>
      <c r="AZ573" s="50"/>
      <c r="BA573" s="50"/>
      <c r="BB573" s="50"/>
      <c r="BC573" s="50"/>
      <c r="BD573" s="50"/>
      <c r="BE573" s="20"/>
      <c r="BF573" s="518"/>
      <c r="BG573" s="484"/>
      <c r="BH573" s="484"/>
      <c r="BI573" s="527"/>
      <c r="BJ573" s="484"/>
      <c r="BK573" s="484"/>
      <c r="BL573" s="484"/>
      <c r="BM573" s="484"/>
    </row>
    <row r="574" spans="1:65" s="22" customFormat="1" x14ac:dyDescent="0.25">
      <c r="A574" s="20"/>
      <c r="B574" s="515"/>
      <c r="C574" s="11"/>
      <c r="D574" s="11"/>
      <c r="E574" s="11"/>
      <c r="F574" s="21"/>
      <c r="G574" s="11"/>
      <c r="H574" s="50"/>
      <c r="I574" s="50"/>
      <c r="J574" s="50"/>
      <c r="K574" s="11"/>
      <c r="L574" s="50"/>
      <c r="M574" s="50"/>
      <c r="N574" s="50"/>
      <c r="O574" s="50"/>
      <c r="P574" s="50"/>
      <c r="Q574" s="11"/>
      <c r="R574" s="50"/>
      <c r="S574" s="50"/>
      <c r="T574" s="50"/>
      <c r="U574" s="11"/>
      <c r="V574" s="50"/>
      <c r="W574" s="50"/>
      <c r="X574" s="50"/>
      <c r="Y574" s="50"/>
      <c r="Z574" s="50"/>
      <c r="AA574" s="11"/>
      <c r="AB574" s="50"/>
      <c r="AC574" s="50"/>
      <c r="AD574" s="50"/>
      <c r="AE574" s="11"/>
      <c r="AF574" s="50"/>
      <c r="AG574" s="50"/>
      <c r="AH574" s="50"/>
      <c r="AI574" s="11"/>
      <c r="AJ574" s="50"/>
      <c r="AK574" s="50"/>
      <c r="AL574" s="50"/>
      <c r="AM574" s="11"/>
      <c r="AN574" s="50"/>
      <c r="AO574" s="50"/>
      <c r="AP574" s="50"/>
      <c r="AQ574" s="11"/>
      <c r="AR574" s="50"/>
      <c r="AS574" s="50"/>
      <c r="AT574" s="50"/>
      <c r="AU574" s="11"/>
      <c r="AV574" s="50"/>
      <c r="AW574" s="50"/>
      <c r="AX574" s="50"/>
      <c r="AY574" s="50"/>
      <c r="AZ574" s="50"/>
      <c r="BA574" s="50"/>
      <c r="BB574" s="50"/>
      <c r="BC574" s="50"/>
      <c r="BD574" s="50"/>
      <c r="BE574" s="20"/>
      <c r="BF574" s="518"/>
      <c r="BG574" s="484"/>
      <c r="BH574" s="484"/>
      <c r="BI574" s="527"/>
      <c r="BJ574" s="484"/>
      <c r="BK574" s="484"/>
      <c r="BL574" s="484"/>
      <c r="BM574" s="484"/>
    </row>
    <row r="575" spans="1:65" s="22" customFormat="1" x14ac:dyDescent="0.25">
      <c r="A575" s="20"/>
      <c r="B575" s="515"/>
      <c r="C575" s="11"/>
      <c r="D575" s="11"/>
      <c r="E575" s="11"/>
      <c r="F575" s="21"/>
      <c r="G575" s="11"/>
      <c r="H575" s="50"/>
      <c r="I575" s="50"/>
      <c r="J575" s="50"/>
      <c r="K575" s="11"/>
      <c r="L575" s="50"/>
      <c r="M575" s="50"/>
      <c r="N575" s="50"/>
      <c r="O575" s="50"/>
      <c r="P575" s="50"/>
      <c r="Q575" s="11"/>
      <c r="R575" s="50"/>
      <c r="S575" s="50"/>
      <c r="T575" s="50"/>
      <c r="U575" s="11"/>
      <c r="V575" s="50"/>
      <c r="W575" s="50"/>
      <c r="X575" s="50"/>
      <c r="Y575" s="50"/>
      <c r="Z575" s="50"/>
      <c r="AA575" s="11"/>
      <c r="AB575" s="50"/>
      <c r="AC575" s="50"/>
      <c r="AD575" s="50"/>
      <c r="AE575" s="11"/>
      <c r="AF575" s="50"/>
      <c r="AG575" s="50"/>
      <c r="AH575" s="50"/>
      <c r="AI575" s="11"/>
      <c r="AJ575" s="50"/>
      <c r="AK575" s="50"/>
      <c r="AL575" s="50"/>
      <c r="AM575" s="11"/>
      <c r="AN575" s="50"/>
      <c r="AO575" s="50"/>
      <c r="AP575" s="50"/>
      <c r="AQ575" s="11"/>
      <c r="AR575" s="50"/>
      <c r="AS575" s="50"/>
      <c r="AT575" s="50"/>
      <c r="AU575" s="11"/>
      <c r="AV575" s="50"/>
      <c r="AW575" s="50"/>
      <c r="AX575" s="50"/>
      <c r="AY575" s="50"/>
      <c r="AZ575" s="50"/>
      <c r="BA575" s="50"/>
      <c r="BB575" s="50"/>
      <c r="BC575" s="50"/>
      <c r="BD575" s="50"/>
      <c r="BE575" s="20"/>
      <c r="BF575" s="518"/>
      <c r="BG575" s="484"/>
      <c r="BH575" s="484"/>
      <c r="BI575" s="527"/>
      <c r="BJ575" s="484"/>
      <c r="BK575" s="484"/>
      <c r="BL575" s="484"/>
      <c r="BM575" s="484"/>
    </row>
    <row r="576" spans="1:65" s="22" customFormat="1" x14ac:dyDescent="0.25">
      <c r="A576" s="20"/>
      <c r="B576" s="515"/>
      <c r="C576" s="11"/>
      <c r="D576" s="11"/>
      <c r="E576" s="11"/>
      <c r="F576" s="21"/>
      <c r="G576" s="11"/>
      <c r="H576" s="50"/>
      <c r="I576" s="50"/>
      <c r="J576" s="50"/>
      <c r="K576" s="11"/>
      <c r="L576" s="50"/>
      <c r="M576" s="50"/>
      <c r="N576" s="50"/>
      <c r="O576" s="50"/>
      <c r="P576" s="50"/>
      <c r="Q576" s="11"/>
      <c r="R576" s="50"/>
      <c r="S576" s="50"/>
      <c r="T576" s="50"/>
      <c r="U576" s="11"/>
      <c r="V576" s="50"/>
      <c r="W576" s="50"/>
      <c r="X576" s="50"/>
      <c r="Y576" s="50"/>
      <c r="Z576" s="50"/>
      <c r="AA576" s="11"/>
      <c r="AB576" s="50"/>
      <c r="AC576" s="50"/>
      <c r="AD576" s="50"/>
      <c r="AE576" s="11"/>
      <c r="AF576" s="50"/>
      <c r="AG576" s="50"/>
      <c r="AH576" s="50"/>
      <c r="AI576" s="11"/>
      <c r="AJ576" s="50"/>
      <c r="AK576" s="50"/>
      <c r="AL576" s="50"/>
      <c r="AM576" s="11"/>
      <c r="AN576" s="50"/>
      <c r="AO576" s="50"/>
      <c r="AP576" s="50"/>
      <c r="AQ576" s="11"/>
      <c r="AR576" s="50"/>
      <c r="AS576" s="50"/>
      <c r="AT576" s="50"/>
      <c r="AU576" s="11"/>
      <c r="AV576" s="50"/>
      <c r="AW576" s="50"/>
      <c r="AX576" s="50"/>
      <c r="AY576" s="50"/>
      <c r="AZ576" s="50"/>
      <c r="BA576" s="50"/>
      <c r="BB576" s="50"/>
      <c r="BC576" s="50"/>
      <c r="BD576" s="50"/>
      <c r="BE576" s="20"/>
      <c r="BF576" s="518"/>
      <c r="BG576" s="484"/>
      <c r="BH576" s="484"/>
      <c r="BI576" s="527"/>
      <c r="BJ576" s="484"/>
      <c r="BK576" s="484"/>
      <c r="BL576" s="484"/>
      <c r="BM576" s="484"/>
    </row>
    <row r="577" spans="1:65" s="22" customFormat="1" x14ac:dyDescent="0.25">
      <c r="A577" s="20"/>
      <c r="B577" s="515"/>
      <c r="C577" s="11"/>
      <c r="D577" s="11"/>
      <c r="E577" s="11"/>
      <c r="F577" s="21"/>
      <c r="G577" s="11"/>
      <c r="H577" s="50"/>
      <c r="I577" s="50"/>
      <c r="J577" s="50"/>
      <c r="K577" s="11"/>
      <c r="L577" s="50"/>
      <c r="M577" s="50"/>
      <c r="N577" s="50"/>
      <c r="O577" s="50"/>
      <c r="P577" s="50"/>
      <c r="Q577" s="11"/>
      <c r="R577" s="50"/>
      <c r="S577" s="50"/>
      <c r="T577" s="50"/>
      <c r="U577" s="11"/>
      <c r="V577" s="50"/>
      <c r="W577" s="50"/>
      <c r="X577" s="50"/>
      <c r="Y577" s="50"/>
      <c r="Z577" s="50"/>
      <c r="AA577" s="11"/>
      <c r="AB577" s="50"/>
      <c r="AC577" s="50"/>
      <c r="AD577" s="50"/>
      <c r="AE577" s="11"/>
      <c r="AF577" s="50"/>
      <c r="AG577" s="50"/>
      <c r="AH577" s="50"/>
      <c r="AI577" s="11"/>
      <c r="AJ577" s="50"/>
      <c r="AK577" s="50"/>
      <c r="AL577" s="50"/>
      <c r="AM577" s="11"/>
      <c r="AN577" s="50"/>
      <c r="AO577" s="50"/>
      <c r="AP577" s="50"/>
      <c r="AQ577" s="11"/>
      <c r="AR577" s="50"/>
      <c r="AS577" s="50"/>
      <c r="AT577" s="50"/>
      <c r="AU577" s="11"/>
      <c r="AV577" s="50"/>
      <c r="AW577" s="50"/>
      <c r="AX577" s="50"/>
      <c r="AY577" s="50"/>
      <c r="AZ577" s="50"/>
      <c r="BA577" s="50"/>
      <c r="BB577" s="50"/>
      <c r="BC577" s="50"/>
      <c r="BD577" s="50"/>
      <c r="BE577" s="20"/>
      <c r="BF577" s="518"/>
      <c r="BG577" s="484"/>
      <c r="BH577" s="484"/>
      <c r="BI577" s="527"/>
      <c r="BJ577" s="484"/>
      <c r="BK577" s="484"/>
      <c r="BL577" s="484"/>
      <c r="BM577" s="484"/>
    </row>
    <row r="578" spans="1:65" s="22" customFormat="1" x14ac:dyDescent="0.25">
      <c r="A578" s="20"/>
      <c r="B578" s="515"/>
      <c r="C578" s="11"/>
      <c r="D578" s="11"/>
      <c r="E578" s="11"/>
      <c r="F578" s="21"/>
      <c r="G578" s="11"/>
      <c r="H578" s="50"/>
      <c r="I578" s="50"/>
      <c r="J578" s="50"/>
      <c r="K578" s="11"/>
      <c r="L578" s="50"/>
      <c r="M578" s="50"/>
      <c r="N578" s="50"/>
      <c r="O578" s="50"/>
      <c r="P578" s="50"/>
      <c r="Q578" s="11"/>
      <c r="R578" s="50"/>
      <c r="S578" s="50"/>
      <c r="T578" s="50"/>
      <c r="U578" s="11"/>
      <c r="V578" s="50"/>
      <c r="W578" s="50"/>
      <c r="X578" s="50"/>
      <c r="Y578" s="50"/>
      <c r="Z578" s="50"/>
      <c r="AA578" s="11"/>
      <c r="AB578" s="50"/>
      <c r="AC578" s="50"/>
      <c r="AD578" s="50"/>
      <c r="AE578" s="11"/>
      <c r="AF578" s="50"/>
      <c r="AG578" s="50"/>
      <c r="AH578" s="50"/>
      <c r="AI578" s="11"/>
      <c r="AJ578" s="50"/>
      <c r="AK578" s="50"/>
      <c r="AL578" s="50"/>
      <c r="AM578" s="11"/>
      <c r="AN578" s="50"/>
      <c r="AO578" s="50"/>
      <c r="AP578" s="50"/>
      <c r="AQ578" s="11"/>
      <c r="AR578" s="50"/>
      <c r="AS578" s="50"/>
      <c r="AT578" s="50"/>
      <c r="AU578" s="11"/>
      <c r="AV578" s="50"/>
      <c r="AW578" s="50"/>
      <c r="AX578" s="50"/>
      <c r="AY578" s="50"/>
      <c r="AZ578" s="50"/>
      <c r="BA578" s="50"/>
      <c r="BB578" s="50"/>
      <c r="BC578" s="50"/>
      <c r="BD578" s="50"/>
      <c r="BE578" s="20"/>
      <c r="BF578" s="518"/>
      <c r="BG578" s="484"/>
      <c r="BH578" s="484"/>
      <c r="BI578" s="527"/>
      <c r="BJ578" s="484"/>
      <c r="BK578" s="484"/>
      <c r="BL578" s="484"/>
      <c r="BM578" s="484"/>
    </row>
    <row r="579" spans="1:65" s="22" customFormat="1" x14ac:dyDescent="0.25">
      <c r="A579" s="20"/>
      <c r="B579" s="515"/>
      <c r="C579" s="11"/>
      <c r="D579" s="11"/>
      <c r="E579" s="11"/>
      <c r="F579" s="21"/>
      <c r="G579" s="11"/>
      <c r="H579" s="50"/>
      <c r="I579" s="50"/>
      <c r="J579" s="50"/>
      <c r="K579" s="11"/>
      <c r="L579" s="50"/>
      <c r="M579" s="50"/>
      <c r="N579" s="50"/>
      <c r="O579" s="50"/>
      <c r="P579" s="50"/>
      <c r="Q579" s="11"/>
      <c r="R579" s="50"/>
      <c r="S579" s="50"/>
      <c r="T579" s="50"/>
      <c r="U579" s="11"/>
      <c r="V579" s="50"/>
      <c r="W579" s="50"/>
      <c r="X579" s="50"/>
      <c r="Y579" s="50"/>
      <c r="Z579" s="50"/>
      <c r="AA579" s="11"/>
      <c r="AB579" s="50"/>
      <c r="AC579" s="50"/>
      <c r="AD579" s="50"/>
      <c r="AE579" s="11"/>
      <c r="AF579" s="50"/>
      <c r="AG579" s="50"/>
      <c r="AH579" s="50"/>
      <c r="AI579" s="11"/>
      <c r="AJ579" s="50"/>
      <c r="AK579" s="50"/>
      <c r="AL579" s="50"/>
      <c r="AM579" s="11"/>
      <c r="AN579" s="50"/>
      <c r="AO579" s="50"/>
      <c r="AP579" s="50"/>
      <c r="AQ579" s="11"/>
      <c r="AR579" s="50"/>
      <c r="AS579" s="50"/>
      <c r="AT579" s="50"/>
      <c r="AU579" s="11"/>
      <c r="AV579" s="50"/>
      <c r="AW579" s="50"/>
      <c r="AX579" s="50"/>
      <c r="AY579" s="50"/>
      <c r="AZ579" s="50"/>
      <c r="BA579" s="50"/>
      <c r="BB579" s="50"/>
      <c r="BC579" s="50"/>
      <c r="BD579" s="50"/>
      <c r="BE579" s="20"/>
      <c r="BF579" s="518"/>
      <c r="BG579" s="484"/>
      <c r="BH579" s="484"/>
      <c r="BI579" s="527"/>
      <c r="BJ579" s="484"/>
      <c r="BK579" s="484"/>
      <c r="BL579" s="484"/>
      <c r="BM579" s="484"/>
    </row>
    <row r="580" spans="1:65" s="22" customFormat="1" x14ac:dyDescent="0.25">
      <c r="A580" s="20"/>
      <c r="B580" s="515"/>
      <c r="C580" s="11"/>
      <c r="D580" s="11"/>
      <c r="E580" s="11"/>
      <c r="F580" s="21"/>
      <c r="G580" s="11"/>
      <c r="H580" s="50"/>
      <c r="I580" s="50"/>
      <c r="J580" s="50"/>
      <c r="K580" s="11"/>
      <c r="L580" s="50"/>
      <c r="M580" s="50"/>
      <c r="N580" s="50"/>
      <c r="O580" s="50"/>
      <c r="P580" s="50"/>
      <c r="Q580" s="11"/>
      <c r="R580" s="50"/>
      <c r="S580" s="50"/>
      <c r="T580" s="50"/>
      <c r="U580" s="11"/>
      <c r="V580" s="50"/>
      <c r="W580" s="50"/>
      <c r="X580" s="50"/>
      <c r="Y580" s="50"/>
      <c r="Z580" s="50"/>
      <c r="AA580" s="11"/>
      <c r="AB580" s="50"/>
      <c r="AC580" s="50"/>
      <c r="AD580" s="50"/>
      <c r="AE580" s="11"/>
      <c r="AF580" s="50"/>
      <c r="AG580" s="50"/>
      <c r="AH580" s="50"/>
      <c r="AI580" s="11"/>
      <c r="AJ580" s="50"/>
      <c r="AK580" s="50"/>
      <c r="AL580" s="50"/>
      <c r="AM580" s="11"/>
      <c r="AN580" s="50"/>
      <c r="AO580" s="50"/>
      <c r="AP580" s="50"/>
      <c r="AQ580" s="11"/>
      <c r="AR580" s="50"/>
      <c r="AS580" s="50"/>
      <c r="AT580" s="50"/>
      <c r="AU580" s="11"/>
      <c r="AV580" s="50"/>
      <c r="AW580" s="50"/>
      <c r="AX580" s="50"/>
      <c r="AY580" s="50"/>
      <c r="AZ580" s="50"/>
      <c r="BA580" s="50"/>
      <c r="BB580" s="50"/>
      <c r="BC580" s="50"/>
      <c r="BD580" s="50"/>
      <c r="BE580" s="20"/>
      <c r="BF580" s="518"/>
      <c r="BG580" s="484"/>
      <c r="BH580" s="484"/>
      <c r="BI580" s="527"/>
      <c r="BJ580" s="484"/>
      <c r="BK580" s="484"/>
      <c r="BL580" s="484"/>
      <c r="BM580" s="484"/>
    </row>
    <row r="581" spans="1:65" s="22" customFormat="1" x14ac:dyDescent="0.25">
      <c r="A581" s="20"/>
      <c r="B581" s="515"/>
      <c r="C581" s="11"/>
      <c r="D581" s="11"/>
      <c r="E581" s="11"/>
      <c r="F581" s="21"/>
      <c r="G581" s="11"/>
      <c r="H581" s="50"/>
      <c r="I581" s="50"/>
      <c r="J581" s="50"/>
      <c r="K581" s="11"/>
      <c r="L581" s="50"/>
      <c r="M581" s="50"/>
      <c r="N581" s="50"/>
      <c r="O581" s="50"/>
      <c r="P581" s="50"/>
      <c r="Q581" s="11"/>
      <c r="R581" s="50"/>
      <c r="S581" s="50"/>
      <c r="T581" s="50"/>
      <c r="U581" s="11"/>
      <c r="V581" s="50"/>
      <c r="W581" s="50"/>
      <c r="X581" s="50"/>
      <c r="Y581" s="50"/>
      <c r="Z581" s="50"/>
      <c r="AA581" s="11"/>
      <c r="AB581" s="50"/>
      <c r="AC581" s="50"/>
      <c r="AD581" s="50"/>
      <c r="AE581" s="11"/>
      <c r="AF581" s="50"/>
      <c r="AG581" s="50"/>
      <c r="AH581" s="50"/>
      <c r="AI581" s="11"/>
      <c r="AJ581" s="50"/>
      <c r="AK581" s="50"/>
      <c r="AL581" s="50"/>
      <c r="AM581" s="11"/>
      <c r="AN581" s="50"/>
      <c r="AO581" s="50"/>
      <c r="AP581" s="50"/>
      <c r="AQ581" s="11"/>
      <c r="AR581" s="50"/>
      <c r="AS581" s="50"/>
      <c r="AT581" s="50"/>
      <c r="AU581" s="11"/>
      <c r="AV581" s="50"/>
      <c r="AW581" s="50"/>
      <c r="AX581" s="50"/>
      <c r="AY581" s="50"/>
      <c r="AZ581" s="50"/>
      <c r="BA581" s="50"/>
      <c r="BB581" s="50"/>
      <c r="BC581" s="50"/>
      <c r="BD581" s="50"/>
      <c r="BE581" s="20"/>
      <c r="BF581" s="518"/>
      <c r="BG581" s="484"/>
      <c r="BH581" s="484"/>
      <c r="BI581" s="527"/>
      <c r="BJ581" s="484"/>
      <c r="BK581" s="484"/>
      <c r="BL581" s="484"/>
      <c r="BM581" s="484"/>
    </row>
    <row r="582" spans="1:65" s="22" customFormat="1" x14ac:dyDescent="0.25">
      <c r="A582" s="20"/>
      <c r="B582" s="515"/>
      <c r="C582" s="11"/>
      <c r="D582" s="11"/>
      <c r="E582" s="11"/>
      <c r="F582" s="21"/>
      <c r="G582" s="11"/>
      <c r="H582" s="50"/>
      <c r="I582" s="50"/>
      <c r="J582" s="50"/>
      <c r="K582" s="11"/>
      <c r="L582" s="50"/>
      <c r="M582" s="50"/>
      <c r="N582" s="50"/>
      <c r="O582" s="50"/>
      <c r="P582" s="50"/>
      <c r="Q582" s="11"/>
      <c r="R582" s="50"/>
      <c r="S582" s="50"/>
      <c r="T582" s="50"/>
      <c r="U582" s="11"/>
      <c r="V582" s="50"/>
      <c r="W582" s="50"/>
      <c r="X582" s="50"/>
      <c r="Y582" s="50"/>
      <c r="Z582" s="50"/>
      <c r="AA582" s="11"/>
      <c r="AB582" s="50"/>
      <c r="AC582" s="50"/>
      <c r="AD582" s="50"/>
      <c r="AE582" s="11"/>
      <c r="AF582" s="50"/>
      <c r="AG582" s="50"/>
      <c r="AH582" s="50"/>
      <c r="AI582" s="11"/>
      <c r="AJ582" s="50"/>
      <c r="AK582" s="50"/>
      <c r="AL582" s="50"/>
      <c r="AM582" s="11"/>
      <c r="AN582" s="50"/>
      <c r="AO582" s="50"/>
      <c r="AP582" s="50"/>
      <c r="AQ582" s="11"/>
      <c r="AR582" s="50"/>
      <c r="AS582" s="50"/>
      <c r="AT582" s="50"/>
      <c r="AU582" s="11"/>
      <c r="AV582" s="50"/>
      <c r="AW582" s="50"/>
      <c r="AX582" s="50"/>
      <c r="AY582" s="50"/>
      <c r="AZ582" s="50"/>
      <c r="BA582" s="50"/>
      <c r="BB582" s="50"/>
      <c r="BC582" s="50"/>
      <c r="BD582" s="50"/>
      <c r="BE582" s="20"/>
      <c r="BF582" s="518"/>
      <c r="BG582" s="484"/>
      <c r="BH582" s="484"/>
      <c r="BI582" s="527"/>
      <c r="BJ582" s="484"/>
      <c r="BK582" s="484"/>
      <c r="BL582" s="484"/>
      <c r="BM582" s="484"/>
    </row>
    <row r="583" spans="1:65" s="22" customFormat="1" x14ac:dyDescent="0.25">
      <c r="A583" s="20"/>
      <c r="B583" s="515"/>
      <c r="C583" s="11"/>
      <c r="D583" s="11"/>
      <c r="E583" s="11"/>
      <c r="F583" s="21"/>
      <c r="G583" s="11"/>
      <c r="H583" s="50"/>
      <c r="I583" s="50"/>
      <c r="J583" s="50"/>
      <c r="K583" s="11"/>
      <c r="L583" s="50"/>
      <c r="M583" s="50"/>
      <c r="N583" s="50"/>
      <c r="O583" s="50"/>
      <c r="P583" s="50"/>
      <c r="Q583" s="11"/>
      <c r="R583" s="50"/>
      <c r="S583" s="50"/>
      <c r="T583" s="50"/>
      <c r="U583" s="11"/>
      <c r="V583" s="50"/>
      <c r="W583" s="50"/>
      <c r="X583" s="50"/>
      <c r="Y583" s="50"/>
      <c r="Z583" s="50"/>
      <c r="AA583" s="11"/>
      <c r="AB583" s="50"/>
      <c r="AC583" s="50"/>
      <c r="AD583" s="50"/>
      <c r="AE583" s="11"/>
      <c r="AF583" s="50"/>
      <c r="AG583" s="50"/>
      <c r="AH583" s="50"/>
      <c r="AI583" s="11"/>
      <c r="AJ583" s="50"/>
      <c r="AK583" s="50"/>
      <c r="AL583" s="50"/>
      <c r="AM583" s="11"/>
      <c r="AN583" s="50"/>
      <c r="AO583" s="50"/>
      <c r="AP583" s="50"/>
      <c r="AQ583" s="11"/>
      <c r="AR583" s="50"/>
      <c r="AS583" s="50"/>
      <c r="AT583" s="50"/>
      <c r="AU583" s="11"/>
      <c r="AV583" s="50"/>
      <c r="AW583" s="50"/>
      <c r="AX583" s="50"/>
      <c r="AY583" s="50"/>
      <c r="AZ583" s="50"/>
      <c r="BA583" s="50"/>
      <c r="BB583" s="50"/>
      <c r="BC583" s="50"/>
      <c r="BD583" s="50"/>
      <c r="BE583" s="20"/>
      <c r="BF583" s="518"/>
      <c r="BG583" s="484"/>
      <c r="BH583" s="484"/>
      <c r="BI583" s="527"/>
      <c r="BJ583" s="484"/>
      <c r="BK583" s="484"/>
      <c r="BL583" s="484"/>
      <c r="BM583" s="484"/>
    </row>
    <row r="584" spans="1:65" s="22" customFormat="1" x14ac:dyDescent="0.25">
      <c r="A584" s="20"/>
      <c r="B584" s="515"/>
      <c r="C584" s="11"/>
      <c r="D584" s="11"/>
      <c r="E584" s="11"/>
      <c r="F584" s="21"/>
      <c r="G584" s="11"/>
      <c r="H584" s="50"/>
      <c r="I584" s="50"/>
      <c r="J584" s="50"/>
      <c r="K584" s="11"/>
      <c r="L584" s="50"/>
      <c r="M584" s="50"/>
      <c r="N584" s="50"/>
      <c r="O584" s="50"/>
      <c r="P584" s="50"/>
      <c r="Q584" s="11"/>
      <c r="R584" s="50"/>
      <c r="S584" s="50"/>
      <c r="T584" s="50"/>
      <c r="U584" s="11"/>
      <c r="V584" s="50"/>
      <c r="W584" s="50"/>
      <c r="X584" s="50"/>
      <c r="Y584" s="50"/>
      <c r="Z584" s="50"/>
      <c r="AA584" s="11"/>
      <c r="AB584" s="50"/>
      <c r="AC584" s="50"/>
      <c r="AD584" s="50"/>
      <c r="AE584" s="11"/>
      <c r="AF584" s="50"/>
      <c r="AG584" s="50"/>
      <c r="AH584" s="50"/>
      <c r="AI584" s="11"/>
      <c r="AJ584" s="50"/>
      <c r="AK584" s="50"/>
      <c r="AL584" s="50"/>
      <c r="AM584" s="11"/>
      <c r="AN584" s="50"/>
      <c r="AO584" s="50"/>
      <c r="AP584" s="50"/>
      <c r="AQ584" s="11"/>
      <c r="AR584" s="50"/>
      <c r="AS584" s="50"/>
      <c r="AT584" s="50"/>
      <c r="AU584" s="11"/>
      <c r="AV584" s="50"/>
      <c r="AW584" s="50"/>
      <c r="AX584" s="50"/>
      <c r="AY584" s="50"/>
      <c r="AZ584" s="50"/>
      <c r="BA584" s="50"/>
      <c r="BB584" s="50"/>
      <c r="BC584" s="50"/>
      <c r="BD584" s="50"/>
      <c r="BE584" s="20"/>
      <c r="BF584" s="518"/>
      <c r="BG584" s="484"/>
      <c r="BH584" s="484"/>
      <c r="BI584" s="527"/>
      <c r="BJ584" s="484"/>
      <c r="BK584" s="484"/>
      <c r="BL584" s="484"/>
      <c r="BM584" s="484"/>
    </row>
    <row r="585" spans="1:65" s="22" customFormat="1" x14ac:dyDescent="0.25">
      <c r="A585" s="20"/>
      <c r="B585" s="515"/>
      <c r="C585" s="11"/>
      <c r="D585" s="11"/>
      <c r="E585" s="11"/>
      <c r="F585" s="21"/>
      <c r="G585" s="11"/>
      <c r="H585" s="50"/>
      <c r="I585" s="50"/>
      <c r="J585" s="50"/>
      <c r="K585" s="11"/>
      <c r="L585" s="50"/>
      <c r="M585" s="50"/>
      <c r="N585" s="50"/>
      <c r="O585" s="50"/>
      <c r="P585" s="50"/>
      <c r="Q585" s="11"/>
      <c r="R585" s="50"/>
      <c r="S585" s="50"/>
      <c r="T585" s="50"/>
      <c r="U585" s="11"/>
      <c r="V585" s="50"/>
      <c r="W585" s="50"/>
      <c r="X585" s="50"/>
      <c r="Y585" s="50"/>
      <c r="Z585" s="50"/>
      <c r="AA585" s="11"/>
      <c r="AB585" s="50"/>
      <c r="AC585" s="50"/>
      <c r="AD585" s="50"/>
      <c r="AE585" s="11"/>
      <c r="AF585" s="50"/>
      <c r="AG585" s="50"/>
      <c r="AH585" s="50"/>
      <c r="AI585" s="11"/>
      <c r="AJ585" s="50"/>
      <c r="AK585" s="50"/>
      <c r="AL585" s="50"/>
      <c r="AM585" s="11"/>
      <c r="AN585" s="50"/>
      <c r="AO585" s="50"/>
      <c r="AP585" s="50"/>
      <c r="AQ585" s="11"/>
      <c r="AR585" s="50"/>
      <c r="AS585" s="50"/>
      <c r="AT585" s="50"/>
      <c r="AU585" s="11"/>
      <c r="AV585" s="50"/>
      <c r="AW585" s="50"/>
      <c r="AX585" s="50"/>
      <c r="AY585" s="50"/>
      <c r="AZ585" s="50"/>
      <c r="BA585" s="50"/>
      <c r="BB585" s="50"/>
      <c r="BC585" s="50"/>
      <c r="BD585" s="50"/>
      <c r="BE585" s="20"/>
      <c r="BF585" s="518"/>
      <c r="BG585" s="484"/>
      <c r="BH585" s="484"/>
      <c r="BI585" s="527"/>
      <c r="BJ585" s="484"/>
      <c r="BK585" s="484"/>
      <c r="BL585" s="484"/>
      <c r="BM585" s="484"/>
    </row>
    <row r="586" spans="1:65" s="22" customFormat="1" x14ac:dyDescent="0.25">
      <c r="A586" s="20"/>
      <c r="B586" s="515"/>
      <c r="C586" s="11"/>
      <c r="D586" s="11"/>
      <c r="E586" s="11"/>
      <c r="F586" s="21"/>
      <c r="G586" s="11"/>
      <c r="H586" s="50"/>
      <c r="I586" s="50"/>
      <c r="J586" s="50"/>
      <c r="K586" s="11"/>
      <c r="L586" s="50"/>
      <c r="M586" s="50"/>
      <c r="N586" s="50"/>
      <c r="O586" s="50"/>
      <c r="P586" s="50"/>
      <c r="Q586" s="11"/>
      <c r="R586" s="50"/>
      <c r="S586" s="50"/>
      <c r="T586" s="50"/>
      <c r="U586" s="11"/>
      <c r="V586" s="50"/>
      <c r="W586" s="50"/>
      <c r="X586" s="50"/>
      <c r="Y586" s="50"/>
      <c r="Z586" s="50"/>
      <c r="AA586" s="11"/>
      <c r="AB586" s="50"/>
      <c r="AC586" s="50"/>
      <c r="AD586" s="50"/>
      <c r="AE586" s="11"/>
      <c r="AF586" s="50"/>
      <c r="AG586" s="50"/>
      <c r="AH586" s="50"/>
      <c r="AI586" s="11"/>
      <c r="AJ586" s="50"/>
      <c r="AK586" s="50"/>
      <c r="AL586" s="50"/>
      <c r="AM586" s="11"/>
      <c r="AN586" s="50"/>
      <c r="AO586" s="50"/>
      <c r="AP586" s="50"/>
      <c r="AQ586" s="11"/>
      <c r="AR586" s="50"/>
      <c r="AS586" s="50"/>
      <c r="AT586" s="50"/>
      <c r="AU586" s="11"/>
      <c r="AV586" s="50"/>
      <c r="AW586" s="50"/>
      <c r="AX586" s="50"/>
      <c r="AY586" s="50"/>
      <c r="AZ586" s="50"/>
      <c r="BA586" s="50"/>
      <c r="BB586" s="50"/>
      <c r="BC586" s="50"/>
      <c r="BD586" s="50"/>
      <c r="BE586" s="20"/>
      <c r="BF586" s="518"/>
      <c r="BG586" s="484"/>
      <c r="BH586" s="484"/>
      <c r="BI586" s="527"/>
      <c r="BJ586" s="484"/>
      <c r="BK586" s="484"/>
      <c r="BL586" s="484"/>
      <c r="BM586" s="484"/>
    </row>
    <row r="587" spans="1:65" s="22" customFormat="1" x14ac:dyDescent="0.25">
      <c r="A587" s="20"/>
      <c r="B587" s="515"/>
      <c r="C587" s="11"/>
      <c r="D587" s="11"/>
      <c r="E587" s="11"/>
      <c r="F587" s="21"/>
      <c r="G587" s="11"/>
      <c r="H587" s="50"/>
      <c r="I587" s="50"/>
      <c r="J587" s="50"/>
      <c r="K587" s="11"/>
      <c r="L587" s="50"/>
      <c r="M587" s="50"/>
      <c r="N587" s="50"/>
      <c r="O587" s="50"/>
      <c r="P587" s="50"/>
      <c r="Q587" s="11"/>
      <c r="R587" s="50"/>
      <c r="S587" s="50"/>
      <c r="T587" s="50"/>
      <c r="U587" s="11"/>
      <c r="V587" s="50"/>
      <c r="W587" s="50"/>
      <c r="X587" s="50"/>
      <c r="Y587" s="50"/>
      <c r="Z587" s="50"/>
      <c r="AA587" s="11"/>
      <c r="AB587" s="50"/>
      <c r="AC587" s="50"/>
      <c r="AD587" s="50"/>
      <c r="AE587" s="11"/>
      <c r="AF587" s="50"/>
      <c r="AG587" s="50"/>
      <c r="AH587" s="50"/>
      <c r="AI587" s="11"/>
      <c r="AJ587" s="50"/>
      <c r="AK587" s="50"/>
      <c r="AL587" s="50"/>
      <c r="AM587" s="11"/>
      <c r="AN587" s="50"/>
      <c r="AO587" s="50"/>
      <c r="AP587" s="50"/>
      <c r="AQ587" s="11"/>
      <c r="AR587" s="50"/>
      <c r="AS587" s="50"/>
      <c r="AT587" s="50"/>
      <c r="AU587" s="11"/>
      <c r="AV587" s="50"/>
      <c r="AW587" s="50"/>
      <c r="AX587" s="50"/>
      <c r="AY587" s="50"/>
      <c r="AZ587" s="50"/>
      <c r="BA587" s="50"/>
      <c r="BB587" s="50"/>
      <c r="BC587" s="50"/>
      <c r="BD587" s="50"/>
      <c r="BE587" s="20"/>
      <c r="BF587" s="518"/>
      <c r="BG587" s="484"/>
      <c r="BH587" s="484"/>
      <c r="BI587" s="527"/>
      <c r="BJ587" s="484"/>
      <c r="BK587" s="484"/>
      <c r="BL587" s="484"/>
      <c r="BM587" s="484"/>
    </row>
    <row r="588" spans="1:65" s="22" customFormat="1" x14ac:dyDescent="0.25">
      <c r="A588" s="20"/>
      <c r="B588" s="515"/>
      <c r="C588" s="11"/>
      <c r="D588" s="11"/>
      <c r="E588" s="11"/>
      <c r="F588" s="21"/>
      <c r="G588" s="11"/>
      <c r="H588" s="50"/>
      <c r="I588" s="50"/>
      <c r="J588" s="50"/>
      <c r="K588" s="11"/>
      <c r="L588" s="50"/>
      <c r="M588" s="50"/>
      <c r="N588" s="50"/>
      <c r="O588" s="50"/>
      <c r="P588" s="50"/>
      <c r="Q588" s="11"/>
      <c r="R588" s="50"/>
      <c r="S588" s="50"/>
      <c r="T588" s="50"/>
      <c r="U588" s="11"/>
      <c r="V588" s="50"/>
      <c r="W588" s="50"/>
      <c r="X588" s="50"/>
      <c r="Y588" s="50"/>
      <c r="Z588" s="50"/>
      <c r="AA588" s="11"/>
      <c r="AB588" s="50"/>
      <c r="AC588" s="50"/>
      <c r="AD588" s="50"/>
      <c r="AE588" s="11"/>
      <c r="AF588" s="50"/>
      <c r="AG588" s="50"/>
      <c r="AH588" s="50"/>
      <c r="AI588" s="11"/>
      <c r="AJ588" s="50"/>
      <c r="AK588" s="50"/>
      <c r="AL588" s="50"/>
      <c r="AM588" s="11"/>
      <c r="AN588" s="50"/>
      <c r="AO588" s="50"/>
      <c r="AP588" s="50"/>
      <c r="AQ588" s="11"/>
      <c r="AR588" s="50"/>
      <c r="AS588" s="50"/>
      <c r="AT588" s="50"/>
      <c r="AU588" s="11"/>
      <c r="AV588" s="50"/>
      <c r="AW588" s="50"/>
      <c r="AX588" s="50"/>
      <c r="AY588" s="50"/>
      <c r="AZ588" s="50"/>
      <c r="BA588" s="50"/>
      <c r="BB588" s="50"/>
      <c r="BC588" s="50"/>
      <c r="BD588" s="50"/>
      <c r="BE588" s="20"/>
      <c r="BF588" s="518"/>
      <c r="BG588" s="484"/>
      <c r="BH588" s="484"/>
      <c r="BI588" s="527"/>
      <c r="BJ588" s="484"/>
      <c r="BK588" s="484"/>
      <c r="BL588" s="484"/>
      <c r="BM588" s="484"/>
    </row>
    <row r="589" spans="1:65" s="22" customFormat="1" x14ac:dyDescent="0.25">
      <c r="A589" s="20"/>
      <c r="B589" s="515"/>
      <c r="C589" s="11"/>
      <c r="D589" s="11"/>
      <c r="E589" s="11"/>
      <c r="F589" s="21"/>
      <c r="G589" s="11"/>
      <c r="H589" s="50"/>
      <c r="I589" s="50"/>
      <c r="J589" s="50"/>
      <c r="K589" s="11"/>
      <c r="L589" s="50"/>
      <c r="M589" s="50"/>
      <c r="N589" s="50"/>
      <c r="O589" s="50"/>
      <c r="P589" s="50"/>
      <c r="Q589" s="11"/>
      <c r="R589" s="50"/>
      <c r="S589" s="50"/>
      <c r="T589" s="50"/>
      <c r="U589" s="11"/>
      <c r="V589" s="50"/>
      <c r="W589" s="50"/>
      <c r="X589" s="50"/>
      <c r="Y589" s="50"/>
      <c r="Z589" s="50"/>
      <c r="AA589" s="11"/>
      <c r="AB589" s="50"/>
      <c r="AC589" s="50"/>
      <c r="AD589" s="50"/>
      <c r="AE589" s="11"/>
      <c r="AF589" s="50"/>
      <c r="AG589" s="50"/>
      <c r="AH589" s="50"/>
      <c r="AI589" s="11"/>
      <c r="AJ589" s="50"/>
      <c r="AK589" s="50"/>
      <c r="AL589" s="50"/>
      <c r="AM589" s="11"/>
      <c r="AN589" s="50"/>
      <c r="AO589" s="50"/>
      <c r="AP589" s="50"/>
      <c r="AQ589" s="11"/>
      <c r="AR589" s="50"/>
      <c r="AS589" s="50"/>
      <c r="AT589" s="50"/>
      <c r="AU589" s="11"/>
      <c r="AV589" s="50"/>
      <c r="AW589" s="50"/>
      <c r="AX589" s="50"/>
      <c r="AY589" s="50"/>
      <c r="AZ589" s="50"/>
      <c r="BA589" s="50"/>
      <c r="BB589" s="50"/>
      <c r="BC589" s="50"/>
      <c r="BD589" s="50"/>
      <c r="BE589" s="20"/>
      <c r="BF589" s="518"/>
      <c r="BG589" s="484"/>
      <c r="BH589" s="484"/>
      <c r="BI589" s="527"/>
      <c r="BJ589" s="484"/>
      <c r="BK589" s="484"/>
      <c r="BL589" s="484"/>
      <c r="BM589" s="484"/>
    </row>
    <row r="590" spans="1:65" s="22" customFormat="1" x14ac:dyDescent="0.25">
      <c r="A590" s="20"/>
      <c r="B590" s="515"/>
      <c r="C590" s="11"/>
      <c r="D590" s="11"/>
      <c r="E590" s="11"/>
      <c r="F590" s="21"/>
      <c r="G590" s="11"/>
      <c r="H590" s="50"/>
      <c r="I590" s="50"/>
      <c r="J590" s="50"/>
      <c r="K590" s="11"/>
      <c r="L590" s="50"/>
      <c r="M590" s="50"/>
      <c r="N590" s="50"/>
      <c r="O590" s="50"/>
      <c r="P590" s="50"/>
      <c r="Q590" s="11"/>
      <c r="R590" s="50"/>
      <c r="S590" s="50"/>
      <c r="T590" s="50"/>
      <c r="U590" s="11"/>
      <c r="V590" s="50"/>
      <c r="W590" s="50"/>
      <c r="X590" s="50"/>
      <c r="Y590" s="50"/>
      <c r="Z590" s="50"/>
      <c r="AA590" s="11"/>
      <c r="AB590" s="50"/>
      <c r="AC590" s="50"/>
      <c r="AD590" s="50"/>
      <c r="AE590" s="11"/>
      <c r="AF590" s="50"/>
      <c r="AG590" s="50"/>
      <c r="AH590" s="50"/>
      <c r="AI590" s="11"/>
      <c r="AJ590" s="50"/>
      <c r="AK590" s="50"/>
      <c r="AL590" s="50"/>
      <c r="AM590" s="11"/>
      <c r="AN590" s="50"/>
      <c r="AO590" s="50"/>
      <c r="AP590" s="50"/>
      <c r="AQ590" s="11"/>
      <c r="AR590" s="50"/>
      <c r="AS590" s="50"/>
      <c r="AT590" s="50"/>
      <c r="AU590" s="11"/>
      <c r="AV590" s="50"/>
      <c r="AW590" s="50"/>
      <c r="AX590" s="50"/>
      <c r="AY590" s="50"/>
      <c r="AZ590" s="50"/>
      <c r="BA590" s="50"/>
      <c r="BB590" s="50"/>
      <c r="BC590" s="50"/>
      <c r="BD590" s="50"/>
      <c r="BE590" s="20"/>
      <c r="BF590" s="518"/>
      <c r="BG590" s="484"/>
      <c r="BH590" s="484"/>
      <c r="BI590" s="527"/>
      <c r="BJ590" s="484"/>
      <c r="BK590" s="484"/>
      <c r="BL590" s="484"/>
      <c r="BM590" s="484"/>
    </row>
    <row r="591" spans="1:65" s="22" customFormat="1" x14ac:dyDescent="0.25">
      <c r="A591" s="20"/>
      <c r="B591" s="515"/>
      <c r="C591" s="11"/>
      <c r="D591" s="11"/>
      <c r="E591" s="11"/>
      <c r="F591" s="21"/>
      <c r="G591" s="11"/>
      <c r="H591" s="50"/>
      <c r="I591" s="50"/>
      <c r="J591" s="50"/>
      <c r="K591" s="11"/>
      <c r="L591" s="50"/>
      <c r="M591" s="50"/>
      <c r="N591" s="50"/>
      <c r="O591" s="50"/>
      <c r="P591" s="50"/>
      <c r="Q591" s="11"/>
      <c r="R591" s="50"/>
      <c r="S591" s="50"/>
      <c r="T591" s="50"/>
      <c r="U591" s="11"/>
      <c r="V591" s="50"/>
      <c r="W591" s="50"/>
      <c r="X591" s="50"/>
      <c r="Y591" s="50"/>
      <c r="Z591" s="50"/>
      <c r="AA591" s="11"/>
      <c r="AB591" s="50"/>
      <c r="AC591" s="50"/>
      <c r="AD591" s="50"/>
      <c r="AE591" s="11"/>
      <c r="AF591" s="50"/>
      <c r="AG591" s="50"/>
      <c r="AH591" s="50"/>
      <c r="AI591" s="11"/>
      <c r="AJ591" s="50"/>
      <c r="AK591" s="50"/>
      <c r="AL591" s="50"/>
      <c r="AM591" s="11"/>
      <c r="AN591" s="50"/>
      <c r="AO591" s="50"/>
      <c r="AP591" s="50"/>
      <c r="AQ591" s="11"/>
      <c r="AR591" s="50"/>
      <c r="AS591" s="50"/>
      <c r="AT591" s="50"/>
      <c r="AU591" s="11"/>
      <c r="AV591" s="50"/>
      <c r="AW591" s="50"/>
      <c r="AX591" s="50"/>
      <c r="AY591" s="50"/>
      <c r="AZ591" s="50"/>
      <c r="BA591" s="50"/>
      <c r="BB591" s="50"/>
      <c r="BC591" s="50"/>
      <c r="BD591" s="50"/>
      <c r="BE591" s="20"/>
      <c r="BF591" s="518"/>
      <c r="BG591" s="484"/>
      <c r="BH591" s="484"/>
      <c r="BI591" s="527"/>
      <c r="BJ591" s="484"/>
      <c r="BK591" s="484"/>
      <c r="BL591" s="484"/>
      <c r="BM591" s="484"/>
    </row>
    <row r="592" spans="1:65" s="22" customFormat="1" x14ac:dyDescent="0.25">
      <c r="A592" s="20"/>
      <c r="B592" s="515"/>
      <c r="C592" s="11"/>
      <c r="D592" s="11"/>
      <c r="E592" s="11"/>
      <c r="F592" s="21"/>
      <c r="G592" s="11"/>
      <c r="H592" s="50"/>
      <c r="I592" s="50"/>
      <c r="J592" s="50"/>
      <c r="K592" s="11"/>
      <c r="L592" s="50"/>
      <c r="M592" s="50"/>
      <c r="N592" s="50"/>
      <c r="O592" s="50"/>
      <c r="P592" s="50"/>
      <c r="Q592" s="11"/>
      <c r="R592" s="50"/>
      <c r="S592" s="50"/>
      <c r="T592" s="50"/>
      <c r="U592" s="11"/>
      <c r="V592" s="50"/>
      <c r="W592" s="50"/>
      <c r="X592" s="50"/>
      <c r="Y592" s="50"/>
      <c r="Z592" s="50"/>
      <c r="AA592" s="11"/>
      <c r="AB592" s="50"/>
      <c r="AC592" s="50"/>
      <c r="AD592" s="50"/>
      <c r="AE592" s="11"/>
      <c r="AF592" s="50"/>
      <c r="AG592" s="50"/>
      <c r="AH592" s="50"/>
      <c r="AI592" s="11"/>
      <c r="AJ592" s="50"/>
      <c r="AK592" s="50"/>
      <c r="AL592" s="50"/>
      <c r="AM592" s="11"/>
      <c r="AN592" s="50"/>
      <c r="AO592" s="50"/>
      <c r="AP592" s="50"/>
      <c r="AQ592" s="11"/>
      <c r="AR592" s="50"/>
      <c r="AS592" s="50"/>
      <c r="AT592" s="50"/>
      <c r="AU592" s="11"/>
      <c r="AV592" s="50"/>
      <c r="AW592" s="50"/>
      <c r="AX592" s="50"/>
      <c r="AY592" s="50"/>
      <c r="AZ592" s="50"/>
      <c r="BA592" s="50"/>
      <c r="BB592" s="50"/>
      <c r="BC592" s="50"/>
      <c r="BD592" s="50"/>
      <c r="BE592" s="20"/>
      <c r="BF592" s="518"/>
      <c r="BG592" s="484"/>
      <c r="BH592" s="484"/>
      <c r="BI592" s="527"/>
      <c r="BJ592" s="484"/>
      <c r="BK592" s="484"/>
      <c r="BL592" s="484"/>
      <c r="BM592" s="484"/>
    </row>
    <row r="593" spans="1:65" s="22" customFormat="1" x14ac:dyDescent="0.25">
      <c r="A593" s="20"/>
      <c r="B593" s="515"/>
      <c r="C593" s="11"/>
      <c r="D593" s="11"/>
      <c r="E593" s="11"/>
      <c r="F593" s="21"/>
      <c r="G593" s="11"/>
      <c r="H593" s="50"/>
      <c r="I593" s="50"/>
      <c r="J593" s="50"/>
      <c r="K593" s="11"/>
      <c r="L593" s="50"/>
      <c r="M593" s="50"/>
      <c r="N593" s="50"/>
      <c r="O593" s="50"/>
      <c r="P593" s="50"/>
      <c r="Q593" s="11"/>
      <c r="R593" s="50"/>
      <c r="S593" s="50"/>
      <c r="T593" s="50"/>
      <c r="U593" s="11"/>
      <c r="V593" s="50"/>
      <c r="W593" s="50"/>
      <c r="X593" s="50"/>
      <c r="Y593" s="50"/>
      <c r="Z593" s="50"/>
      <c r="AA593" s="11"/>
      <c r="AB593" s="50"/>
      <c r="AC593" s="50"/>
      <c r="AD593" s="50"/>
      <c r="AE593" s="11"/>
      <c r="AF593" s="50"/>
      <c r="AG593" s="50"/>
      <c r="AH593" s="50"/>
      <c r="AI593" s="11"/>
      <c r="AJ593" s="50"/>
      <c r="AK593" s="50"/>
      <c r="AL593" s="50"/>
      <c r="AM593" s="11"/>
      <c r="AN593" s="50"/>
      <c r="AO593" s="50"/>
      <c r="AP593" s="50"/>
      <c r="AQ593" s="11"/>
      <c r="AR593" s="50"/>
      <c r="AS593" s="50"/>
      <c r="AT593" s="50"/>
      <c r="AU593" s="11"/>
      <c r="AV593" s="50"/>
      <c r="AW593" s="50"/>
      <c r="AX593" s="50"/>
      <c r="AY593" s="50"/>
      <c r="AZ593" s="50"/>
      <c r="BA593" s="50"/>
      <c r="BB593" s="50"/>
      <c r="BC593" s="50"/>
      <c r="BD593" s="50"/>
      <c r="BE593" s="20"/>
      <c r="BF593" s="518"/>
      <c r="BG593" s="484"/>
      <c r="BH593" s="484"/>
      <c r="BI593" s="527"/>
      <c r="BJ593" s="484"/>
      <c r="BK593" s="484"/>
      <c r="BL593" s="484"/>
      <c r="BM593" s="484"/>
    </row>
    <row r="594" spans="1:65" s="22" customFormat="1" x14ac:dyDescent="0.25">
      <c r="A594" s="20"/>
      <c r="B594" s="515"/>
      <c r="C594" s="11"/>
      <c r="D594" s="11"/>
      <c r="E594" s="11"/>
      <c r="F594" s="21"/>
      <c r="G594" s="11"/>
      <c r="H594" s="50"/>
      <c r="I594" s="50"/>
      <c r="J594" s="50"/>
      <c r="K594" s="11"/>
      <c r="L594" s="50"/>
      <c r="M594" s="50"/>
      <c r="N594" s="50"/>
      <c r="O594" s="50"/>
      <c r="P594" s="50"/>
      <c r="Q594" s="11"/>
      <c r="R594" s="50"/>
      <c r="S594" s="50"/>
      <c r="T594" s="50"/>
      <c r="U594" s="11"/>
      <c r="V594" s="50"/>
      <c r="W594" s="50"/>
      <c r="X594" s="50"/>
      <c r="Y594" s="50"/>
      <c r="Z594" s="50"/>
      <c r="AA594" s="11"/>
      <c r="AB594" s="50"/>
      <c r="AC594" s="50"/>
      <c r="AD594" s="50"/>
      <c r="AE594" s="11"/>
      <c r="AF594" s="50"/>
      <c r="AG594" s="50"/>
      <c r="AH594" s="50"/>
      <c r="AI594" s="11"/>
      <c r="AJ594" s="50"/>
      <c r="AK594" s="50"/>
      <c r="AL594" s="50"/>
      <c r="AM594" s="11"/>
      <c r="AN594" s="50"/>
      <c r="AO594" s="50"/>
      <c r="AP594" s="50"/>
      <c r="AQ594" s="11"/>
      <c r="AR594" s="50"/>
      <c r="AS594" s="50"/>
      <c r="AT594" s="50"/>
      <c r="AU594" s="11"/>
      <c r="AV594" s="50"/>
      <c r="AW594" s="50"/>
      <c r="AX594" s="50"/>
      <c r="AY594" s="50"/>
      <c r="AZ594" s="50"/>
      <c r="BA594" s="50"/>
      <c r="BB594" s="50"/>
      <c r="BC594" s="50"/>
      <c r="BD594" s="50"/>
      <c r="BE594" s="20"/>
      <c r="BF594" s="518"/>
      <c r="BG594" s="484"/>
      <c r="BH594" s="484"/>
      <c r="BI594" s="527"/>
      <c r="BJ594" s="484"/>
      <c r="BK594" s="484"/>
      <c r="BL594" s="484"/>
      <c r="BM594" s="484"/>
    </row>
    <row r="595" spans="1:65" s="22" customFormat="1" x14ac:dyDescent="0.25">
      <c r="A595" s="20"/>
      <c r="B595" s="515"/>
      <c r="C595" s="11"/>
      <c r="D595" s="11"/>
      <c r="E595" s="11"/>
      <c r="F595" s="21"/>
      <c r="G595" s="11"/>
      <c r="H595" s="50"/>
      <c r="I595" s="50"/>
      <c r="J595" s="50"/>
      <c r="K595" s="11"/>
      <c r="L595" s="50"/>
      <c r="M595" s="50"/>
      <c r="N595" s="50"/>
      <c r="O595" s="50"/>
      <c r="P595" s="50"/>
      <c r="Q595" s="11"/>
      <c r="R595" s="50"/>
      <c r="S595" s="50"/>
      <c r="T595" s="50"/>
      <c r="U595" s="11"/>
      <c r="V595" s="50"/>
      <c r="W595" s="50"/>
      <c r="X595" s="50"/>
      <c r="Y595" s="50"/>
      <c r="Z595" s="50"/>
      <c r="AA595" s="11"/>
      <c r="AB595" s="50"/>
      <c r="AC595" s="50"/>
      <c r="AD595" s="50"/>
      <c r="AE595" s="11"/>
      <c r="AF595" s="50"/>
      <c r="AG595" s="50"/>
      <c r="AH595" s="50"/>
      <c r="AI595" s="11"/>
      <c r="AJ595" s="50"/>
      <c r="AK595" s="50"/>
      <c r="AL595" s="50"/>
      <c r="AM595" s="11"/>
      <c r="AN595" s="50"/>
      <c r="AO595" s="50"/>
      <c r="AP595" s="50"/>
      <c r="AQ595" s="11"/>
      <c r="AR595" s="50"/>
      <c r="AS595" s="50"/>
      <c r="AT595" s="50"/>
      <c r="AU595" s="11"/>
      <c r="AV595" s="50"/>
      <c r="AW595" s="50"/>
      <c r="AX595" s="50"/>
      <c r="AY595" s="50"/>
      <c r="AZ595" s="50"/>
      <c r="BA595" s="50"/>
      <c r="BB595" s="50"/>
      <c r="BC595" s="50"/>
      <c r="BD595" s="50"/>
      <c r="BE595" s="20"/>
      <c r="BF595" s="518"/>
      <c r="BG595" s="484"/>
      <c r="BH595" s="484"/>
      <c r="BI595" s="527"/>
      <c r="BJ595" s="484"/>
      <c r="BK595" s="484"/>
      <c r="BL595" s="484"/>
      <c r="BM595" s="484"/>
    </row>
    <row r="596" spans="1:65" s="22" customFormat="1" x14ac:dyDescent="0.25">
      <c r="A596" s="20"/>
      <c r="B596" s="515"/>
      <c r="C596" s="11"/>
      <c r="D596" s="11"/>
      <c r="E596" s="11"/>
      <c r="F596" s="21"/>
      <c r="G596" s="11"/>
      <c r="H596" s="50"/>
      <c r="I596" s="50"/>
      <c r="J596" s="50"/>
      <c r="K596" s="11"/>
      <c r="L596" s="50"/>
      <c r="M596" s="50"/>
      <c r="N596" s="50"/>
      <c r="O596" s="50"/>
      <c r="P596" s="50"/>
      <c r="Q596" s="11"/>
      <c r="R596" s="50"/>
      <c r="S596" s="50"/>
      <c r="T596" s="50"/>
      <c r="U596" s="11"/>
      <c r="V596" s="50"/>
      <c r="W596" s="50"/>
      <c r="X596" s="50"/>
      <c r="Y596" s="50"/>
      <c r="Z596" s="50"/>
      <c r="AA596" s="11"/>
      <c r="AB596" s="50"/>
      <c r="AC596" s="50"/>
      <c r="AD596" s="50"/>
      <c r="AE596" s="11"/>
      <c r="AF596" s="50"/>
      <c r="AG596" s="50"/>
      <c r="AH596" s="50"/>
      <c r="AI596" s="11"/>
      <c r="AJ596" s="50"/>
      <c r="AK596" s="50"/>
      <c r="AL596" s="50"/>
      <c r="AM596" s="11"/>
      <c r="AN596" s="50"/>
      <c r="AO596" s="50"/>
      <c r="AP596" s="50"/>
      <c r="AQ596" s="11"/>
      <c r="AR596" s="50"/>
      <c r="AS596" s="50"/>
      <c r="AT596" s="50"/>
      <c r="AU596" s="11"/>
      <c r="AV596" s="50"/>
      <c r="AW596" s="50"/>
      <c r="AX596" s="50"/>
      <c r="AY596" s="50"/>
      <c r="AZ596" s="50"/>
      <c r="BA596" s="50"/>
      <c r="BB596" s="50"/>
      <c r="BC596" s="50"/>
      <c r="BD596" s="50"/>
      <c r="BE596" s="20"/>
      <c r="BF596" s="518"/>
      <c r="BG596" s="484"/>
      <c r="BH596" s="484"/>
      <c r="BI596" s="527"/>
      <c r="BJ596" s="484"/>
      <c r="BK596" s="484"/>
      <c r="BL596" s="484"/>
      <c r="BM596" s="484"/>
    </row>
    <row r="597" spans="1:65" s="22" customFormat="1" x14ac:dyDescent="0.25">
      <c r="A597" s="20"/>
      <c r="B597" s="515"/>
      <c r="C597" s="11"/>
      <c r="D597" s="11"/>
      <c r="E597" s="11"/>
      <c r="F597" s="21"/>
      <c r="G597" s="11"/>
      <c r="H597" s="50"/>
      <c r="I597" s="50"/>
      <c r="J597" s="50"/>
      <c r="K597" s="11"/>
      <c r="L597" s="50"/>
      <c r="M597" s="50"/>
      <c r="N597" s="50"/>
      <c r="O597" s="50"/>
      <c r="P597" s="50"/>
      <c r="Q597" s="11"/>
      <c r="R597" s="50"/>
      <c r="S597" s="50"/>
      <c r="T597" s="50"/>
      <c r="U597" s="11"/>
      <c r="V597" s="50"/>
      <c r="W597" s="50"/>
      <c r="X597" s="50"/>
      <c r="Y597" s="50"/>
      <c r="Z597" s="50"/>
      <c r="AA597" s="11"/>
      <c r="AB597" s="50"/>
      <c r="AC597" s="50"/>
      <c r="AD597" s="50"/>
      <c r="AE597" s="11"/>
      <c r="AF597" s="50"/>
      <c r="AG597" s="50"/>
      <c r="AH597" s="50"/>
      <c r="AI597" s="11"/>
      <c r="AJ597" s="50"/>
      <c r="AK597" s="50"/>
      <c r="AL597" s="50"/>
      <c r="AM597" s="11"/>
      <c r="AN597" s="50"/>
      <c r="AO597" s="50"/>
      <c r="AP597" s="50"/>
      <c r="AQ597" s="11"/>
      <c r="AR597" s="50"/>
      <c r="AS597" s="50"/>
      <c r="AT597" s="50"/>
      <c r="AU597" s="11"/>
      <c r="AV597" s="50"/>
      <c r="AW597" s="50"/>
      <c r="AX597" s="50"/>
      <c r="AY597" s="50"/>
      <c r="AZ597" s="50"/>
      <c r="BA597" s="50"/>
      <c r="BB597" s="50"/>
      <c r="BC597" s="50"/>
      <c r="BD597" s="50"/>
      <c r="BE597" s="20"/>
      <c r="BF597" s="518"/>
      <c r="BG597" s="484"/>
      <c r="BH597" s="484"/>
      <c r="BI597" s="527"/>
      <c r="BJ597" s="484"/>
      <c r="BK597" s="484"/>
      <c r="BL597" s="484"/>
      <c r="BM597" s="484"/>
    </row>
    <row r="598" spans="1:65" s="22" customFormat="1" x14ac:dyDescent="0.25">
      <c r="A598" s="20"/>
      <c r="B598" s="515"/>
      <c r="C598" s="11"/>
      <c r="D598" s="11"/>
      <c r="E598" s="11"/>
      <c r="F598" s="21"/>
      <c r="G598" s="11"/>
      <c r="H598" s="50"/>
      <c r="I598" s="50"/>
      <c r="J598" s="50"/>
      <c r="K598" s="11"/>
      <c r="L598" s="50"/>
      <c r="M598" s="50"/>
      <c r="N598" s="50"/>
      <c r="O598" s="50"/>
      <c r="P598" s="50"/>
      <c r="Q598" s="11"/>
      <c r="R598" s="50"/>
      <c r="S598" s="50"/>
      <c r="T598" s="50"/>
      <c r="U598" s="11"/>
      <c r="V598" s="50"/>
      <c r="W598" s="50"/>
      <c r="X598" s="50"/>
      <c r="Y598" s="50"/>
      <c r="Z598" s="50"/>
      <c r="AA598" s="11"/>
      <c r="AB598" s="50"/>
      <c r="AC598" s="50"/>
      <c r="AD598" s="50"/>
      <c r="AE598" s="11"/>
      <c r="AF598" s="50"/>
      <c r="AG598" s="50"/>
      <c r="AH598" s="50"/>
      <c r="AI598" s="11"/>
      <c r="AJ598" s="50"/>
      <c r="AK598" s="50"/>
      <c r="AL598" s="50"/>
      <c r="AM598" s="11"/>
      <c r="AN598" s="50"/>
      <c r="AO598" s="50"/>
      <c r="AP598" s="50"/>
      <c r="AQ598" s="11"/>
      <c r="AR598" s="50"/>
      <c r="AS598" s="50"/>
      <c r="AT598" s="50"/>
      <c r="AU598" s="11"/>
      <c r="AV598" s="50"/>
      <c r="AW598" s="50"/>
      <c r="AX598" s="50"/>
      <c r="AY598" s="50"/>
      <c r="AZ598" s="50"/>
      <c r="BA598" s="50"/>
      <c r="BB598" s="50"/>
      <c r="BC598" s="50"/>
      <c r="BD598" s="50"/>
      <c r="BE598" s="20"/>
      <c r="BF598" s="518"/>
      <c r="BG598" s="484"/>
      <c r="BH598" s="484"/>
      <c r="BI598" s="527"/>
      <c r="BJ598" s="484"/>
      <c r="BK598" s="484"/>
      <c r="BL598" s="484"/>
      <c r="BM598" s="484"/>
    </row>
    <row r="599" spans="1:65" s="22" customFormat="1" x14ac:dyDescent="0.25">
      <c r="A599" s="20"/>
      <c r="B599" s="515"/>
      <c r="C599" s="11"/>
      <c r="D599" s="11"/>
      <c r="E599" s="11"/>
      <c r="F599" s="21"/>
      <c r="G599" s="11"/>
      <c r="H599" s="50"/>
      <c r="I599" s="50"/>
      <c r="J599" s="50"/>
      <c r="K599" s="11"/>
      <c r="L599" s="50"/>
      <c r="M599" s="50"/>
      <c r="N599" s="50"/>
      <c r="O599" s="50"/>
      <c r="P599" s="50"/>
      <c r="Q599" s="11"/>
      <c r="R599" s="50"/>
      <c r="S599" s="50"/>
      <c r="T599" s="50"/>
      <c r="U599" s="11"/>
      <c r="V599" s="50"/>
      <c r="W599" s="50"/>
      <c r="X599" s="50"/>
      <c r="Y599" s="50"/>
      <c r="Z599" s="50"/>
      <c r="AA599" s="11"/>
      <c r="AB599" s="50"/>
      <c r="AC599" s="50"/>
      <c r="AD599" s="50"/>
      <c r="AE599" s="11"/>
      <c r="AF599" s="50"/>
      <c r="AG599" s="50"/>
      <c r="AH599" s="50"/>
      <c r="AI599" s="11"/>
      <c r="AJ599" s="50"/>
      <c r="AK599" s="50"/>
      <c r="AL599" s="50"/>
      <c r="AM599" s="11"/>
      <c r="AN599" s="50"/>
      <c r="AO599" s="50"/>
      <c r="AP599" s="50"/>
      <c r="AQ599" s="11"/>
      <c r="AR599" s="50"/>
      <c r="AS599" s="50"/>
      <c r="AT599" s="50"/>
      <c r="AU599" s="11"/>
      <c r="AV599" s="50"/>
      <c r="AW599" s="50"/>
      <c r="AX599" s="50"/>
      <c r="AY599" s="50"/>
      <c r="AZ599" s="50"/>
      <c r="BA599" s="50"/>
      <c r="BB599" s="50"/>
      <c r="BC599" s="50"/>
      <c r="BD599" s="50"/>
      <c r="BE599" s="20"/>
      <c r="BF599" s="518"/>
      <c r="BG599" s="484"/>
      <c r="BH599" s="484"/>
      <c r="BI599" s="527"/>
      <c r="BJ599" s="484"/>
      <c r="BK599" s="484"/>
      <c r="BL599" s="484"/>
      <c r="BM599" s="484"/>
    </row>
    <row r="600" spans="1:65" s="22" customFormat="1" x14ac:dyDescent="0.25">
      <c r="A600" s="20"/>
      <c r="B600" s="515"/>
      <c r="C600" s="11"/>
      <c r="D600" s="11"/>
      <c r="E600" s="11"/>
      <c r="F600" s="21"/>
      <c r="G600" s="11"/>
      <c r="H600" s="50"/>
      <c r="I600" s="50"/>
      <c r="J600" s="50"/>
      <c r="K600" s="11"/>
      <c r="L600" s="50"/>
      <c r="M600" s="50"/>
      <c r="N600" s="50"/>
      <c r="O600" s="50"/>
      <c r="P600" s="50"/>
      <c r="Q600" s="11"/>
      <c r="R600" s="50"/>
      <c r="S600" s="50"/>
      <c r="T600" s="50"/>
      <c r="U600" s="11"/>
      <c r="V600" s="50"/>
      <c r="W600" s="50"/>
      <c r="X600" s="50"/>
      <c r="Y600" s="50"/>
      <c r="Z600" s="50"/>
      <c r="AA600" s="11"/>
      <c r="AB600" s="50"/>
      <c r="AC600" s="50"/>
      <c r="AD600" s="50"/>
      <c r="AE600" s="11"/>
      <c r="AF600" s="50"/>
      <c r="AG600" s="50"/>
      <c r="AH600" s="50"/>
      <c r="AI600" s="11"/>
      <c r="AJ600" s="50"/>
      <c r="AK600" s="50"/>
      <c r="AL600" s="50"/>
      <c r="AM600" s="11"/>
      <c r="AN600" s="50"/>
      <c r="AO600" s="50"/>
      <c r="AP600" s="50"/>
      <c r="AQ600" s="11"/>
      <c r="AR600" s="50"/>
      <c r="AS600" s="50"/>
      <c r="AT600" s="50"/>
      <c r="AU600" s="11"/>
      <c r="AV600" s="50"/>
      <c r="AW600" s="50"/>
      <c r="AX600" s="50"/>
      <c r="AY600" s="50"/>
      <c r="AZ600" s="50"/>
      <c r="BA600" s="50"/>
      <c r="BB600" s="50"/>
      <c r="BC600" s="50"/>
      <c r="BD600" s="50"/>
      <c r="BE600" s="20"/>
      <c r="BF600" s="518"/>
      <c r="BG600" s="484"/>
      <c r="BH600" s="484"/>
      <c r="BI600" s="527"/>
      <c r="BJ600" s="484"/>
      <c r="BK600" s="484"/>
      <c r="BL600" s="484"/>
      <c r="BM600" s="484"/>
    </row>
    <row r="601" spans="1:65" s="22" customFormat="1" x14ac:dyDescent="0.25">
      <c r="A601" s="20"/>
      <c r="B601" s="515"/>
      <c r="C601" s="11"/>
      <c r="D601" s="11"/>
      <c r="E601" s="11"/>
      <c r="F601" s="21"/>
      <c r="G601" s="11"/>
      <c r="H601" s="50"/>
      <c r="I601" s="50"/>
      <c r="J601" s="50"/>
      <c r="K601" s="11"/>
      <c r="L601" s="50"/>
      <c r="M601" s="50"/>
      <c r="N601" s="50"/>
      <c r="O601" s="50"/>
      <c r="P601" s="50"/>
      <c r="Q601" s="11"/>
      <c r="R601" s="50"/>
      <c r="S601" s="50"/>
      <c r="T601" s="50"/>
      <c r="U601" s="11"/>
      <c r="V601" s="50"/>
      <c r="W601" s="50"/>
      <c r="X601" s="50"/>
      <c r="Y601" s="50"/>
      <c r="Z601" s="50"/>
      <c r="AA601" s="11"/>
      <c r="AB601" s="50"/>
      <c r="AC601" s="50"/>
      <c r="AD601" s="50"/>
      <c r="AE601" s="11"/>
      <c r="AF601" s="50"/>
      <c r="AG601" s="50"/>
      <c r="AH601" s="50"/>
      <c r="AI601" s="11"/>
      <c r="AJ601" s="50"/>
      <c r="AK601" s="50"/>
      <c r="AL601" s="50"/>
      <c r="AM601" s="11"/>
      <c r="AN601" s="50"/>
      <c r="AO601" s="50"/>
      <c r="AP601" s="50"/>
      <c r="AQ601" s="11"/>
      <c r="AR601" s="50"/>
      <c r="AS601" s="50"/>
      <c r="AT601" s="50"/>
      <c r="AU601" s="11"/>
      <c r="AV601" s="50"/>
      <c r="AW601" s="50"/>
      <c r="AX601" s="50"/>
      <c r="AY601" s="50"/>
      <c r="AZ601" s="50"/>
      <c r="BA601" s="50"/>
      <c r="BB601" s="50"/>
      <c r="BC601" s="50"/>
      <c r="BD601" s="50"/>
      <c r="BE601" s="20"/>
      <c r="BF601" s="518"/>
      <c r="BG601" s="484"/>
      <c r="BH601" s="484"/>
      <c r="BI601" s="527"/>
      <c r="BJ601" s="484"/>
      <c r="BK601" s="484"/>
      <c r="BL601" s="484"/>
      <c r="BM601" s="484"/>
    </row>
    <row r="602" spans="1:65" s="22" customFormat="1" x14ac:dyDescent="0.25">
      <c r="A602" s="20"/>
      <c r="B602" s="515"/>
      <c r="C602" s="11"/>
      <c r="D602" s="11"/>
      <c r="E602" s="11"/>
      <c r="F602" s="21"/>
      <c r="G602" s="11"/>
      <c r="H602" s="50"/>
      <c r="I602" s="50"/>
      <c r="J602" s="50"/>
      <c r="K602" s="11"/>
      <c r="L602" s="50"/>
      <c r="M602" s="50"/>
      <c r="N602" s="50"/>
      <c r="O602" s="50"/>
      <c r="P602" s="50"/>
      <c r="Q602" s="11"/>
      <c r="R602" s="50"/>
      <c r="S602" s="50"/>
      <c r="T602" s="50"/>
      <c r="U602" s="11"/>
      <c r="V602" s="50"/>
      <c r="W602" s="50"/>
      <c r="X602" s="50"/>
      <c r="Y602" s="50"/>
      <c r="Z602" s="50"/>
      <c r="AA602" s="11"/>
      <c r="AB602" s="50"/>
      <c r="AC602" s="50"/>
      <c r="AD602" s="50"/>
      <c r="AE602" s="11"/>
      <c r="AF602" s="50"/>
      <c r="AG602" s="50"/>
      <c r="AH602" s="50"/>
      <c r="AI602" s="11"/>
      <c r="AJ602" s="50"/>
      <c r="AK602" s="50"/>
      <c r="AL602" s="50"/>
      <c r="AM602" s="11"/>
      <c r="AN602" s="50"/>
      <c r="AO602" s="50"/>
      <c r="AP602" s="50"/>
      <c r="AQ602" s="11"/>
      <c r="AR602" s="50"/>
      <c r="AS602" s="50"/>
      <c r="AT602" s="50"/>
      <c r="AU602" s="11"/>
      <c r="AV602" s="50"/>
      <c r="AW602" s="50"/>
      <c r="AX602" s="50"/>
      <c r="AY602" s="50"/>
      <c r="AZ602" s="50"/>
      <c r="BA602" s="50"/>
      <c r="BB602" s="50"/>
      <c r="BC602" s="50"/>
      <c r="BD602" s="50"/>
      <c r="BE602" s="20"/>
      <c r="BF602" s="518"/>
      <c r="BG602" s="484"/>
      <c r="BH602" s="484"/>
      <c r="BI602" s="527"/>
      <c r="BJ602" s="484"/>
      <c r="BK602" s="484"/>
      <c r="BL602" s="484"/>
      <c r="BM602" s="484"/>
    </row>
    <row r="603" spans="1:65" s="22" customFormat="1" x14ac:dyDescent="0.25">
      <c r="A603" s="20"/>
      <c r="B603" s="515"/>
      <c r="C603" s="11"/>
      <c r="D603" s="11"/>
      <c r="E603" s="11"/>
      <c r="F603" s="21"/>
      <c r="G603" s="11"/>
      <c r="H603" s="50"/>
      <c r="I603" s="50"/>
      <c r="J603" s="50"/>
      <c r="K603" s="11"/>
      <c r="L603" s="50"/>
      <c r="M603" s="50"/>
      <c r="N603" s="50"/>
      <c r="O603" s="50"/>
      <c r="P603" s="50"/>
      <c r="Q603" s="11"/>
      <c r="R603" s="50"/>
      <c r="S603" s="50"/>
      <c r="T603" s="50"/>
      <c r="U603" s="11"/>
      <c r="V603" s="50"/>
      <c r="W603" s="50"/>
      <c r="X603" s="50"/>
      <c r="Y603" s="50"/>
      <c r="Z603" s="50"/>
      <c r="AA603" s="11"/>
      <c r="AB603" s="50"/>
      <c r="AC603" s="50"/>
      <c r="AD603" s="50"/>
      <c r="AE603" s="11"/>
      <c r="AF603" s="50"/>
      <c r="AG603" s="50"/>
      <c r="AH603" s="50"/>
      <c r="AI603" s="11"/>
      <c r="AJ603" s="50"/>
      <c r="AK603" s="50"/>
      <c r="AL603" s="50"/>
      <c r="AM603" s="11"/>
      <c r="AN603" s="50"/>
      <c r="AO603" s="50"/>
      <c r="AP603" s="50"/>
      <c r="AQ603" s="11"/>
      <c r="AR603" s="50"/>
      <c r="AS603" s="50"/>
      <c r="AT603" s="50"/>
      <c r="AU603" s="11"/>
      <c r="AV603" s="50"/>
      <c r="AW603" s="50"/>
      <c r="AX603" s="50"/>
      <c r="AY603" s="50"/>
      <c r="AZ603" s="50"/>
      <c r="BA603" s="50"/>
      <c r="BB603" s="50"/>
      <c r="BC603" s="50"/>
      <c r="BD603" s="50"/>
      <c r="BE603" s="20"/>
      <c r="BF603" s="518"/>
      <c r="BG603" s="484"/>
      <c r="BH603" s="484"/>
      <c r="BI603" s="527"/>
      <c r="BJ603" s="484"/>
      <c r="BK603" s="484"/>
      <c r="BL603" s="484"/>
      <c r="BM603" s="484"/>
    </row>
    <row r="604" spans="1:65" s="22" customFormat="1" x14ac:dyDescent="0.25">
      <c r="A604" s="20"/>
      <c r="B604" s="515"/>
      <c r="C604" s="11"/>
      <c r="D604" s="11"/>
      <c r="E604" s="11"/>
      <c r="F604" s="21"/>
      <c r="G604" s="11"/>
      <c r="H604" s="50"/>
      <c r="I604" s="50"/>
      <c r="J604" s="50"/>
      <c r="K604" s="11"/>
      <c r="L604" s="50"/>
      <c r="M604" s="50"/>
      <c r="N604" s="50"/>
      <c r="O604" s="50"/>
      <c r="P604" s="50"/>
      <c r="Q604" s="11"/>
      <c r="R604" s="50"/>
      <c r="S604" s="50"/>
      <c r="T604" s="50"/>
      <c r="U604" s="11"/>
      <c r="V604" s="50"/>
      <c r="W604" s="50"/>
      <c r="X604" s="50"/>
      <c r="Y604" s="50"/>
      <c r="Z604" s="50"/>
      <c r="AA604" s="11"/>
      <c r="AB604" s="50"/>
      <c r="AC604" s="50"/>
      <c r="AD604" s="50"/>
      <c r="AE604" s="11"/>
      <c r="AF604" s="50"/>
      <c r="AG604" s="50"/>
      <c r="AH604" s="50"/>
      <c r="AI604" s="11"/>
      <c r="AJ604" s="50"/>
      <c r="AK604" s="50"/>
      <c r="AL604" s="50"/>
      <c r="AM604" s="11"/>
      <c r="AN604" s="50"/>
      <c r="AO604" s="50"/>
      <c r="AP604" s="50"/>
      <c r="AQ604" s="11"/>
      <c r="AR604" s="50"/>
      <c r="AS604" s="50"/>
      <c r="AT604" s="50"/>
      <c r="AU604" s="11"/>
      <c r="AV604" s="50"/>
      <c r="AW604" s="50"/>
      <c r="AX604" s="50"/>
      <c r="AY604" s="50"/>
      <c r="AZ604" s="50"/>
      <c r="BA604" s="50"/>
      <c r="BB604" s="50"/>
      <c r="BC604" s="50"/>
      <c r="BD604" s="50"/>
      <c r="BE604" s="20"/>
      <c r="BF604" s="518"/>
      <c r="BG604" s="484"/>
      <c r="BH604" s="484"/>
      <c r="BI604" s="527"/>
      <c r="BJ604" s="484"/>
      <c r="BK604" s="484"/>
      <c r="BL604" s="484"/>
      <c r="BM604" s="484"/>
    </row>
    <row r="605" spans="1:65" s="22" customFormat="1" x14ac:dyDescent="0.25">
      <c r="A605" s="20"/>
      <c r="B605" s="515"/>
      <c r="C605" s="11"/>
      <c r="D605" s="11"/>
      <c r="E605" s="11"/>
      <c r="F605" s="21"/>
      <c r="G605" s="11"/>
      <c r="H605" s="50"/>
      <c r="I605" s="50"/>
      <c r="J605" s="50"/>
      <c r="K605" s="11"/>
      <c r="L605" s="50"/>
      <c r="M605" s="50"/>
      <c r="N605" s="50"/>
      <c r="O605" s="50"/>
      <c r="P605" s="50"/>
      <c r="Q605" s="11"/>
      <c r="R605" s="50"/>
      <c r="S605" s="50"/>
      <c r="T605" s="50"/>
      <c r="U605" s="11"/>
      <c r="V605" s="50"/>
      <c r="W605" s="50"/>
      <c r="X605" s="50"/>
      <c r="Y605" s="50"/>
      <c r="Z605" s="50"/>
      <c r="AA605" s="11"/>
      <c r="AB605" s="50"/>
      <c r="AC605" s="50"/>
      <c r="AD605" s="50"/>
      <c r="AE605" s="11"/>
      <c r="AF605" s="50"/>
      <c r="AG605" s="50"/>
      <c r="AH605" s="50"/>
      <c r="AI605" s="11"/>
      <c r="AJ605" s="50"/>
      <c r="AK605" s="50"/>
      <c r="AL605" s="50"/>
      <c r="AM605" s="11"/>
      <c r="AN605" s="50"/>
      <c r="AO605" s="50"/>
      <c r="AP605" s="50"/>
      <c r="AQ605" s="11"/>
      <c r="AR605" s="50"/>
      <c r="AS605" s="50"/>
      <c r="AT605" s="50"/>
      <c r="AU605" s="11"/>
      <c r="AV605" s="50"/>
      <c r="AW605" s="50"/>
      <c r="AX605" s="50"/>
      <c r="AY605" s="50"/>
      <c r="AZ605" s="50"/>
      <c r="BA605" s="50"/>
      <c r="BB605" s="50"/>
      <c r="BC605" s="50"/>
      <c r="BD605" s="50"/>
      <c r="BE605" s="20"/>
      <c r="BF605" s="518"/>
      <c r="BG605" s="484"/>
      <c r="BH605" s="484"/>
      <c r="BI605" s="527"/>
      <c r="BJ605" s="484"/>
      <c r="BK605" s="484"/>
      <c r="BL605" s="484"/>
      <c r="BM605" s="484"/>
    </row>
    <row r="606" spans="1:65" s="22" customFormat="1" x14ac:dyDescent="0.25">
      <c r="A606" s="20"/>
      <c r="B606" s="515"/>
      <c r="C606" s="11"/>
      <c r="D606" s="11"/>
      <c r="E606" s="11"/>
      <c r="F606" s="21"/>
      <c r="G606" s="11"/>
      <c r="H606" s="50"/>
      <c r="I606" s="50"/>
      <c r="J606" s="50"/>
      <c r="K606" s="11"/>
      <c r="L606" s="50"/>
      <c r="M606" s="50"/>
      <c r="N606" s="50"/>
      <c r="O606" s="50"/>
      <c r="P606" s="50"/>
      <c r="Q606" s="11"/>
      <c r="R606" s="50"/>
      <c r="S606" s="50"/>
      <c r="T606" s="50"/>
      <c r="U606" s="11"/>
      <c r="V606" s="50"/>
      <c r="W606" s="50"/>
      <c r="X606" s="50"/>
      <c r="Y606" s="50"/>
      <c r="Z606" s="50"/>
      <c r="AA606" s="11"/>
      <c r="AB606" s="50"/>
      <c r="AC606" s="50"/>
      <c r="AD606" s="50"/>
      <c r="AE606" s="11"/>
      <c r="AF606" s="50"/>
      <c r="AG606" s="50"/>
      <c r="AH606" s="50"/>
      <c r="AI606" s="11"/>
      <c r="AJ606" s="50"/>
      <c r="AK606" s="50"/>
      <c r="AL606" s="50"/>
      <c r="AM606" s="11"/>
      <c r="AN606" s="50"/>
      <c r="AO606" s="50"/>
      <c r="AP606" s="50"/>
      <c r="AQ606" s="11"/>
      <c r="AR606" s="50"/>
      <c r="AS606" s="50"/>
      <c r="AT606" s="50"/>
      <c r="AU606" s="11"/>
      <c r="AV606" s="50"/>
      <c r="AW606" s="50"/>
      <c r="AX606" s="50"/>
      <c r="AY606" s="50"/>
      <c r="AZ606" s="50"/>
      <c r="BA606" s="50"/>
      <c r="BB606" s="50"/>
      <c r="BC606" s="50"/>
      <c r="BD606" s="50"/>
      <c r="BE606" s="20"/>
      <c r="BF606" s="518"/>
      <c r="BG606" s="484"/>
      <c r="BH606" s="484"/>
      <c r="BI606" s="527"/>
      <c r="BJ606" s="484"/>
      <c r="BK606" s="484"/>
      <c r="BL606" s="484"/>
      <c r="BM606" s="484"/>
    </row>
    <row r="607" spans="1:65" s="22" customFormat="1" x14ac:dyDescent="0.25">
      <c r="A607" s="20"/>
      <c r="B607" s="515"/>
      <c r="C607" s="11"/>
      <c r="D607" s="11"/>
      <c r="E607" s="11"/>
      <c r="F607" s="21"/>
      <c r="G607" s="11"/>
      <c r="H607" s="50"/>
      <c r="I607" s="50"/>
      <c r="J607" s="50"/>
      <c r="K607" s="11"/>
      <c r="L607" s="50"/>
      <c r="M607" s="50"/>
      <c r="N607" s="50"/>
      <c r="O607" s="50"/>
      <c r="P607" s="50"/>
      <c r="Q607" s="11"/>
      <c r="R607" s="50"/>
      <c r="S607" s="50"/>
      <c r="T607" s="50"/>
      <c r="U607" s="11"/>
      <c r="V607" s="50"/>
      <c r="W607" s="50"/>
      <c r="X607" s="50"/>
      <c r="Y607" s="50"/>
      <c r="Z607" s="50"/>
      <c r="AA607" s="11"/>
      <c r="AB607" s="50"/>
      <c r="AC607" s="50"/>
      <c r="AD607" s="50"/>
      <c r="AE607" s="11"/>
      <c r="AF607" s="50"/>
      <c r="AG607" s="50"/>
      <c r="AH607" s="50"/>
      <c r="AI607" s="11"/>
      <c r="AJ607" s="50"/>
      <c r="AK607" s="50"/>
      <c r="AL607" s="50"/>
      <c r="AM607" s="11"/>
      <c r="AN607" s="50"/>
      <c r="AO607" s="50"/>
      <c r="AP607" s="50"/>
      <c r="AQ607" s="11"/>
      <c r="AR607" s="50"/>
      <c r="AS607" s="50"/>
      <c r="AT607" s="50"/>
      <c r="AU607" s="11"/>
      <c r="AV607" s="50"/>
      <c r="AW607" s="50"/>
      <c r="AX607" s="50"/>
      <c r="AY607" s="50"/>
      <c r="AZ607" s="50"/>
      <c r="BA607" s="50"/>
      <c r="BB607" s="50"/>
      <c r="BC607" s="50"/>
      <c r="BD607" s="50"/>
      <c r="BE607" s="20"/>
      <c r="BF607" s="518"/>
      <c r="BG607" s="484"/>
      <c r="BH607" s="484"/>
      <c r="BI607" s="527"/>
      <c r="BJ607" s="484"/>
      <c r="BK607" s="484"/>
      <c r="BL607" s="484"/>
      <c r="BM607" s="484"/>
    </row>
    <row r="608" spans="1:65" s="22" customFormat="1" x14ac:dyDescent="0.25">
      <c r="A608" s="20"/>
      <c r="B608" s="515"/>
      <c r="C608" s="11"/>
      <c r="D608" s="11"/>
      <c r="E608" s="11"/>
      <c r="F608" s="21"/>
      <c r="G608" s="11"/>
      <c r="H608" s="50"/>
      <c r="I608" s="50"/>
      <c r="J608" s="50"/>
      <c r="K608" s="11"/>
      <c r="L608" s="50"/>
      <c r="M608" s="50"/>
      <c r="N608" s="50"/>
      <c r="O608" s="50"/>
      <c r="P608" s="50"/>
      <c r="Q608" s="11"/>
      <c r="R608" s="50"/>
      <c r="S608" s="50"/>
      <c r="T608" s="50"/>
      <c r="U608" s="11"/>
      <c r="V608" s="50"/>
      <c r="W608" s="50"/>
      <c r="X608" s="50"/>
      <c r="Y608" s="50"/>
      <c r="Z608" s="50"/>
      <c r="AA608" s="11"/>
      <c r="AB608" s="50"/>
      <c r="AC608" s="50"/>
      <c r="AD608" s="50"/>
      <c r="AE608" s="11"/>
      <c r="AF608" s="50"/>
      <c r="AG608" s="50"/>
      <c r="AH608" s="50"/>
      <c r="AI608" s="11"/>
      <c r="AJ608" s="50"/>
      <c r="AK608" s="50"/>
      <c r="AL608" s="50"/>
      <c r="AM608" s="11"/>
      <c r="AN608" s="50"/>
      <c r="AO608" s="50"/>
      <c r="AP608" s="50"/>
      <c r="AQ608" s="11"/>
      <c r="AR608" s="50"/>
      <c r="AS608" s="50"/>
      <c r="AT608" s="50"/>
      <c r="AU608" s="11"/>
      <c r="AV608" s="50"/>
      <c r="AW608" s="50"/>
      <c r="AX608" s="50"/>
      <c r="AY608" s="50"/>
      <c r="AZ608" s="50"/>
      <c r="BA608" s="50"/>
      <c r="BB608" s="50"/>
      <c r="BC608" s="50"/>
      <c r="BD608" s="50"/>
      <c r="BE608" s="20"/>
      <c r="BF608" s="518"/>
      <c r="BG608" s="484"/>
      <c r="BH608" s="484"/>
      <c r="BI608" s="527"/>
      <c r="BJ608" s="484"/>
      <c r="BK608" s="484"/>
      <c r="BL608" s="484"/>
      <c r="BM608" s="484"/>
    </row>
    <row r="609" spans="1:65" s="22" customFormat="1" x14ac:dyDescent="0.25">
      <c r="A609" s="20"/>
      <c r="B609" s="515"/>
      <c r="C609" s="11"/>
      <c r="D609" s="11"/>
      <c r="E609" s="11"/>
      <c r="F609" s="21"/>
      <c r="G609" s="11"/>
      <c r="H609" s="50"/>
      <c r="I609" s="50"/>
      <c r="J609" s="50"/>
      <c r="K609" s="11"/>
      <c r="L609" s="50"/>
      <c r="M609" s="50"/>
      <c r="N609" s="50"/>
      <c r="O609" s="50"/>
      <c r="P609" s="50"/>
      <c r="Q609" s="11"/>
      <c r="R609" s="50"/>
      <c r="S609" s="50"/>
      <c r="T609" s="50"/>
      <c r="U609" s="11"/>
      <c r="V609" s="50"/>
      <c r="W609" s="50"/>
      <c r="X609" s="50"/>
      <c r="Y609" s="50"/>
      <c r="Z609" s="50"/>
      <c r="AA609" s="11"/>
      <c r="AB609" s="50"/>
      <c r="AC609" s="50"/>
      <c r="AD609" s="50"/>
      <c r="AE609" s="11"/>
      <c r="AF609" s="50"/>
      <c r="AG609" s="50"/>
      <c r="AH609" s="50"/>
      <c r="AI609" s="11"/>
      <c r="AJ609" s="50"/>
      <c r="AK609" s="50"/>
      <c r="AL609" s="50"/>
      <c r="AM609" s="11"/>
      <c r="AN609" s="50"/>
      <c r="AO609" s="50"/>
      <c r="AP609" s="50"/>
      <c r="AQ609" s="11"/>
      <c r="AR609" s="50"/>
      <c r="AS609" s="50"/>
      <c r="AT609" s="50"/>
      <c r="AU609" s="11"/>
      <c r="AV609" s="50"/>
      <c r="AW609" s="50"/>
      <c r="AX609" s="50"/>
      <c r="AY609" s="50"/>
      <c r="AZ609" s="50"/>
      <c r="BA609" s="50"/>
      <c r="BB609" s="50"/>
      <c r="BC609" s="50"/>
      <c r="BD609" s="50"/>
      <c r="BE609" s="20"/>
      <c r="BF609" s="518"/>
      <c r="BG609" s="484"/>
      <c r="BH609" s="484"/>
      <c r="BI609" s="527"/>
      <c r="BJ609" s="484"/>
      <c r="BK609" s="484"/>
      <c r="BL609" s="484"/>
      <c r="BM609" s="484"/>
    </row>
    <row r="610" spans="1:65" s="22" customFormat="1" x14ac:dyDescent="0.25">
      <c r="A610" s="20"/>
      <c r="B610" s="515"/>
      <c r="C610" s="11"/>
      <c r="D610" s="11"/>
      <c r="E610" s="11"/>
      <c r="F610" s="21"/>
      <c r="G610" s="11"/>
      <c r="H610" s="50"/>
      <c r="I610" s="50"/>
      <c r="J610" s="50"/>
      <c r="K610" s="11"/>
      <c r="L610" s="50"/>
      <c r="M610" s="50"/>
      <c r="N610" s="50"/>
      <c r="O610" s="50"/>
      <c r="P610" s="50"/>
      <c r="Q610" s="11"/>
      <c r="R610" s="50"/>
      <c r="S610" s="50"/>
      <c r="T610" s="50"/>
      <c r="U610" s="11"/>
      <c r="V610" s="50"/>
      <c r="W610" s="50"/>
      <c r="X610" s="50"/>
      <c r="Y610" s="50"/>
      <c r="Z610" s="50"/>
      <c r="AA610" s="11"/>
      <c r="AB610" s="50"/>
      <c r="AC610" s="50"/>
      <c r="AD610" s="50"/>
      <c r="AE610" s="11"/>
      <c r="AF610" s="50"/>
      <c r="AG610" s="50"/>
      <c r="AH610" s="50"/>
      <c r="AI610" s="11"/>
      <c r="AJ610" s="50"/>
      <c r="AK610" s="50"/>
      <c r="AL610" s="50"/>
      <c r="AM610" s="11"/>
      <c r="AN610" s="50"/>
      <c r="AO610" s="50"/>
      <c r="AP610" s="50"/>
      <c r="AQ610" s="11"/>
      <c r="AR610" s="50"/>
      <c r="AS610" s="50"/>
      <c r="AT610" s="50"/>
      <c r="AU610" s="11"/>
      <c r="AV610" s="50"/>
      <c r="AW610" s="50"/>
      <c r="AX610" s="50"/>
      <c r="AY610" s="50"/>
      <c r="AZ610" s="50"/>
      <c r="BA610" s="50"/>
      <c r="BB610" s="50"/>
      <c r="BC610" s="50"/>
      <c r="BD610" s="50"/>
      <c r="BE610" s="20"/>
      <c r="BF610" s="518"/>
      <c r="BG610" s="484"/>
      <c r="BH610" s="484"/>
      <c r="BI610" s="527"/>
      <c r="BJ610" s="484"/>
      <c r="BK610" s="484"/>
      <c r="BL610" s="484"/>
      <c r="BM610" s="484"/>
    </row>
    <row r="611" spans="1:65" s="22" customFormat="1" x14ac:dyDescent="0.25">
      <c r="A611" s="20"/>
      <c r="B611" s="515"/>
      <c r="C611" s="11"/>
      <c r="D611" s="11"/>
      <c r="E611" s="11"/>
      <c r="F611" s="21"/>
      <c r="G611" s="11"/>
      <c r="H611" s="50"/>
      <c r="I611" s="50"/>
      <c r="J611" s="50"/>
      <c r="K611" s="11"/>
      <c r="L611" s="50"/>
      <c r="M611" s="50"/>
      <c r="N611" s="50"/>
      <c r="O611" s="50"/>
      <c r="P611" s="50"/>
      <c r="Q611" s="11"/>
      <c r="R611" s="50"/>
      <c r="S611" s="50"/>
      <c r="T611" s="50"/>
      <c r="U611" s="11"/>
      <c r="V611" s="50"/>
      <c r="W611" s="50"/>
      <c r="X611" s="50"/>
      <c r="Y611" s="50"/>
      <c r="Z611" s="50"/>
      <c r="AA611" s="11"/>
      <c r="AB611" s="50"/>
      <c r="AC611" s="50"/>
      <c r="AD611" s="50"/>
      <c r="AE611" s="11"/>
      <c r="AF611" s="50"/>
      <c r="AG611" s="50"/>
      <c r="AH611" s="50"/>
      <c r="AI611" s="11"/>
      <c r="AJ611" s="50"/>
      <c r="AK611" s="50"/>
      <c r="AL611" s="50"/>
      <c r="AM611" s="11"/>
      <c r="AN611" s="50"/>
      <c r="AO611" s="50"/>
      <c r="AP611" s="50"/>
      <c r="AQ611" s="11"/>
      <c r="AR611" s="50"/>
      <c r="AS611" s="50"/>
      <c r="AT611" s="50"/>
      <c r="AU611" s="11"/>
      <c r="AV611" s="50"/>
      <c r="AW611" s="50"/>
      <c r="AX611" s="50"/>
      <c r="AY611" s="50"/>
      <c r="AZ611" s="50"/>
      <c r="BA611" s="50"/>
      <c r="BB611" s="50"/>
      <c r="BC611" s="50"/>
      <c r="BD611" s="50"/>
      <c r="BE611" s="20"/>
      <c r="BF611" s="518"/>
      <c r="BG611" s="484"/>
      <c r="BH611" s="484"/>
      <c r="BI611" s="527"/>
      <c r="BJ611" s="484"/>
      <c r="BK611" s="484"/>
      <c r="BL611" s="484"/>
      <c r="BM611" s="484"/>
    </row>
    <row r="612" spans="1:65" s="22" customFormat="1" x14ac:dyDescent="0.25">
      <c r="A612" s="20"/>
      <c r="B612" s="515"/>
      <c r="C612" s="11"/>
      <c r="D612" s="11"/>
      <c r="E612" s="11"/>
      <c r="F612" s="21"/>
      <c r="G612" s="11"/>
      <c r="H612" s="50"/>
      <c r="I612" s="50"/>
      <c r="J612" s="50"/>
      <c r="K612" s="11"/>
      <c r="L612" s="50"/>
      <c r="M612" s="50"/>
      <c r="N612" s="50"/>
      <c r="O612" s="50"/>
      <c r="P612" s="50"/>
      <c r="Q612" s="11"/>
      <c r="R612" s="50"/>
      <c r="S612" s="50"/>
      <c r="T612" s="50"/>
      <c r="U612" s="11"/>
      <c r="V612" s="50"/>
      <c r="W612" s="50"/>
      <c r="X612" s="50"/>
      <c r="Y612" s="50"/>
      <c r="Z612" s="50"/>
      <c r="AA612" s="11"/>
      <c r="AB612" s="50"/>
      <c r="AC612" s="50"/>
      <c r="AD612" s="50"/>
      <c r="AE612" s="11"/>
      <c r="AF612" s="50"/>
      <c r="AG612" s="50"/>
      <c r="AH612" s="50"/>
      <c r="AI612" s="11"/>
      <c r="AJ612" s="50"/>
      <c r="AK612" s="50"/>
      <c r="AL612" s="50"/>
      <c r="AM612" s="11"/>
      <c r="AN612" s="50"/>
      <c r="AO612" s="50"/>
      <c r="AP612" s="50"/>
      <c r="AQ612" s="11"/>
      <c r="AR612" s="50"/>
      <c r="AS612" s="50"/>
      <c r="AT612" s="50"/>
      <c r="AU612" s="11"/>
      <c r="AV612" s="50"/>
      <c r="AW612" s="50"/>
      <c r="AX612" s="50"/>
      <c r="AY612" s="50"/>
      <c r="AZ612" s="50"/>
      <c r="BA612" s="50"/>
      <c r="BB612" s="50"/>
      <c r="BC612" s="50"/>
      <c r="BD612" s="50"/>
      <c r="BE612" s="20"/>
      <c r="BF612" s="518"/>
      <c r="BG612" s="484"/>
      <c r="BH612" s="484"/>
      <c r="BI612" s="527"/>
      <c r="BJ612" s="484"/>
      <c r="BK612" s="484"/>
      <c r="BL612" s="484"/>
      <c r="BM612" s="484"/>
    </row>
    <row r="613" spans="1:65" s="22" customFormat="1" x14ac:dyDescent="0.25">
      <c r="A613" s="20"/>
      <c r="B613" s="515"/>
      <c r="C613" s="11"/>
      <c r="D613" s="11"/>
      <c r="E613" s="11"/>
      <c r="F613" s="21"/>
      <c r="G613" s="11"/>
      <c r="H613" s="50"/>
      <c r="I613" s="50"/>
      <c r="J613" s="50"/>
      <c r="K613" s="11"/>
      <c r="L613" s="50"/>
      <c r="M613" s="50"/>
      <c r="N613" s="50"/>
      <c r="O613" s="50"/>
      <c r="P613" s="50"/>
      <c r="Q613" s="11"/>
      <c r="R613" s="50"/>
      <c r="S613" s="50"/>
      <c r="T613" s="50"/>
      <c r="U613" s="11"/>
      <c r="V613" s="50"/>
      <c r="W613" s="50"/>
      <c r="X613" s="50"/>
      <c r="Y613" s="50"/>
      <c r="Z613" s="50"/>
      <c r="AA613" s="11"/>
      <c r="AB613" s="50"/>
      <c r="AC613" s="50"/>
      <c r="AD613" s="50"/>
      <c r="AE613" s="11"/>
      <c r="AF613" s="50"/>
      <c r="AG613" s="50"/>
      <c r="AH613" s="50"/>
      <c r="AI613" s="11"/>
      <c r="AJ613" s="50"/>
      <c r="AK613" s="50"/>
      <c r="AL613" s="50"/>
      <c r="AM613" s="11"/>
      <c r="AN613" s="50"/>
      <c r="AO613" s="50"/>
      <c r="AP613" s="50"/>
      <c r="AQ613" s="11"/>
      <c r="AR613" s="50"/>
      <c r="AS613" s="50"/>
      <c r="AT613" s="50"/>
      <c r="AU613" s="11"/>
      <c r="AV613" s="50"/>
      <c r="AW613" s="50"/>
      <c r="AX613" s="50"/>
      <c r="AY613" s="50"/>
      <c r="AZ613" s="50"/>
      <c r="BA613" s="50"/>
      <c r="BB613" s="50"/>
      <c r="BC613" s="50"/>
      <c r="BD613" s="50"/>
      <c r="BE613" s="20"/>
      <c r="BF613" s="518"/>
      <c r="BG613" s="484"/>
      <c r="BH613" s="484"/>
      <c r="BI613" s="527"/>
      <c r="BJ613" s="484"/>
      <c r="BK613" s="484"/>
      <c r="BL613" s="484"/>
      <c r="BM613" s="484"/>
    </row>
    <row r="614" spans="1:65" s="22" customFormat="1" x14ac:dyDescent="0.25">
      <c r="A614" s="20"/>
      <c r="B614" s="515"/>
      <c r="C614" s="11"/>
      <c r="D614" s="11"/>
      <c r="E614" s="11"/>
      <c r="F614" s="21"/>
      <c r="G614" s="11"/>
      <c r="H614" s="50"/>
      <c r="I614" s="50"/>
      <c r="J614" s="50"/>
      <c r="K614" s="11"/>
      <c r="L614" s="50"/>
      <c r="M614" s="50"/>
      <c r="N614" s="50"/>
      <c r="O614" s="50"/>
      <c r="P614" s="50"/>
      <c r="Q614" s="11"/>
      <c r="R614" s="50"/>
      <c r="S614" s="50"/>
      <c r="T614" s="50"/>
      <c r="U614" s="11"/>
      <c r="V614" s="50"/>
      <c r="W614" s="50"/>
      <c r="X614" s="50"/>
      <c r="Y614" s="50"/>
      <c r="Z614" s="50"/>
      <c r="AA614" s="11"/>
      <c r="AB614" s="50"/>
      <c r="AC614" s="50"/>
      <c r="AD614" s="50"/>
      <c r="AE614" s="11"/>
      <c r="AF614" s="50"/>
      <c r="AG614" s="50"/>
      <c r="AH614" s="50"/>
      <c r="AI614" s="11"/>
      <c r="AJ614" s="50"/>
      <c r="AK614" s="50"/>
      <c r="AL614" s="50"/>
      <c r="AM614" s="11"/>
      <c r="AN614" s="50"/>
      <c r="AO614" s="50"/>
      <c r="AP614" s="50"/>
      <c r="AQ614" s="11"/>
      <c r="AR614" s="50"/>
      <c r="AS614" s="50"/>
      <c r="AT614" s="50"/>
      <c r="AU614" s="11"/>
      <c r="AV614" s="50"/>
      <c r="AW614" s="50"/>
      <c r="AX614" s="50"/>
      <c r="AY614" s="50"/>
      <c r="AZ614" s="50"/>
      <c r="BA614" s="50"/>
      <c r="BB614" s="50"/>
      <c r="BC614" s="50"/>
      <c r="BD614" s="50"/>
      <c r="BE614" s="20"/>
      <c r="BF614" s="518"/>
      <c r="BG614" s="484"/>
      <c r="BH614" s="484"/>
      <c r="BI614" s="527"/>
      <c r="BJ614" s="484"/>
      <c r="BK614" s="484"/>
      <c r="BL614" s="484"/>
      <c r="BM614" s="484"/>
    </row>
    <row r="615" spans="1:65" s="22" customFormat="1" x14ac:dyDescent="0.25">
      <c r="A615" s="20"/>
      <c r="B615" s="515"/>
      <c r="C615" s="11"/>
      <c r="D615" s="11"/>
      <c r="E615" s="11"/>
      <c r="F615" s="21"/>
      <c r="G615" s="11"/>
      <c r="H615" s="50"/>
      <c r="I615" s="50"/>
      <c r="J615" s="50"/>
      <c r="K615" s="11"/>
      <c r="L615" s="50"/>
      <c r="M615" s="50"/>
      <c r="N615" s="50"/>
      <c r="O615" s="50"/>
      <c r="P615" s="50"/>
      <c r="Q615" s="11"/>
      <c r="R615" s="50"/>
      <c r="S615" s="50"/>
      <c r="T615" s="50"/>
      <c r="U615" s="11"/>
      <c r="V615" s="50"/>
      <c r="W615" s="50"/>
      <c r="X615" s="50"/>
      <c r="Y615" s="50"/>
      <c r="Z615" s="50"/>
      <c r="AA615" s="11"/>
      <c r="AB615" s="50"/>
      <c r="AC615" s="50"/>
      <c r="AD615" s="50"/>
      <c r="AE615" s="11"/>
      <c r="AF615" s="50"/>
      <c r="AG615" s="50"/>
      <c r="AH615" s="50"/>
      <c r="AI615" s="11"/>
      <c r="AJ615" s="50"/>
      <c r="AK615" s="50"/>
      <c r="AL615" s="50"/>
      <c r="AM615" s="11"/>
      <c r="AN615" s="50"/>
      <c r="AO615" s="50"/>
      <c r="AP615" s="50"/>
      <c r="AQ615" s="11"/>
      <c r="AR615" s="50"/>
      <c r="AS615" s="50"/>
      <c r="AT615" s="50"/>
      <c r="AU615" s="11"/>
      <c r="AV615" s="50"/>
      <c r="AW615" s="50"/>
      <c r="AX615" s="50"/>
      <c r="AY615" s="50"/>
      <c r="AZ615" s="50"/>
      <c r="BA615" s="50"/>
      <c r="BB615" s="50"/>
      <c r="BC615" s="50"/>
      <c r="BD615" s="50"/>
      <c r="BE615" s="20"/>
      <c r="BF615" s="518"/>
      <c r="BG615" s="484"/>
      <c r="BH615" s="484"/>
      <c r="BI615" s="527"/>
      <c r="BJ615" s="484"/>
      <c r="BK615" s="484"/>
      <c r="BL615" s="484"/>
      <c r="BM615" s="484"/>
    </row>
    <row r="616" spans="1:65" s="22" customFormat="1" x14ac:dyDescent="0.25">
      <c r="A616" s="20"/>
      <c r="B616" s="515"/>
      <c r="C616" s="11"/>
      <c r="D616" s="11"/>
      <c r="E616" s="11"/>
      <c r="F616" s="21"/>
      <c r="G616" s="11"/>
      <c r="H616" s="50"/>
      <c r="I616" s="50"/>
      <c r="J616" s="50"/>
      <c r="K616" s="11"/>
      <c r="L616" s="50"/>
      <c r="M616" s="50"/>
      <c r="N616" s="50"/>
      <c r="O616" s="50"/>
      <c r="P616" s="50"/>
      <c r="Q616" s="11"/>
      <c r="R616" s="50"/>
      <c r="S616" s="50"/>
      <c r="T616" s="50"/>
      <c r="U616" s="11"/>
      <c r="V616" s="50"/>
      <c r="W616" s="50"/>
      <c r="X616" s="50"/>
      <c r="Y616" s="50"/>
      <c r="Z616" s="50"/>
      <c r="AA616" s="11"/>
      <c r="AB616" s="50"/>
      <c r="AC616" s="50"/>
      <c r="AD616" s="50"/>
      <c r="AE616" s="11"/>
      <c r="AF616" s="50"/>
      <c r="AG616" s="50"/>
      <c r="AH616" s="50"/>
      <c r="AI616" s="11"/>
      <c r="AJ616" s="50"/>
      <c r="AK616" s="50"/>
      <c r="AL616" s="50"/>
      <c r="AM616" s="11"/>
      <c r="AN616" s="50"/>
      <c r="AO616" s="50"/>
      <c r="AP616" s="50"/>
      <c r="AQ616" s="11"/>
      <c r="AR616" s="50"/>
      <c r="AS616" s="50"/>
      <c r="AT616" s="50"/>
      <c r="AU616" s="11"/>
      <c r="AV616" s="50"/>
      <c r="AW616" s="50"/>
      <c r="AX616" s="50"/>
      <c r="AY616" s="50"/>
      <c r="AZ616" s="50"/>
      <c r="BA616" s="50"/>
      <c r="BB616" s="50"/>
      <c r="BC616" s="50"/>
      <c r="BD616" s="50"/>
      <c r="BE616" s="20"/>
      <c r="BF616" s="518"/>
      <c r="BG616" s="484"/>
      <c r="BH616" s="484"/>
      <c r="BI616" s="527"/>
      <c r="BJ616" s="484"/>
      <c r="BK616" s="484"/>
      <c r="BL616" s="484"/>
      <c r="BM616" s="484"/>
    </row>
    <row r="617" spans="1:65" s="22" customFormat="1" x14ac:dyDescent="0.25">
      <c r="A617" s="20"/>
      <c r="B617" s="515"/>
      <c r="C617" s="11"/>
      <c r="D617" s="11"/>
      <c r="E617" s="11"/>
      <c r="F617" s="21"/>
      <c r="G617" s="11"/>
      <c r="H617" s="50"/>
      <c r="I617" s="50"/>
      <c r="J617" s="50"/>
      <c r="K617" s="11"/>
      <c r="L617" s="50"/>
      <c r="M617" s="50"/>
      <c r="N617" s="50"/>
      <c r="O617" s="50"/>
      <c r="P617" s="50"/>
      <c r="Q617" s="11"/>
      <c r="R617" s="50"/>
      <c r="S617" s="50"/>
      <c r="T617" s="50"/>
      <c r="U617" s="11"/>
      <c r="V617" s="50"/>
      <c r="W617" s="50"/>
      <c r="X617" s="50"/>
      <c r="Y617" s="50"/>
      <c r="Z617" s="50"/>
      <c r="AA617" s="11"/>
      <c r="AB617" s="50"/>
      <c r="AC617" s="50"/>
      <c r="AD617" s="50"/>
      <c r="AE617" s="11"/>
      <c r="AF617" s="50"/>
      <c r="AG617" s="50"/>
      <c r="AH617" s="50"/>
      <c r="AI617" s="11"/>
      <c r="AJ617" s="50"/>
      <c r="AK617" s="50"/>
      <c r="AL617" s="50"/>
      <c r="AM617" s="11"/>
      <c r="AN617" s="50"/>
      <c r="AO617" s="50"/>
      <c r="AP617" s="50"/>
      <c r="AQ617" s="11"/>
      <c r="AR617" s="50"/>
      <c r="AS617" s="50"/>
      <c r="AT617" s="50"/>
      <c r="AU617" s="11"/>
      <c r="AV617" s="50"/>
      <c r="AW617" s="50"/>
      <c r="AX617" s="50"/>
      <c r="AY617" s="50"/>
      <c r="AZ617" s="50"/>
      <c r="BA617" s="50"/>
      <c r="BB617" s="50"/>
      <c r="BC617" s="50"/>
      <c r="BD617" s="50"/>
      <c r="BE617" s="20"/>
      <c r="BF617" s="518"/>
      <c r="BG617" s="484"/>
      <c r="BH617" s="484"/>
      <c r="BI617" s="527"/>
      <c r="BJ617" s="484"/>
      <c r="BK617" s="484"/>
      <c r="BL617" s="484"/>
      <c r="BM617" s="484"/>
    </row>
    <row r="618" spans="1:65" s="22" customFormat="1" x14ac:dyDescent="0.25">
      <c r="A618" s="20"/>
      <c r="B618" s="515"/>
      <c r="C618" s="11"/>
      <c r="D618" s="11"/>
      <c r="E618" s="11"/>
      <c r="F618" s="21"/>
      <c r="G618" s="11"/>
      <c r="H618" s="50"/>
      <c r="I618" s="50"/>
      <c r="J618" s="50"/>
      <c r="K618" s="11"/>
      <c r="L618" s="50"/>
      <c r="M618" s="50"/>
      <c r="N618" s="50"/>
      <c r="O618" s="50"/>
      <c r="P618" s="50"/>
      <c r="Q618" s="11"/>
      <c r="R618" s="50"/>
      <c r="S618" s="50"/>
      <c r="T618" s="50"/>
      <c r="U618" s="11"/>
      <c r="V618" s="50"/>
      <c r="W618" s="50"/>
      <c r="X618" s="50"/>
      <c r="Y618" s="50"/>
      <c r="Z618" s="50"/>
      <c r="AA618" s="11"/>
      <c r="AB618" s="50"/>
      <c r="AC618" s="50"/>
      <c r="AD618" s="50"/>
      <c r="AE618" s="11"/>
      <c r="AF618" s="50"/>
      <c r="AG618" s="50"/>
      <c r="AH618" s="50"/>
      <c r="AI618" s="11"/>
      <c r="AJ618" s="50"/>
      <c r="AK618" s="50"/>
      <c r="AL618" s="50"/>
      <c r="AM618" s="11"/>
      <c r="AN618" s="50"/>
      <c r="AO618" s="50"/>
      <c r="AP618" s="50"/>
      <c r="AQ618" s="11"/>
      <c r="AR618" s="50"/>
      <c r="AS618" s="50"/>
      <c r="AT618" s="50"/>
      <c r="AU618" s="11"/>
      <c r="AV618" s="50"/>
      <c r="AW618" s="50"/>
      <c r="AX618" s="50"/>
      <c r="AY618" s="50"/>
      <c r="AZ618" s="50"/>
      <c r="BA618" s="50"/>
      <c r="BB618" s="50"/>
      <c r="BC618" s="50"/>
      <c r="BD618" s="50"/>
      <c r="BE618" s="20"/>
      <c r="BF618" s="518"/>
      <c r="BG618" s="484"/>
      <c r="BH618" s="484"/>
      <c r="BI618" s="527"/>
      <c r="BJ618" s="484"/>
      <c r="BK618" s="484"/>
      <c r="BL618" s="484"/>
      <c r="BM618" s="484"/>
    </row>
    <row r="619" spans="1:65" s="22" customFormat="1" x14ac:dyDescent="0.25">
      <c r="A619" s="20"/>
      <c r="B619" s="515"/>
      <c r="C619" s="11"/>
      <c r="D619" s="11"/>
      <c r="E619" s="11"/>
      <c r="F619" s="21"/>
      <c r="G619" s="11"/>
      <c r="H619" s="50"/>
      <c r="I619" s="50"/>
      <c r="J619" s="50"/>
      <c r="K619" s="11"/>
      <c r="L619" s="50"/>
      <c r="M619" s="50"/>
      <c r="N619" s="50"/>
      <c r="O619" s="50"/>
      <c r="P619" s="50"/>
      <c r="Q619" s="11"/>
      <c r="R619" s="50"/>
      <c r="S619" s="50"/>
      <c r="T619" s="50"/>
      <c r="U619" s="11"/>
      <c r="V619" s="50"/>
      <c r="W619" s="50"/>
      <c r="X619" s="50"/>
      <c r="Y619" s="50"/>
      <c r="Z619" s="50"/>
      <c r="AA619" s="11"/>
      <c r="AB619" s="50"/>
      <c r="AC619" s="50"/>
      <c r="AD619" s="50"/>
      <c r="AE619" s="11"/>
      <c r="AF619" s="50"/>
      <c r="AG619" s="50"/>
      <c r="AH619" s="50"/>
      <c r="AI619" s="11"/>
      <c r="AJ619" s="50"/>
      <c r="AK619" s="50"/>
      <c r="AL619" s="50"/>
      <c r="AM619" s="11"/>
      <c r="AN619" s="50"/>
      <c r="AO619" s="50"/>
      <c r="AP619" s="50"/>
      <c r="AQ619" s="11"/>
      <c r="AR619" s="50"/>
      <c r="AS619" s="50"/>
      <c r="AT619" s="50"/>
      <c r="AU619" s="11"/>
      <c r="AV619" s="50"/>
      <c r="AW619" s="50"/>
      <c r="AX619" s="50"/>
      <c r="AY619" s="50"/>
      <c r="AZ619" s="50"/>
      <c r="BA619" s="50"/>
      <c r="BB619" s="50"/>
      <c r="BC619" s="50"/>
      <c r="BD619" s="50"/>
      <c r="BE619" s="20"/>
      <c r="BF619" s="518"/>
      <c r="BG619" s="484"/>
      <c r="BH619" s="484"/>
      <c r="BI619" s="527"/>
      <c r="BJ619" s="484"/>
      <c r="BK619" s="484"/>
      <c r="BL619" s="484"/>
      <c r="BM619" s="484"/>
    </row>
    <row r="620" spans="1:65" s="22" customFormat="1" x14ac:dyDescent="0.25">
      <c r="A620" s="20"/>
      <c r="B620" s="515"/>
      <c r="C620" s="11"/>
      <c r="D620" s="11"/>
      <c r="E620" s="11"/>
      <c r="F620" s="21"/>
      <c r="G620" s="11"/>
      <c r="H620" s="50"/>
      <c r="I620" s="50"/>
      <c r="J620" s="50"/>
      <c r="K620" s="11"/>
      <c r="L620" s="50"/>
      <c r="M620" s="50"/>
      <c r="N620" s="50"/>
      <c r="O620" s="50"/>
      <c r="P620" s="50"/>
      <c r="Q620" s="11"/>
      <c r="R620" s="50"/>
      <c r="S620" s="50"/>
      <c r="T620" s="50"/>
      <c r="U620" s="11"/>
      <c r="V620" s="50"/>
      <c r="W620" s="50"/>
      <c r="X620" s="50"/>
      <c r="Y620" s="50"/>
      <c r="Z620" s="50"/>
      <c r="AA620" s="11"/>
      <c r="AB620" s="50"/>
      <c r="AC620" s="50"/>
      <c r="AD620" s="50"/>
      <c r="AE620" s="11"/>
      <c r="AF620" s="50"/>
      <c r="AG620" s="50"/>
      <c r="AH620" s="50"/>
      <c r="AI620" s="11"/>
      <c r="AJ620" s="50"/>
      <c r="AK620" s="50"/>
      <c r="AL620" s="50"/>
      <c r="AM620" s="11"/>
      <c r="AN620" s="50"/>
      <c r="AO620" s="50"/>
      <c r="AP620" s="50"/>
      <c r="AQ620" s="11"/>
      <c r="AR620" s="50"/>
      <c r="AS620" s="50"/>
      <c r="AT620" s="50"/>
      <c r="AU620" s="11"/>
      <c r="AV620" s="50"/>
      <c r="AW620" s="50"/>
      <c r="AX620" s="50"/>
      <c r="AY620" s="50"/>
      <c r="AZ620" s="50"/>
      <c r="BA620" s="50"/>
      <c r="BB620" s="50"/>
      <c r="BC620" s="50"/>
      <c r="BD620" s="50"/>
      <c r="BE620" s="20"/>
      <c r="BF620" s="518"/>
      <c r="BG620" s="484"/>
      <c r="BH620" s="484"/>
      <c r="BI620" s="527"/>
      <c r="BJ620" s="484"/>
      <c r="BK620" s="484"/>
      <c r="BL620" s="484"/>
      <c r="BM620" s="484"/>
    </row>
    <row r="621" spans="1:65" s="22" customFormat="1" x14ac:dyDescent="0.25">
      <c r="A621" s="20"/>
      <c r="B621" s="515"/>
      <c r="C621" s="11"/>
      <c r="D621" s="11"/>
      <c r="E621" s="11"/>
      <c r="F621" s="21"/>
      <c r="G621" s="11"/>
      <c r="H621" s="50"/>
      <c r="I621" s="50"/>
      <c r="J621" s="50"/>
      <c r="K621" s="11"/>
      <c r="L621" s="50"/>
      <c r="M621" s="50"/>
      <c r="N621" s="50"/>
      <c r="O621" s="50"/>
      <c r="P621" s="50"/>
      <c r="Q621" s="11"/>
      <c r="R621" s="50"/>
      <c r="S621" s="50"/>
      <c r="T621" s="50"/>
      <c r="U621" s="11"/>
      <c r="V621" s="50"/>
      <c r="W621" s="50"/>
      <c r="X621" s="50"/>
      <c r="Y621" s="50"/>
      <c r="Z621" s="50"/>
      <c r="AA621" s="11"/>
      <c r="AB621" s="50"/>
      <c r="AC621" s="50"/>
      <c r="AD621" s="50"/>
      <c r="AE621" s="11"/>
      <c r="AF621" s="50"/>
      <c r="AG621" s="50"/>
      <c r="AH621" s="50"/>
      <c r="AI621" s="11"/>
      <c r="AJ621" s="50"/>
      <c r="AK621" s="50"/>
      <c r="AL621" s="50"/>
      <c r="AM621" s="11"/>
      <c r="AN621" s="50"/>
      <c r="AO621" s="50"/>
      <c r="AP621" s="50"/>
      <c r="AQ621" s="11"/>
      <c r="AR621" s="50"/>
      <c r="AS621" s="50"/>
      <c r="AT621" s="50"/>
      <c r="AU621" s="11"/>
      <c r="AV621" s="50"/>
      <c r="AW621" s="50"/>
      <c r="AX621" s="50"/>
      <c r="AY621" s="50"/>
      <c r="AZ621" s="50"/>
      <c r="BA621" s="50"/>
      <c r="BB621" s="50"/>
      <c r="BC621" s="50"/>
      <c r="BD621" s="50"/>
      <c r="BE621" s="20"/>
      <c r="BF621" s="518"/>
      <c r="BG621" s="484"/>
      <c r="BH621" s="484"/>
      <c r="BI621" s="527"/>
      <c r="BJ621" s="484"/>
      <c r="BK621" s="484"/>
      <c r="BL621" s="484"/>
      <c r="BM621" s="484"/>
    </row>
    <row r="622" spans="1:65" s="22" customFormat="1" x14ac:dyDescent="0.25">
      <c r="A622" s="20"/>
      <c r="B622" s="515"/>
      <c r="C622" s="11"/>
      <c r="D622" s="11"/>
      <c r="E622" s="11"/>
      <c r="F622" s="21"/>
      <c r="G622" s="11"/>
      <c r="H622" s="50"/>
      <c r="I622" s="50"/>
      <c r="J622" s="50"/>
      <c r="K622" s="11"/>
      <c r="L622" s="50"/>
      <c r="M622" s="50"/>
      <c r="N622" s="50"/>
      <c r="O622" s="50"/>
      <c r="P622" s="50"/>
      <c r="Q622" s="11"/>
      <c r="R622" s="50"/>
      <c r="S622" s="50"/>
      <c r="T622" s="50"/>
      <c r="U622" s="11"/>
      <c r="V622" s="50"/>
      <c r="W622" s="50"/>
      <c r="X622" s="50"/>
      <c r="Y622" s="50"/>
      <c r="Z622" s="50"/>
      <c r="AA622" s="11"/>
      <c r="AB622" s="50"/>
      <c r="AC622" s="50"/>
      <c r="AD622" s="50"/>
      <c r="AE622" s="11"/>
      <c r="AF622" s="50"/>
      <c r="AG622" s="50"/>
      <c r="AH622" s="50"/>
      <c r="AI622" s="11"/>
      <c r="AJ622" s="50"/>
      <c r="AK622" s="50"/>
      <c r="AL622" s="50"/>
      <c r="AM622" s="11"/>
      <c r="AN622" s="50"/>
      <c r="AO622" s="50"/>
      <c r="AP622" s="50"/>
      <c r="AQ622" s="11"/>
      <c r="AR622" s="50"/>
      <c r="AS622" s="50"/>
      <c r="AT622" s="50"/>
      <c r="AU622" s="11"/>
      <c r="AV622" s="50"/>
      <c r="AW622" s="50"/>
      <c r="AX622" s="50"/>
      <c r="AY622" s="50"/>
      <c r="AZ622" s="50"/>
      <c r="BA622" s="50"/>
      <c r="BB622" s="50"/>
      <c r="BC622" s="50"/>
      <c r="BD622" s="50"/>
      <c r="BE622" s="20"/>
      <c r="BF622" s="518"/>
      <c r="BG622" s="484"/>
      <c r="BH622" s="484"/>
      <c r="BI622" s="527"/>
      <c r="BJ622" s="484"/>
      <c r="BK622" s="484"/>
      <c r="BL622" s="484"/>
      <c r="BM622" s="484"/>
    </row>
    <row r="623" spans="1:65" s="22" customFormat="1" x14ac:dyDescent="0.25">
      <c r="A623" s="20"/>
      <c r="B623" s="515"/>
      <c r="C623" s="11"/>
      <c r="D623" s="11"/>
      <c r="E623" s="11"/>
      <c r="F623" s="21"/>
      <c r="G623" s="11"/>
      <c r="H623" s="50"/>
      <c r="I623" s="50"/>
      <c r="J623" s="50"/>
      <c r="K623" s="11"/>
      <c r="L623" s="50"/>
      <c r="M623" s="50"/>
      <c r="N623" s="50"/>
      <c r="O623" s="50"/>
      <c r="P623" s="50"/>
      <c r="Q623" s="11"/>
      <c r="R623" s="50"/>
      <c r="S623" s="50"/>
      <c r="T623" s="50"/>
      <c r="U623" s="11"/>
      <c r="V623" s="50"/>
      <c r="W623" s="50"/>
      <c r="X623" s="50"/>
      <c r="Y623" s="50"/>
      <c r="Z623" s="50"/>
      <c r="AA623" s="11"/>
      <c r="AB623" s="50"/>
      <c r="AC623" s="50"/>
      <c r="AD623" s="50"/>
      <c r="AE623" s="11"/>
      <c r="AF623" s="50"/>
      <c r="AG623" s="50"/>
      <c r="AH623" s="50"/>
      <c r="AI623" s="11"/>
      <c r="AJ623" s="50"/>
      <c r="AK623" s="50"/>
      <c r="AL623" s="50"/>
      <c r="AM623" s="11"/>
      <c r="AN623" s="50"/>
      <c r="AO623" s="50"/>
      <c r="AP623" s="50"/>
      <c r="AQ623" s="11"/>
      <c r="AR623" s="50"/>
      <c r="AS623" s="50"/>
      <c r="AT623" s="50"/>
      <c r="AU623" s="11"/>
      <c r="AV623" s="50"/>
      <c r="AW623" s="50"/>
      <c r="AX623" s="50"/>
      <c r="AY623" s="50"/>
      <c r="AZ623" s="50"/>
      <c r="BA623" s="50"/>
      <c r="BB623" s="50"/>
      <c r="BC623" s="50"/>
      <c r="BD623" s="50"/>
      <c r="BE623" s="20"/>
      <c r="BF623" s="518"/>
      <c r="BG623" s="484"/>
      <c r="BH623" s="484"/>
      <c r="BI623" s="527"/>
      <c r="BJ623" s="484"/>
      <c r="BK623" s="484"/>
      <c r="BL623" s="484"/>
      <c r="BM623" s="484"/>
    </row>
    <row r="624" spans="1:65" s="22" customFormat="1" x14ac:dyDescent="0.25">
      <c r="A624" s="20"/>
      <c r="B624" s="515"/>
      <c r="C624" s="11"/>
      <c r="D624" s="11"/>
      <c r="E624" s="11"/>
      <c r="F624" s="21"/>
      <c r="G624" s="11"/>
      <c r="H624" s="50"/>
      <c r="I624" s="50"/>
      <c r="J624" s="50"/>
      <c r="K624" s="11"/>
      <c r="L624" s="50"/>
      <c r="M624" s="50"/>
      <c r="N624" s="50"/>
      <c r="O624" s="50"/>
      <c r="P624" s="50"/>
      <c r="Q624" s="11"/>
      <c r="R624" s="50"/>
      <c r="S624" s="50"/>
      <c r="T624" s="50"/>
      <c r="U624" s="11"/>
      <c r="V624" s="50"/>
      <c r="W624" s="50"/>
      <c r="X624" s="50"/>
      <c r="Y624" s="50"/>
      <c r="Z624" s="50"/>
      <c r="AA624" s="11"/>
      <c r="AB624" s="50"/>
      <c r="AC624" s="50"/>
      <c r="AD624" s="50"/>
      <c r="AE624" s="11"/>
      <c r="AF624" s="50"/>
      <c r="AG624" s="50"/>
      <c r="AH624" s="50"/>
      <c r="AI624" s="11"/>
      <c r="AJ624" s="50"/>
      <c r="AK624" s="50"/>
      <c r="AL624" s="50"/>
      <c r="AM624" s="11"/>
      <c r="AN624" s="50"/>
      <c r="AO624" s="50"/>
      <c r="AP624" s="50"/>
      <c r="AQ624" s="11"/>
      <c r="AR624" s="50"/>
      <c r="AS624" s="50"/>
      <c r="AT624" s="50"/>
      <c r="AU624" s="11"/>
      <c r="AV624" s="50"/>
      <c r="AW624" s="50"/>
      <c r="AX624" s="50"/>
      <c r="AY624" s="50"/>
      <c r="AZ624" s="50"/>
      <c r="BA624" s="50"/>
      <c r="BB624" s="50"/>
      <c r="BC624" s="50"/>
      <c r="BD624" s="50"/>
      <c r="BE624" s="20"/>
      <c r="BF624" s="518"/>
      <c r="BG624" s="484"/>
      <c r="BH624" s="484"/>
      <c r="BI624" s="527"/>
      <c r="BJ624" s="484"/>
      <c r="BK624" s="484"/>
      <c r="BL624" s="484"/>
      <c r="BM624" s="484"/>
    </row>
    <row r="625" spans="1:65" s="22" customFormat="1" x14ac:dyDescent="0.25">
      <c r="A625" s="20"/>
      <c r="B625" s="515"/>
      <c r="C625" s="11"/>
      <c r="D625" s="11"/>
      <c r="E625" s="11"/>
      <c r="F625" s="21"/>
      <c r="G625" s="11"/>
      <c r="H625" s="50"/>
      <c r="I625" s="50"/>
      <c r="J625" s="50"/>
      <c r="K625" s="11"/>
      <c r="L625" s="50"/>
      <c r="M625" s="50"/>
      <c r="N625" s="50"/>
      <c r="O625" s="50"/>
      <c r="P625" s="50"/>
      <c r="Q625" s="11"/>
      <c r="R625" s="50"/>
      <c r="S625" s="50"/>
      <c r="T625" s="50"/>
      <c r="U625" s="11"/>
      <c r="V625" s="50"/>
      <c r="W625" s="50"/>
      <c r="X625" s="50"/>
      <c r="Y625" s="50"/>
      <c r="Z625" s="50"/>
      <c r="AA625" s="11"/>
      <c r="AB625" s="50"/>
      <c r="AC625" s="50"/>
      <c r="AD625" s="50"/>
      <c r="AE625" s="11"/>
      <c r="AF625" s="50"/>
      <c r="AG625" s="50"/>
      <c r="AH625" s="50"/>
      <c r="AI625" s="11"/>
      <c r="AJ625" s="50"/>
      <c r="AK625" s="50"/>
      <c r="AL625" s="50"/>
      <c r="AM625" s="11"/>
      <c r="AN625" s="50"/>
      <c r="AO625" s="50"/>
      <c r="AP625" s="50"/>
      <c r="AQ625" s="11"/>
      <c r="AR625" s="50"/>
      <c r="AS625" s="50"/>
      <c r="AT625" s="50"/>
      <c r="AU625" s="11"/>
      <c r="AV625" s="50"/>
      <c r="AW625" s="50"/>
      <c r="AX625" s="50"/>
      <c r="AY625" s="50"/>
      <c r="AZ625" s="50"/>
      <c r="BA625" s="50"/>
      <c r="BB625" s="50"/>
      <c r="BC625" s="50"/>
      <c r="BD625" s="50"/>
      <c r="BE625" s="20"/>
      <c r="BF625" s="518"/>
      <c r="BG625" s="484"/>
      <c r="BH625" s="484"/>
      <c r="BI625" s="527"/>
      <c r="BJ625" s="484"/>
      <c r="BK625" s="484"/>
      <c r="BL625" s="484"/>
      <c r="BM625" s="484"/>
    </row>
    <row r="626" spans="1:65" s="22" customFormat="1" x14ac:dyDescent="0.25">
      <c r="A626" s="20"/>
      <c r="B626" s="515"/>
      <c r="C626" s="11"/>
      <c r="D626" s="11"/>
      <c r="E626" s="11"/>
      <c r="F626" s="21"/>
      <c r="G626" s="11"/>
      <c r="H626" s="50"/>
      <c r="I626" s="50"/>
      <c r="J626" s="50"/>
      <c r="K626" s="11"/>
      <c r="L626" s="50"/>
      <c r="M626" s="50"/>
      <c r="N626" s="50"/>
      <c r="O626" s="50"/>
      <c r="P626" s="50"/>
      <c r="Q626" s="11"/>
      <c r="R626" s="50"/>
      <c r="S626" s="50"/>
      <c r="T626" s="50"/>
      <c r="U626" s="11"/>
      <c r="V626" s="50"/>
      <c r="W626" s="50"/>
      <c r="X626" s="50"/>
      <c r="Y626" s="50"/>
      <c r="Z626" s="50"/>
      <c r="AA626" s="11"/>
      <c r="AB626" s="50"/>
      <c r="AC626" s="50"/>
      <c r="AD626" s="50"/>
      <c r="AE626" s="11"/>
      <c r="AF626" s="50"/>
      <c r="AG626" s="50"/>
      <c r="AH626" s="50"/>
      <c r="AI626" s="11"/>
      <c r="AJ626" s="50"/>
      <c r="AK626" s="50"/>
      <c r="AL626" s="50"/>
      <c r="AM626" s="11"/>
      <c r="AN626" s="50"/>
      <c r="AO626" s="50"/>
      <c r="AP626" s="50"/>
      <c r="AQ626" s="11"/>
      <c r="AR626" s="50"/>
      <c r="AS626" s="50"/>
      <c r="AT626" s="50"/>
      <c r="AU626" s="11"/>
      <c r="AV626" s="50"/>
      <c r="AW626" s="50"/>
      <c r="AX626" s="50"/>
      <c r="AY626" s="50"/>
      <c r="AZ626" s="50"/>
      <c r="BA626" s="50"/>
      <c r="BB626" s="50"/>
      <c r="BC626" s="50"/>
      <c r="BD626" s="50"/>
      <c r="BE626" s="20"/>
      <c r="BF626" s="518"/>
      <c r="BG626" s="484"/>
      <c r="BH626" s="484"/>
      <c r="BI626" s="527"/>
      <c r="BJ626" s="484"/>
      <c r="BK626" s="484"/>
      <c r="BL626" s="484"/>
      <c r="BM626" s="484"/>
    </row>
    <row r="627" spans="1:65" s="22" customFormat="1" x14ac:dyDescent="0.25">
      <c r="A627" s="20"/>
      <c r="B627" s="515"/>
      <c r="C627" s="11"/>
      <c r="D627" s="11"/>
      <c r="E627" s="11"/>
      <c r="F627" s="21"/>
      <c r="G627" s="11"/>
      <c r="H627" s="50"/>
      <c r="I627" s="50"/>
      <c r="J627" s="50"/>
      <c r="K627" s="11"/>
      <c r="L627" s="50"/>
      <c r="M627" s="50"/>
      <c r="N627" s="50"/>
      <c r="O627" s="50"/>
      <c r="P627" s="50"/>
      <c r="Q627" s="11"/>
      <c r="R627" s="50"/>
      <c r="S627" s="50"/>
      <c r="T627" s="50"/>
      <c r="U627" s="11"/>
      <c r="V627" s="50"/>
      <c r="W627" s="50"/>
      <c r="X627" s="50"/>
      <c r="Y627" s="50"/>
      <c r="Z627" s="50"/>
      <c r="AA627" s="11"/>
      <c r="AB627" s="50"/>
      <c r="AC627" s="50"/>
      <c r="AD627" s="50"/>
      <c r="AE627" s="11"/>
      <c r="AF627" s="50"/>
      <c r="AG627" s="50"/>
      <c r="AH627" s="50"/>
      <c r="AI627" s="11"/>
      <c r="AJ627" s="50"/>
      <c r="AK627" s="50"/>
      <c r="AL627" s="50"/>
      <c r="AM627" s="11"/>
      <c r="AN627" s="50"/>
      <c r="AO627" s="50"/>
      <c r="AP627" s="50"/>
      <c r="AQ627" s="11"/>
      <c r="AR627" s="50"/>
      <c r="AS627" s="50"/>
      <c r="AT627" s="50"/>
      <c r="AU627" s="11"/>
      <c r="AV627" s="50"/>
      <c r="AW627" s="50"/>
      <c r="AX627" s="50"/>
      <c r="AY627" s="50"/>
      <c r="AZ627" s="50"/>
      <c r="BA627" s="50"/>
      <c r="BB627" s="50"/>
      <c r="BC627" s="50"/>
      <c r="BD627" s="50"/>
      <c r="BE627" s="20"/>
      <c r="BF627" s="518"/>
      <c r="BG627" s="484"/>
      <c r="BH627" s="484"/>
      <c r="BI627" s="527"/>
      <c r="BJ627" s="484"/>
      <c r="BK627" s="484"/>
      <c r="BL627" s="484"/>
      <c r="BM627" s="484"/>
    </row>
    <row r="628" spans="1:65" s="22" customFormat="1" x14ac:dyDescent="0.25">
      <c r="A628" s="20"/>
      <c r="B628" s="515"/>
      <c r="C628" s="11"/>
      <c r="D628" s="11"/>
      <c r="E628" s="11"/>
      <c r="F628" s="21"/>
      <c r="G628" s="11"/>
      <c r="H628" s="50"/>
      <c r="I628" s="50"/>
      <c r="J628" s="50"/>
      <c r="K628" s="11"/>
      <c r="L628" s="50"/>
      <c r="M628" s="50"/>
      <c r="N628" s="50"/>
      <c r="O628" s="50"/>
      <c r="P628" s="50"/>
      <c r="Q628" s="11"/>
      <c r="R628" s="50"/>
      <c r="S628" s="50"/>
      <c r="T628" s="50"/>
      <c r="U628" s="11"/>
      <c r="V628" s="50"/>
      <c r="W628" s="50"/>
      <c r="X628" s="50"/>
      <c r="Y628" s="50"/>
      <c r="Z628" s="50"/>
      <c r="AA628" s="11"/>
      <c r="AB628" s="50"/>
      <c r="AC628" s="50"/>
      <c r="AD628" s="50"/>
      <c r="AE628" s="11"/>
      <c r="AF628" s="50"/>
      <c r="AG628" s="50"/>
      <c r="AH628" s="50"/>
      <c r="AI628" s="11"/>
      <c r="AJ628" s="50"/>
      <c r="AK628" s="50"/>
      <c r="AL628" s="50"/>
      <c r="AM628" s="11"/>
      <c r="AN628" s="50"/>
      <c r="AO628" s="50"/>
      <c r="AP628" s="50"/>
      <c r="AQ628" s="11"/>
      <c r="AR628" s="50"/>
      <c r="AS628" s="50"/>
      <c r="AT628" s="50"/>
      <c r="AU628" s="11"/>
      <c r="AV628" s="50"/>
      <c r="AW628" s="50"/>
      <c r="AX628" s="50"/>
      <c r="AY628" s="50"/>
      <c r="AZ628" s="50"/>
      <c r="BA628" s="50"/>
      <c r="BB628" s="50"/>
      <c r="BC628" s="50"/>
      <c r="BD628" s="50"/>
      <c r="BE628" s="20"/>
      <c r="BF628" s="518"/>
      <c r="BG628" s="484"/>
      <c r="BH628" s="484"/>
      <c r="BI628" s="527"/>
      <c r="BJ628" s="484"/>
      <c r="BK628" s="484"/>
      <c r="BL628" s="484"/>
      <c r="BM628" s="484"/>
    </row>
    <row r="629" spans="1:65" s="22" customFormat="1" x14ac:dyDescent="0.25">
      <c r="A629" s="20"/>
      <c r="B629" s="515"/>
      <c r="C629" s="11"/>
      <c r="D629" s="11"/>
      <c r="E629" s="11"/>
      <c r="F629" s="21"/>
      <c r="G629" s="11"/>
      <c r="H629" s="50"/>
      <c r="I629" s="50"/>
      <c r="J629" s="50"/>
      <c r="K629" s="11"/>
      <c r="L629" s="50"/>
      <c r="M629" s="50"/>
      <c r="N629" s="50"/>
      <c r="O629" s="50"/>
      <c r="P629" s="50"/>
      <c r="Q629" s="11"/>
      <c r="R629" s="50"/>
      <c r="S629" s="50"/>
      <c r="T629" s="50"/>
      <c r="U629" s="11"/>
      <c r="V629" s="50"/>
      <c r="W629" s="50"/>
      <c r="X629" s="50"/>
      <c r="Y629" s="50"/>
      <c r="Z629" s="50"/>
      <c r="AA629" s="11"/>
      <c r="AB629" s="50"/>
      <c r="AC629" s="50"/>
      <c r="AD629" s="50"/>
      <c r="AE629" s="11"/>
      <c r="AF629" s="50"/>
      <c r="AG629" s="50"/>
      <c r="AH629" s="50"/>
      <c r="AI629" s="11"/>
      <c r="AJ629" s="50"/>
      <c r="AK629" s="50"/>
      <c r="AL629" s="50"/>
      <c r="AM629" s="11"/>
      <c r="AN629" s="50"/>
      <c r="AO629" s="50"/>
      <c r="AP629" s="50"/>
      <c r="AQ629" s="11"/>
      <c r="AR629" s="50"/>
      <c r="AS629" s="50"/>
      <c r="AT629" s="50"/>
      <c r="AU629" s="11"/>
      <c r="AV629" s="50"/>
      <c r="AW629" s="50"/>
      <c r="AX629" s="50"/>
      <c r="AY629" s="50"/>
      <c r="AZ629" s="50"/>
      <c r="BA629" s="50"/>
      <c r="BB629" s="50"/>
      <c r="BC629" s="50"/>
      <c r="BD629" s="50"/>
      <c r="BE629" s="20"/>
      <c r="BF629" s="518"/>
      <c r="BG629" s="484"/>
      <c r="BH629" s="484"/>
      <c r="BI629" s="527"/>
      <c r="BJ629" s="484"/>
      <c r="BK629" s="484"/>
      <c r="BL629" s="484"/>
      <c r="BM629" s="484"/>
    </row>
    <row r="630" spans="1:65" s="22" customFormat="1" x14ac:dyDescent="0.25">
      <c r="A630" s="20"/>
      <c r="B630" s="515"/>
      <c r="C630" s="11"/>
      <c r="D630" s="11"/>
      <c r="E630" s="11"/>
      <c r="F630" s="21"/>
      <c r="G630" s="11"/>
      <c r="H630" s="50"/>
      <c r="I630" s="50"/>
      <c r="J630" s="50"/>
      <c r="K630" s="11"/>
      <c r="L630" s="50"/>
      <c r="M630" s="50"/>
      <c r="N630" s="50"/>
      <c r="O630" s="50"/>
      <c r="P630" s="50"/>
      <c r="Q630" s="11"/>
      <c r="R630" s="50"/>
      <c r="S630" s="50"/>
      <c r="T630" s="50"/>
      <c r="U630" s="11"/>
      <c r="V630" s="50"/>
      <c r="W630" s="50"/>
      <c r="X630" s="50"/>
      <c r="Y630" s="50"/>
      <c r="Z630" s="50"/>
      <c r="AA630" s="11"/>
      <c r="AB630" s="50"/>
      <c r="AC630" s="50"/>
      <c r="AD630" s="50"/>
      <c r="AE630" s="11"/>
      <c r="AF630" s="50"/>
      <c r="AG630" s="50"/>
      <c r="AH630" s="50"/>
      <c r="AI630" s="11"/>
      <c r="AJ630" s="50"/>
      <c r="AK630" s="50"/>
      <c r="AL630" s="50"/>
      <c r="AM630" s="11"/>
      <c r="AN630" s="50"/>
      <c r="AO630" s="50"/>
      <c r="AP630" s="50"/>
      <c r="AQ630" s="11"/>
      <c r="AR630" s="50"/>
      <c r="AS630" s="50"/>
      <c r="AT630" s="50"/>
      <c r="AU630" s="11"/>
      <c r="AV630" s="50"/>
      <c r="AW630" s="50"/>
      <c r="AX630" s="50"/>
      <c r="AY630" s="50"/>
      <c r="AZ630" s="50"/>
      <c r="BA630" s="50"/>
      <c r="BB630" s="50"/>
      <c r="BC630" s="50"/>
      <c r="BD630" s="50"/>
      <c r="BE630" s="20"/>
      <c r="BF630" s="518"/>
      <c r="BG630" s="484"/>
      <c r="BH630" s="484"/>
      <c r="BI630" s="527"/>
      <c r="BJ630" s="484"/>
      <c r="BK630" s="484"/>
      <c r="BL630" s="484"/>
      <c r="BM630" s="484"/>
    </row>
    <row r="631" spans="1:65" s="22" customFormat="1" x14ac:dyDescent="0.25">
      <c r="A631" s="20"/>
      <c r="B631" s="515"/>
      <c r="C631" s="11"/>
      <c r="D631" s="11"/>
      <c r="E631" s="11"/>
      <c r="F631" s="21"/>
      <c r="G631" s="11"/>
      <c r="H631" s="50"/>
      <c r="I631" s="50"/>
      <c r="J631" s="50"/>
      <c r="K631" s="11"/>
      <c r="L631" s="50"/>
      <c r="M631" s="50"/>
      <c r="N631" s="50"/>
      <c r="O631" s="50"/>
      <c r="P631" s="50"/>
      <c r="Q631" s="11"/>
      <c r="R631" s="50"/>
      <c r="S631" s="50"/>
      <c r="T631" s="50"/>
      <c r="U631" s="11"/>
      <c r="V631" s="50"/>
      <c r="W631" s="50"/>
      <c r="X631" s="50"/>
      <c r="Y631" s="50"/>
      <c r="Z631" s="50"/>
      <c r="AA631" s="11"/>
      <c r="AB631" s="50"/>
      <c r="AC631" s="50"/>
      <c r="AD631" s="50"/>
      <c r="AE631" s="11"/>
      <c r="AF631" s="50"/>
      <c r="AG631" s="50"/>
      <c r="AH631" s="50"/>
      <c r="AI631" s="11"/>
      <c r="AJ631" s="50"/>
      <c r="AK631" s="50"/>
      <c r="AL631" s="50"/>
      <c r="AM631" s="11"/>
      <c r="AN631" s="50"/>
      <c r="AO631" s="50"/>
      <c r="AP631" s="50"/>
      <c r="AQ631" s="11"/>
      <c r="AR631" s="50"/>
      <c r="AS631" s="50"/>
      <c r="AT631" s="50"/>
      <c r="AU631" s="11"/>
      <c r="AV631" s="50"/>
      <c r="AW631" s="50"/>
      <c r="AX631" s="50"/>
      <c r="AY631" s="50"/>
      <c r="AZ631" s="50"/>
      <c r="BA631" s="50"/>
      <c r="BB631" s="50"/>
      <c r="BC631" s="50"/>
      <c r="BD631" s="50"/>
      <c r="BE631" s="20"/>
      <c r="BF631" s="518"/>
      <c r="BG631" s="484"/>
      <c r="BH631" s="484"/>
      <c r="BI631" s="527"/>
      <c r="BJ631" s="484"/>
      <c r="BK631" s="484"/>
      <c r="BL631" s="484"/>
      <c r="BM631" s="484"/>
    </row>
    <row r="632" spans="1:65" s="22" customFormat="1" x14ac:dyDescent="0.25">
      <c r="A632" s="20"/>
      <c r="B632" s="515"/>
      <c r="C632" s="11"/>
      <c r="D632" s="11"/>
      <c r="E632" s="11"/>
      <c r="F632" s="21"/>
      <c r="G632" s="11"/>
      <c r="H632" s="50"/>
      <c r="I632" s="50"/>
      <c r="J632" s="50"/>
      <c r="K632" s="11"/>
      <c r="L632" s="50"/>
      <c r="M632" s="50"/>
      <c r="N632" s="50"/>
      <c r="O632" s="50"/>
      <c r="P632" s="50"/>
      <c r="Q632" s="11"/>
      <c r="R632" s="50"/>
      <c r="S632" s="50"/>
      <c r="T632" s="50"/>
      <c r="U632" s="11"/>
      <c r="V632" s="50"/>
      <c r="W632" s="50"/>
      <c r="X632" s="50"/>
      <c r="Y632" s="50"/>
      <c r="Z632" s="50"/>
      <c r="AA632" s="11"/>
      <c r="AB632" s="50"/>
      <c r="AC632" s="50"/>
      <c r="AD632" s="50"/>
      <c r="AE632" s="11"/>
      <c r="AF632" s="50"/>
      <c r="AG632" s="50"/>
      <c r="AH632" s="50"/>
      <c r="AI632" s="11"/>
      <c r="AJ632" s="50"/>
      <c r="AK632" s="50"/>
      <c r="AL632" s="50"/>
      <c r="AM632" s="11"/>
      <c r="AN632" s="50"/>
      <c r="AO632" s="50"/>
      <c r="AP632" s="50"/>
      <c r="AQ632" s="11"/>
      <c r="AR632" s="50"/>
      <c r="AS632" s="50"/>
      <c r="AT632" s="50"/>
      <c r="AU632" s="11"/>
      <c r="AV632" s="50"/>
      <c r="AW632" s="50"/>
      <c r="AX632" s="50"/>
      <c r="AY632" s="50"/>
      <c r="AZ632" s="50"/>
      <c r="BA632" s="50"/>
      <c r="BB632" s="50"/>
      <c r="BC632" s="50"/>
      <c r="BD632" s="50"/>
      <c r="BE632" s="20"/>
      <c r="BF632" s="518"/>
      <c r="BG632" s="484"/>
      <c r="BH632" s="484"/>
      <c r="BI632" s="527"/>
      <c r="BJ632" s="484"/>
      <c r="BK632" s="484"/>
      <c r="BL632" s="484"/>
      <c r="BM632" s="484"/>
    </row>
    <row r="633" spans="1:65" s="22" customFormat="1" x14ac:dyDescent="0.25">
      <c r="A633" s="20"/>
      <c r="B633" s="515"/>
      <c r="C633" s="11"/>
      <c r="D633" s="11"/>
      <c r="E633" s="11"/>
      <c r="F633" s="21"/>
      <c r="G633" s="11"/>
      <c r="H633" s="50"/>
      <c r="I633" s="50"/>
      <c r="J633" s="50"/>
      <c r="K633" s="11"/>
      <c r="L633" s="50"/>
      <c r="M633" s="50"/>
      <c r="N633" s="50"/>
      <c r="O633" s="50"/>
      <c r="P633" s="50"/>
      <c r="Q633" s="11"/>
      <c r="R633" s="50"/>
      <c r="S633" s="50"/>
      <c r="T633" s="50"/>
      <c r="U633" s="11"/>
      <c r="V633" s="50"/>
      <c r="W633" s="50"/>
      <c r="X633" s="50"/>
      <c r="Y633" s="50"/>
      <c r="Z633" s="50"/>
      <c r="AA633" s="11"/>
      <c r="AB633" s="50"/>
      <c r="AC633" s="50"/>
      <c r="AD633" s="50"/>
      <c r="AE633" s="11"/>
      <c r="AF633" s="50"/>
      <c r="AG633" s="50"/>
      <c r="AH633" s="50"/>
      <c r="AI633" s="11"/>
      <c r="AJ633" s="50"/>
      <c r="AK633" s="50"/>
      <c r="AL633" s="50"/>
      <c r="AM633" s="11"/>
      <c r="AN633" s="50"/>
      <c r="AO633" s="50"/>
      <c r="AP633" s="50"/>
      <c r="AQ633" s="11"/>
      <c r="AR633" s="50"/>
      <c r="AS633" s="50"/>
      <c r="AT633" s="50"/>
      <c r="AU633" s="11"/>
      <c r="AV633" s="50"/>
      <c r="AW633" s="50"/>
      <c r="AX633" s="50"/>
      <c r="AY633" s="50"/>
      <c r="AZ633" s="50"/>
      <c r="BA633" s="50"/>
      <c r="BB633" s="50"/>
      <c r="BC633" s="50"/>
      <c r="BD633" s="50"/>
      <c r="BE633" s="20"/>
      <c r="BF633" s="518"/>
      <c r="BG633" s="484"/>
      <c r="BH633" s="484"/>
      <c r="BI633" s="527"/>
      <c r="BJ633" s="484"/>
      <c r="BK633" s="484"/>
      <c r="BL633" s="484"/>
      <c r="BM633" s="484"/>
    </row>
    <row r="634" spans="1:65" s="22" customFormat="1" x14ac:dyDescent="0.25">
      <c r="A634" s="20"/>
      <c r="B634" s="515"/>
      <c r="C634" s="11"/>
      <c r="D634" s="11"/>
      <c r="E634" s="11"/>
      <c r="F634" s="21"/>
      <c r="G634" s="11"/>
      <c r="H634" s="50"/>
      <c r="I634" s="50"/>
      <c r="J634" s="50"/>
      <c r="K634" s="11"/>
      <c r="L634" s="50"/>
      <c r="M634" s="50"/>
      <c r="N634" s="50"/>
      <c r="O634" s="50"/>
      <c r="P634" s="50"/>
      <c r="Q634" s="11"/>
      <c r="R634" s="50"/>
      <c r="S634" s="50"/>
      <c r="T634" s="50"/>
      <c r="U634" s="11"/>
      <c r="V634" s="50"/>
      <c r="W634" s="50"/>
      <c r="X634" s="50"/>
      <c r="Y634" s="50"/>
      <c r="Z634" s="50"/>
      <c r="AA634" s="11"/>
      <c r="AB634" s="50"/>
      <c r="AC634" s="50"/>
      <c r="AD634" s="50"/>
      <c r="AE634" s="11"/>
      <c r="AF634" s="50"/>
      <c r="AG634" s="50"/>
      <c r="AH634" s="50"/>
      <c r="AI634" s="11"/>
      <c r="AJ634" s="50"/>
      <c r="AK634" s="50"/>
      <c r="AL634" s="50"/>
      <c r="AM634" s="11"/>
      <c r="AN634" s="50"/>
      <c r="AO634" s="50"/>
      <c r="AP634" s="50"/>
      <c r="AQ634" s="11"/>
      <c r="AR634" s="50"/>
      <c r="AS634" s="50"/>
      <c r="AT634" s="50"/>
      <c r="AU634" s="11"/>
      <c r="AV634" s="50"/>
      <c r="AW634" s="50"/>
      <c r="AX634" s="50"/>
      <c r="AY634" s="50"/>
      <c r="AZ634" s="50"/>
      <c r="BA634" s="50"/>
      <c r="BB634" s="50"/>
      <c r="BC634" s="50"/>
      <c r="BD634" s="50"/>
      <c r="BE634" s="20"/>
      <c r="BF634" s="518"/>
      <c r="BG634" s="484"/>
      <c r="BH634" s="484"/>
      <c r="BI634" s="527"/>
      <c r="BJ634" s="484"/>
      <c r="BK634" s="484"/>
      <c r="BL634" s="484"/>
      <c r="BM634" s="484"/>
    </row>
    <row r="635" spans="1:65" s="22" customFormat="1" x14ac:dyDescent="0.25">
      <c r="A635" s="20"/>
      <c r="B635" s="515"/>
      <c r="C635" s="11"/>
      <c r="D635" s="11"/>
      <c r="E635" s="11"/>
      <c r="F635" s="21"/>
      <c r="G635" s="11"/>
      <c r="H635" s="50"/>
      <c r="I635" s="50"/>
      <c r="J635" s="50"/>
      <c r="K635" s="11"/>
      <c r="L635" s="50"/>
      <c r="M635" s="50"/>
      <c r="N635" s="50"/>
      <c r="O635" s="50"/>
      <c r="P635" s="50"/>
      <c r="Q635" s="11"/>
      <c r="R635" s="50"/>
      <c r="S635" s="50"/>
      <c r="T635" s="50"/>
      <c r="U635" s="11"/>
      <c r="V635" s="50"/>
      <c r="W635" s="50"/>
      <c r="X635" s="50"/>
      <c r="Y635" s="50"/>
      <c r="Z635" s="50"/>
      <c r="AA635" s="11"/>
      <c r="AB635" s="50"/>
      <c r="AC635" s="50"/>
      <c r="AD635" s="50"/>
      <c r="AE635" s="11"/>
      <c r="AF635" s="50"/>
      <c r="AG635" s="50"/>
      <c r="AH635" s="50"/>
      <c r="AI635" s="11"/>
      <c r="AJ635" s="50"/>
      <c r="AK635" s="50"/>
      <c r="AL635" s="50"/>
      <c r="AM635" s="11"/>
      <c r="AN635" s="50"/>
      <c r="AO635" s="50"/>
      <c r="AP635" s="50"/>
      <c r="AQ635" s="11"/>
      <c r="AR635" s="50"/>
      <c r="AS635" s="50"/>
      <c r="AT635" s="50"/>
      <c r="AU635" s="11"/>
      <c r="AV635" s="50"/>
      <c r="AW635" s="50"/>
      <c r="AX635" s="50"/>
      <c r="AY635" s="50"/>
      <c r="AZ635" s="50"/>
      <c r="BA635" s="50"/>
      <c r="BB635" s="50"/>
      <c r="BC635" s="50"/>
      <c r="BD635" s="50"/>
      <c r="BE635" s="20"/>
      <c r="BF635" s="518"/>
      <c r="BG635" s="484"/>
      <c r="BH635" s="484"/>
      <c r="BI635" s="527"/>
      <c r="BJ635" s="484"/>
      <c r="BK635" s="484"/>
      <c r="BL635" s="484"/>
      <c r="BM635" s="484"/>
    </row>
    <row r="636" spans="1:65" s="22" customFormat="1" x14ac:dyDescent="0.25">
      <c r="A636" s="20"/>
      <c r="B636" s="515"/>
      <c r="C636" s="11"/>
      <c r="D636" s="11"/>
      <c r="E636" s="11"/>
      <c r="F636" s="21"/>
      <c r="G636" s="11"/>
      <c r="H636" s="50"/>
      <c r="I636" s="50"/>
      <c r="J636" s="50"/>
      <c r="K636" s="11"/>
      <c r="L636" s="50"/>
      <c r="M636" s="50"/>
      <c r="N636" s="50"/>
      <c r="O636" s="50"/>
      <c r="P636" s="50"/>
      <c r="Q636" s="11"/>
      <c r="R636" s="50"/>
      <c r="S636" s="50"/>
      <c r="T636" s="50"/>
      <c r="U636" s="11"/>
      <c r="V636" s="50"/>
      <c r="W636" s="50"/>
      <c r="X636" s="50"/>
      <c r="Y636" s="50"/>
      <c r="Z636" s="50"/>
      <c r="AA636" s="11"/>
      <c r="AB636" s="50"/>
      <c r="AC636" s="50"/>
      <c r="AD636" s="50"/>
      <c r="AE636" s="11"/>
      <c r="AF636" s="50"/>
      <c r="AG636" s="50"/>
      <c r="AH636" s="50"/>
      <c r="AI636" s="11"/>
      <c r="AJ636" s="50"/>
      <c r="AK636" s="50"/>
      <c r="AL636" s="50"/>
      <c r="AM636" s="11"/>
      <c r="AN636" s="50"/>
      <c r="AO636" s="50"/>
      <c r="AP636" s="50"/>
      <c r="AQ636" s="11"/>
      <c r="AR636" s="50"/>
      <c r="AS636" s="50"/>
      <c r="AT636" s="50"/>
      <c r="AU636" s="11"/>
      <c r="AV636" s="50"/>
      <c r="AW636" s="50"/>
      <c r="AX636" s="50"/>
      <c r="AY636" s="50"/>
      <c r="AZ636" s="50"/>
      <c r="BA636" s="50"/>
      <c r="BB636" s="50"/>
      <c r="BC636" s="50"/>
      <c r="BD636" s="50"/>
      <c r="BE636" s="20"/>
      <c r="BF636" s="518"/>
      <c r="BG636" s="484"/>
      <c r="BH636" s="484"/>
      <c r="BI636" s="527"/>
      <c r="BJ636" s="484"/>
      <c r="BK636" s="484"/>
      <c r="BL636" s="484"/>
      <c r="BM636" s="484"/>
    </row>
    <row r="637" spans="1:65" s="22" customFormat="1" x14ac:dyDescent="0.25">
      <c r="A637" s="20"/>
      <c r="B637" s="515"/>
      <c r="C637" s="11"/>
      <c r="D637" s="11"/>
      <c r="E637" s="11"/>
      <c r="F637" s="21"/>
      <c r="G637" s="11"/>
      <c r="H637" s="50"/>
      <c r="I637" s="50"/>
      <c r="J637" s="50"/>
      <c r="K637" s="11"/>
      <c r="L637" s="50"/>
      <c r="M637" s="50"/>
      <c r="N637" s="50"/>
      <c r="O637" s="50"/>
      <c r="P637" s="50"/>
      <c r="Q637" s="11"/>
      <c r="R637" s="50"/>
      <c r="S637" s="50"/>
      <c r="T637" s="50"/>
      <c r="U637" s="11"/>
      <c r="V637" s="50"/>
      <c r="W637" s="50"/>
      <c r="X637" s="50"/>
      <c r="Y637" s="50"/>
      <c r="Z637" s="50"/>
      <c r="AA637" s="11"/>
      <c r="AB637" s="50"/>
      <c r="AC637" s="50"/>
      <c r="AD637" s="50"/>
      <c r="AE637" s="11"/>
      <c r="AF637" s="50"/>
      <c r="AG637" s="50"/>
      <c r="AH637" s="50"/>
      <c r="AI637" s="11"/>
      <c r="AJ637" s="50"/>
      <c r="AK637" s="50"/>
      <c r="AL637" s="50"/>
      <c r="AM637" s="11"/>
      <c r="AN637" s="50"/>
      <c r="AO637" s="50"/>
      <c r="AP637" s="50"/>
      <c r="AQ637" s="11"/>
      <c r="AR637" s="50"/>
      <c r="AS637" s="50"/>
      <c r="AT637" s="50"/>
      <c r="AU637" s="11"/>
      <c r="AV637" s="50"/>
      <c r="AW637" s="50"/>
      <c r="AX637" s="50"/>
      <c r="AY637" s="50"/>
      <c r="AZ637" s="50"/>
      <c r="BA637" s="50"/>
      <c r="BB637" s="50"/>
      <c r="BC637" s="50"/>
      <c r="BD637" s="50"/>
      <c r="BE637" s="20"/>
      <c r="BF637" s="518"/>
      <c r="BG637" s="484"/>
      <c r="BH637" s="484"/>
      <c r="BI637" s="527"/>
      <c r="BJ637" s="484"/>
      <c r="BK637" s="484"/>
      <c r="BL637" s="484"/>
      <c r="BM637" s="484"/>
    </row>
    <row r="638" spans="1:65" s="22" customFormat="1" x14ac:dyDescent="0.25">
      <c r="A638" s="20"/>
      <c r="B638" s="515"/>
      <c r="C638" s="11"/>
      <c r="D638" s="11"/>
      <c r="E638" s="11"/>
      <c r="F638" s="21"/>
      <c r="G638" s="11"/>
      <c r="H638" s="50"/>
      <c r="I638" s="50"/>
      <c r="J638" s="50"/>
      <c r="K638" s="11"/>
      <c r="L638" s="50"/>
      <c r="M638" s="50"/>
      <c r="N638" s="50"/>
      <c r="O638" s="50"/>
      <c r="P638" s="50"/>
      <c r="Q638" s="11"/>
      <c r="R638" s="50"/>
      <c r="S638" s="50"/>
      <c r="T638" s="50"/>
      <c r="U638" s="11"/>
      <c r="V638" s="50"/>
      <c r="W638" s="50"/>
      <c r="X638" s="50"/>
      <c r="Y638" s="50"/>
      <c r="Z638" s="50"/>
      <c r="AA638" s="11"/>
      <c r="AB638" s="50"/>
      <c r="AC638" s="50"/>
      <c r="AD638" s="50"/>
      <c r="AE638" s="11"/>
      <c r="AF638" s="50"/>
      <c r="AG638" s="50"/>
      <c r="AH638" s="50"/>
      <c r="AI638" s="11"/>
      <c r="AJ638" s="50"/>
      <c r="AK638" s="50"/>
      <c r="AL638" s="50"/>
      <c r="AM638" s="11"/>
      <c r="AN638" s="50"/>
      <c r="AO638" s="50"/>
      <c r="AP638" s="50"/>
      <c r="AQ638" s="11"/>
      <c r="AR638" s="50"/>
      <c r="AS638" s="50"/>
      <c r="AT638" s="50"/>
      <c r="AU638" s="11"/>
      <c r="AV638" s="50"/>
      <c r="AW638" s="50"/>
      <c r="AX638" s="50"/>
      <c r="AY638" s="50"/>
      <c r="AZ638" s="50"/>
      <c r="BA638" s="50"/>
      <c r="BB638" s="50"/>
      <c r="BC638" s="50"/>
      <c r="BD638" s="50"/>
      <c r="BE638" s="20"/>
      <c r="BF638" s="518"/>
      <c r="BG638" s="484"/>
      <c r="BH638" s="484"/>
      <c r="BI638" s="527"/>
      <c r="BJ638" s="484"/>
      <c r="BK638" s="484"/>
      <c r="BL638" s="484"/>
      <c r="BM638" s="484"/>
    </row>
    <row r="639" spans="1:65" s="22" customFormat="1" x14ac:dyDescent="0.25">
      <c r="A639" s="20"/>
      <c r="B639" s="515"/>
      <c r="C639" s="11"/>
      <c r="D639" s="11"/>
      <c r="E639" s="11"/>
      <c r="F639" s="21"/>
      <c r="G639" s="11"/>
      <c r="H639" s="50"/>
      <c r="I639" s="50"/>
      <c r="J639" s="50"/>
      <c r="K639" s="11"/>
      <c r="L639" s="50"/>
      <c r="M639" s="50"/>
      <c r="N639" s="50"/>
      <c r="O639" s="50"/>
      <c r="P639" s="50"/>
      <c r="Q639" s="11"/>
      <c r="R639" s="50"/>
      <c r="S639" s="50"/>
      <c r="T639" s="50"/>
      <c r="U639" s="11"/>
      <c r="V639" s="50"/>
      <c r="W639" s="50"/>
      <c r="X639" s="50"/>
      <c r="Y639" s="50"/>
      <c r="Z639" s="50"/>
      <c r="AA639" s="11"/>
      <c r="AB639" s="50"/>
      <c r="AC639" s="50"/>
      <c r="AD639" s="50"/>
      <c r="AE639" s="11"/>
      <c r="AF639" s="50"/>
      <c r="AG639" s="50"/>
      <c r="AH639" s="50"/>
      <c r="AI639" s="11"/>
      <c r="AJ639" s="50"/>
      <c r="AK639" s="50"/>
      <c r="AL639" s="50"/>
      <c r="AM639" s="11"/>
      <c r="AN639" s="50"/>
      <c r="AO639" s="50"/>
      <c r="AP639" s="50"/>
      <c r="AQ639" s="11"/>
      <c r="AR639" s="50"/>
      <c r="AS639" s="50"/>
      <c r="AT639" s="50"/>
      <c r="AU639" s="11"/>
      <c r="AV639" s="50"/>
      <c r="AW639" s="50"/>
      <c r="AX639" s="50"/>
      <c r="AY639" s="50"/>
      <c r="AZ639" s="50"/>
      <c r="BA639" s="50"/>
      <c r="BB639" s="50"/>
      <c r="BC639" s="50"/>
      <c r="BD639" s="50"/>
      <c r="BE639" s="20"/>
      <c r="BF639" s="518"/>
      <c r="BG639" s="484"/>
      <c r="BH639" s="484"/>
      <c r="BI639" s="527"/>
      <c r="BJ639" s="484"/>
      <c r="BK639" s="484"/>
      <c r="BL639" s="484"/>
      <c r="BM639" s="484"/>
    </row>
    <row r="640" spans="1:65" s="22" customFormat="1" x14ac:dyDescent="0.25">
      <c r="A640" s="20"/>
      <c r="B640" s="515"/>
      <c r="C640" s="11"/>
      <c r="D640" s="11"/>
      <c r="E640" s="11"/>
      <c r="F640" s="21"/>
      <c r="G640" s="11"/>
      <c r="H640" s="50"/>
      <c r="I640" s="50"/>
      <c r="J640" s="50"/>
      <c r="K640" s="11"/>
      <c r="L640" s="50"/>
      <c r="M640" s="50"/>
      <c r="N640" s="50"/>
      <c r="O640" s="50"/>
      <c r="P640" s="50"/>
      <c r="Q640" s="11"/>
      <c r="R640" s="50"/>
      <c r="S640" s="50"/>
      <c r="T640" s="50"/>
      <c r="U640" s="11"/>
      <c r="V640" s="50"/>
      <c r="W640" s="50"/>
      <c r="X640" s="50"/>
      <c r="Y640" s="50"/>
      <c r="Z640" s="50"/>
      <c r="AA640" s="11"/>
      <c r="AB640" s="50"/>
      <c r="AC640" s="50"/>
      <c r="AD640" s="50"/>
      <c r="AE640" s="11"/>
      <c r="AF640" s="50"/>
      <c r="AG640" s="50"/>
      <c r="AH640" s="50"/>
      <c r="AI640" s="11"/>
      <c r="AJ640" s="50"/>
      <c r="AK640" s="50"/>
      <c r="AL640" s="50"/>
      <c r="AM640" s="11"/>
      <c r="AN640" s="50"/>
      <c r="AO640" s="50"/>
      <c r="AP640" s="50"/>
      <c r="AQ640" s="11"/>
      <c r="AR640" s="50"/>
      <c r="AS640" s="50"/>
      <c r="AT640" s="50"/>
      <c r="AU640" s="11"/>
      <c r="AV640" s="50"/>
      <c r="AW640" s="50"/>
      <c r="AX640" s="50"/>
      <c r="AY640" s="50"/>
      <c r="AZ640" s="50"/>
      <c r="BA640" s="50"/>
      <c r="BB640" s="50"/>
      <c r="BC640" s="50"/>
      <c r="BD640" s="50"/>
      <c r="BE640" s="20"/>
      <c r="BF640" s="518"/>
      <c r="BG640" s="484"/>
      <c r="BH640" s="484"/>
      <c r="BI640" s="527"/>
      <c r="BJ640" s="484"/>
      <c r="BK640" s="484"/>
      <c r="BL640" s="484"/>
      <c r="BM640" s="484"/>
    </row>
    <row r="641" spans="1:65" s="22" customFormat="1" x14ac:dyDescent="0.25">
      <c r="A641" s="20"/>
      <c r="B641" s="515"/>
      <c r="C641" s="11"/>
      <c r="D641" s="11"/>
      <c r="E641" s="11"/>
      <c r="F641" s="21"/>
      <c r="G641" s="11"/>
      <c r="H641" s="50"/>
      <c r="I641" s="50"/>
      <c r="J641" s="50"/>
      <c r="K641" s="11"/>
      <c r="L641" s="50"/>
      <c r="M641" s="50"/>
      <c r="N641" s="50"/>
      <c r="O641" s="50"/>
      <c r="P641" s="50"/>
      <c r="Q641" s="11"/>
      <c r="R641" s="50"/>
      <c r="S641" s="50"/>
      <c r="T641" s="50"/>
      <c r="U641" s="11"/>
      <c r="V641" s="50"/>
      <c r="W641" s="50"/>
      <c r="X641" s="50"/>
      <c r="Y641" s="50"/>
      <c r="Z641" s="50"/>
      <c r="AA641" s="11"/>
      <c r="AB641" s="50"/>
      <c r="AC641" s="50"/>
      <c r="AD641" s="50"/>
      <c r="AE641" s="11"/>
      <c r="AF641" s="50"/>
      <c r="AG641" s="50"/>
      <c r="AH641" s="50"/>
      <c r="AI641" s="11"/>
      <c r="AJ641" s="50"/>
      <c r="AK641" s="50"/>
      <c r="AL641" s="50"/>
      <c r="AM641" s="11"/>
      <c r="AN641" s="50"/>
      <c r="AO641" s="50"/>
      <c r="AP641" s="50"/>
      <c r="AQ641" s="11"/>
      <c r="AR641" s="50"/>
      <c r="AS641" s="50"/>
      <c r="AT641" s="50"/>
      <c r="AU641" s="11"/>
      <c r="AV641" s="50"/>
      <c r="AW641" s="50"/>
      <c r="AX641" s="50"/>
      <c r="AY641" s="50"/>
      <c r="AZ641" s="50"/>
      <c r="BA641" s="50"/>
      <c r="BB641" s="50"/>
      <c r="BC641" s="50"/>
      <c r="BD641" s="50"/>
      <c r="BE641" s="20"/>
      <c r="BF641" s="518"/>
      <c r="BG641" s="484"/>
      <c r="BH641" s="484"/>
      <c r="BI641" s="527"/>
      <c r="BJ641" s="484"/>
      <c r="BK641" s="484"/>
      <c r="BL641" s="484"/>
      <c r="BM641" s="484"/>
    </row>
    <row r="642" spans="1:65" s="22" customFormat="1" x14ac:dyDescent="0.25">
      <c r="A642" s="20"/>
      <c r="B642" s="515"/>
      <c r="C642" s="11"/>
      <c r="D642" s="11"/>
      <c r="E642" s="11"/>
      <c r="F642" s="21"/>
      <c r="G642" s="11"/>
      <c r="H642" s="50"/>
      <c r="I642" s="50"/>
      <c r="J642" s="50"/>
      <c r="K642" s="11"/>
      <c r="L642" s="50"/>
      <c r="M642" s="50"/>
      <c r="N642" s="50"/>
      <c r="O642" s="50"/>
      <c r="P642" s="50"/>
      <c r="Q642" s="11"/>
      <c r="R642" s="50"/>
      <c r="S642" s="50"/>
      <c r="T642" s="50"/>
      <c r="U642" s="11"/>
      <c r="V642" s="50"/>
      <c r="W642" s="50"/>
      <c r="X642" s="50"/>
      <c r="Y642" s="50"/>
      <c r="Z642" s="50"/>
      <c r="AA642" s="11"/>
      <c r="AB642" s="50"/>
      <c r="AC642" s="50"/>
      <c r="AD642" s="50"/>
      <c r="AE642" s="11"/>
      <c r="AF642" s="50"/>
      <c r="AG642" s="50"/>
      <c r="AH642" s="50"/>
      <c r="AI642" s="11"/>
      <c r="AJ642" s="50"/>
      <c r="AK642" s="50"/>
      <c r="AL642" s="50"/>
      <c r="AM642" s="11"/>
      <c r="AN642" s="50"/>
      <c r="AO642" s="50"/>
      <c r="AP642" s="50"/>
      <c r="AQ642" s="11"/>
      <c r="AR642" s="50"/>
      <c r="AS642" s="50"/>
      <c r="AT642" s="50"/>
      <c r="AU642" s="11"/>
      <c r="AV642" s="50"/>
      <c r="AW642" s="50"/>
      <c r="AX642" s="50"/>
      <c r="AY642" s="50"/>
      <c r="AZ642" s="50"/>
      <c r="BA642" s="50"/>
      <c r="BB642" s="50"/>
      <c r="BC642" s="50"/>
      <c r="BD642" s="50"/>
      <c r="BE642" s="20"/>
      <c r="BF642" s="518"/>
      <c r="BG642" s="484"/>
      <c r="BH642" s="484"/>
      <c r="BI642" s="527"/>
      <c r="BJ642" s="484"/>
      <c r="BK642" s="484"/>
      <c r="BL642" s="484"/>
      <c r="BM642" s="484"/>
    </row>
    <row r="643" spans="1:65" s="22" customFormat="1" x14ac:dyDescent="0.25">
      <c r="A643" s="20"/>
      <c r="B643" s="515"/>
      <c r="C643" s="11"/>
      <c r="D643" s="11"/>
      <c r="E643" s="11"/>
      <c r="F643" s="21"/>
      <c r="G643" s="11"/>
      <c r="H643" s="50"/>
      <c r="I643" s="50"/>
      <c r="J643" s="50"/>
      <c r="K643" s="11"/>
      <c r="L643" s="50"/>
      <c r="M643" s="50"/>
      <c r="N643" s="50"/>
      <c r="O643" s="50"/>
      <c r="P643" s="50"/>
      <c r="Q643" s="11"/>
      <c r="R643" s="50"/>
      <c r="S643" s="50"/>
      <c r="T643" s="50"/>
      <c r="U643" s="11"/>
      <c r="V643" s="50"/>
      <c r="W643" s="50"/>
      <c r="X643" s="50"/>
      <c r="Y643" s="50"/>
      <c r="Z643" s="50"/>
      <c r="AA643" s="11"/>
      <c r="AB643" s="50"/>
      <c r="AC643" s="50"/>
      <c r="AD643" s="50"/>
      <c r="AE643" s="11"/>
      <c r="AF643" s="50"/>
      <c r="AG643" s="50"/>
      <c r="AH643" s="50"/>
      <c r="AI643" s="11"/>
      <c r="AJ643" s="50"/>
      <c r="AK643" s="50"/>
      <c r="AL643" s="50"/>
      <c r="AM643" s="11"/>
      <c r="AN643" s="50"/>
      <c r="AO643" s="50"/>
      <c r="AP643" s="50"/>
      <c r="AQ643" s="11"/>
      <c r="AR643" s="50"/>
      <c r="AS643" s="50"/>
      <c r="AT643" s="50"/>
      <c r="AU643" s="11"/>
      <c r="AV643" s="50"/>
      <c r="AW643" s="50"/>
      <c r="AX643" s="50"/>
      <c r="AY643" s="50"/>
      <c r="AZ643" s="50"/>
      <c r="BA643" s="50"/>
      <c r="BB643" s="50"/>
      <c r="BC643" s="50"/>
      <c r="BD643" s="50"/>
      <c r="BE643" s="20"/>
      <c r="BF643" s="518"/>
      <c r="BG643" s="484"/>
      <c r="BH643" s="484"/>
      <c r="BI643" s="527"/>
      <c r="BJ643" s="484"/>
      <c r="BK643" s="484"/>
      <c r="BL643" s="484"/>
      <c r="BM643" s="484"/>
    </row>
    <row r="644" spans="1:65" s="22" customFormat="1" x14ac:dyDescent="0.25">
      <c r="A644" s="20"/>
      <c r="B644" s="515"/>
      <c r="C644" s="11"/>
      <c r="D644" s="11"/>
      <c r="E644" s="11"/>
      <c r="F644" s="21"/>
      <c r="G644" s="11"/>
      <c r="H644" s="50"/>
      <c r="I644" s="50"/>
      <c r="J644" s="50"/>
      <c r="K644" s="11"/>
      <c r="L644" s="50"/>
      <c r="M644" s="50"/>
      <c r="N644" s="50"/>
      <c r="O644" s="50"/>
      <c r="P644" s="50"/>
      <c r="Q644" s="11"/>
      <c r="R644" s="50"/>
      <c r="S644" s="50"/>
      <c r="T644" s="50"/>
      <c r="U644" s="11"/>
      <c r="V644" s="50"/>
      <c r="W644" s="50"/>
      <c r="X644" s="50"/>
      <c r="Y644" s="50"/>
      <c r="Z644" s="50"/>
      <c r="AA644" s="11"/>
      <c r="AB644" s="50"/>
      <c r="AC644" s="50"/>
      <c r="AD644" s="50"/>
      <c r="AE644" s="11"/>
      <c r="AF644" s="50"/>
      <c r="AG644" s="50"/>
      <c r="AH644" s="50"/>
      <c r="AI644" s="11"/>
      <c r="AJ644" s="50"/>
      <c r="AK644" s="50"/>
      <c r="AL644" s="50"/>
      <c r="AM644" s="11"/>
      <c r="AN644" s="50"/>
      <c r="AO644" s="50"/>
      <c r="AP644" s="50"/>
      <c r="AQ644" s="11"/>
      <c r="AR644" s="50"/>
      <c r="AS644" s="50"/>
      <c r="AT644" s="50"/>
      <c r="AU644" s="11"/>
      <c r="AV644" s="50"/>
      <c r="AW644" s="50"/>
      <c r="AX644" s="50"/>
      <c r="AY644" s="50"/>
      <c r="AZ644" s="50"/>
      <c r="BA644" s="50"/>
      <c r="BB644" s="50"/>
      <c r="BC644" s="50"/>
      <c r="BD644" s="50"/>
      <c r="BE644" s="20"/>
      <c r="BF644" s="518"/>
      <c r="BG644" s="484"/>
      <c r="BH644" s="484"/>
      <c r="BI644" s="527"/>
      <c r="BJ644" s="484"/>
      <c r="BK644" s="484"/>
      <c r="BL644" s="484"/>
      <c r="BM644" s="484"/>
    </row>
    <row r="645" spans="1:65" s="22" customFormat="1" x14ac:dyDescent="0.25">
      <c r="A645" s="20"/>
      <c r="B645" s="515"/>
      <c r="C645" s="11"/>
      <c r="D645" s="11"/>
      <c r="E645" s="11"/>
      <c r="F645" s="21"/>
      <c r="G645" s="11"/>
      <c r="H645" s="50"/>
      <c r="I645" s="50"/>
      <c r="J645" s="50"/>
      <c r="K645" s="11"/>
      <c r="L645" s="50"/>
      <c r="M645" s="50"/>
      <c r="N645" s="50"/>
      <c r="O645" s="50"/>
      <c r="P645" s="50"/>
      <c r="Q645" s="11"/>
      <c r="R645" s="50"/>
      <c r="S645" s="50"/>
      <c r="T645" s="50"/>
      <c r="U645" s="11"/>
      <c r="V645" s="50"/>
      <c r="W645" s="50"/>
      <c r="X645" s="50"/>
      <c r="Y645" s="50"/>
      <c r="Z645" s="50"/>
      <c r="AA645" s="11"/>
      <c r="AB645" s="50"/>
      <c r="AC645" s="50"/>
      <c r="AD645" s="50"/>
      <c r="AE645" s="11"/>
      <c r="AF645" s="50"/>
      <c r="AG645" s="50"/>
      <c r="AH645" s="50"/>
      <c r="AI645" s="11"/>
      <c r="AJ645" s="50"/>
      <c r="AK645" s="50"/>
      <c r="AL645" s="50"/>
      <c r="AM645" s="11"/>
      <c r="AN645" s="50"/>
      <c r="AO645" s="50"/>
      <c r="AP645" s="50"/>
      <c r="AQ645" s="11"/>
      <c r="AR645" s="50"/>
      <c r="AS645" s="50"/>
      <c r="AT645" s="50"/>
      <c r="AU645" s="11"/>
      <c r="AV645" s="50"/>
      <c r="AW645" s="50"/>
      <c r="AX645" s="50"/>
      <c r="AY645" s="50"/>
      <c r="AZ645" s="50"/>
      <c r="BA645" s="50"/>
      <c r="BB645" s="50"/>
      <c r="BC645" s="50"/>
      <c r="BD645" s="50"/>
      <c r="BE645" s="20"/>
      <c r="BF645" s="518"/>
      <c r="BG645" s="484"/>
      <c r="BH645" s="484"/>
      <c r="BI645" s="527"/>
      <c r="BJ645" s="484"/>
      <c r="BK645" s="484"/>
      <c r="BL645" s="484"/>
      <c r="BM645" s="484"/>
    </row>
    <row r="646" spans="1:65" s="22" customFormat="1" x14ac:dyDescent="0.25">
      <c r="A646" s="20"/>
      <c r="B646" s="515"/>
      <c r="C646" s="11"/>
      <c r="D646" s="11"/>
      <c r="E646" s="11"/>
      <c r="F646" s="21"/>
      <c r="G646" s="11"/>
      <c r="H646" s="50"/>
      <c r="I646" s="50"/>
      <c r="J646" s="50"/>
      <c r="K646" s="11"/>
      <c r="L646" s="50"/>
      <c r="M646" s="50"/>
      <c r="N646" s="50"/>
      <c r="O646" s="50"/>
      <c r="P646" s="50"/>
      <c r="Q646" s="11"/>
      <c r="R646" s="50"/>
      <c r="S646" s="50"/>
      <c r="T646" s="50"/>
      <c r="U646" s="11"/>
      <c r="V646" s="50"/>
      <c r="W646" s="50"/>
      <c r="X646" s="50"/>
      <c r="Y646" s="50"/>
      <c r="Z646" s="50"/>
      <c r="AA646" s="11"/>
      <c r="AB646" s="50"/>
      <c r="AC646" s="50"/>
      <c r="AD646" s="50"/>
      <c r="AE646" s="11"/>
      <c r="AF646" s="50"/>
      <c r="AG646" s="50"/>
      <c r="AH646" s="50"/>
      <c r="AI646" s="11"/>
      <c r="AJ646" s="50"/>
      <c r="AK646" s="50"/>
      <c r="AL646" s="50"/>
      <c r="AM646" s="11"/>
      <c r="AN646" s="50"/>
      <c r="AO646" s="50"/>
      <c r="AP646" s="50"/>
      <c r="AQ646" s="11"/>
      <c r="AR646" s="50"/>
      <c r="AS646" s="50"/>
      <c r="AT646" s="50"/>
      <c r="AU646" s="11"/>
      <c r="AV646" s="50"/>
      <c r="AW646" s="50"/>
      <c r="AX646" s="50"/>
      <c r="AY646" s="50"/>
      <c r="AZ646" s="50"/>
      <c r="BA646" s="50"/>
      <c r="BB646" s="50"/>
      <c r="BC646" s="50"/>
      <c r="BD646" s="50"/>
      <c r="BE646" s="20"/>
      <c r="BF646" s="518"/>
      <c r="BG646" s="484"/>
      <c r="BH646" s="484"/>
      <c r="BI646" s="527"/>
      <c r="BJ646" s="484"/>
      <c r="BK646" s="484"/>
      <c r="BL646" s="484"/>
      <c r="BM646" s="484"/>
    </row>
    <row r="647" spans="1:65" s="22" customFormat="1" x14ac:dyDescent="0.25">
      <c r="A647" s="20"/>
      <c r="B647" s="515"/>
      <c r="C647" s="11"/>
      <c r="D647" s="11"/>
      <c r="E647" s="11"/>
      <c r="F647" s="21"/>
      <c r="G647" s="11"/>
      <c r="H647" s="50"/>
      <c r="I647" s="50"/>
      <c r="J647" s="50"/>
      <c r="K647" s="11"/>
      <c r="L647" s="50"/>
      <c r="M647" s="50"/>
      <c r="N647" s="50"/>
      <c r="O647" s="50"/>
      <c r="P647" s="50"/>
      <c r="Q647" s="11"/>
      <c r="R647" s="50"/>
      <c r="S647" s="50"/>
      <c r="T647" s="50"/>
      <c r="U647" s="11"/>
      <c r="V647" s="50"/>
      <c r="W647" s="50"/>
      <c r="X647" s="50"/>
      <c r="Y647" s="50"/>
      <c r="Z647" s="50"/>
      <c r="AA647" s="11"/>
      <c r="AB647" s="50"/>
      <c r="AC647" s="50"/>
      <c r="AD647" s="50"/>
      <c r="AE647" s="11"/>
      <c r="AF647" s="50"/>
      <c r="AG647" s="50"/>
      <c r="AH647" s="50"/>
      <c r="AI647" s="11"/>
      <c r="AJ647" s="50"/>
      <c r="AK647" s="50"/>
      <c r="AL647" s="50"/>
      <c r="AM647" s="11"/>
      <c r="AN647" s="50"/>
      <c r="AO647" s="50"/>
      <c r="AP647" s="50"/>
      <c r="AQ647" s="11"/>
      <c r="AR647" s="50"/>
      <c r="AS647" s="50"/>
      <c r="AT647" s="50"/>
      <c r="AU647" s="11"/>
      <c r="AV647" s="50"/>
      <c r="AW647" s="50"/>
      <c r="AX647" s="50"/>
      <c r="AY647" s="50"/>
      <c r="AZ647" s="50"/>
      <c r="BA647" s="50"/>
      <c r="BB647" s="50"/>
      <c r="BC647" s="50"/>
      <c r="BD647" s="50"/>
      <c r="BE647" s="20"/>
      <c r="BF647" s="518"/>
      <c r="BG647" s="484"/>
      <c r="BH647" s="484"/>
      <c r="BI647" s="527"/>
      <c r="BJ647" s="484"/>
      <c r="BK647" s="484"/>
      <c r="BL647" s="484"/>
      <c r="BM647" s="484"/>
    </row>
    <row r="648" spans="1:65" s="22" customFormat="1" x14ac:dyDescent="0.25">
      <c r="A648" s="20"/>
      <c r="B648" s="515"/>
      <c r="C648" s="11"/>
      <c r="D648" s="11"/>
      <c r="E648" s="11"/>
      <c r="F648" s="21"/>
      <c r="G648" s="11"/>
      <c r="H648" s="50"/>
      <c r="I648" s="50"/>
      <c r="J648" s="50"/>
      <c r="K648" s="11"/>
      <c r="L648" s="50"/>
      <c r="M648" s="50"/>
      <c r="N648" s="50"/>
      <c r="O648" s="50"/>
      <c r="P648" s="50"/>
      <c r="Q648" s="11"/>
      <c r="R648" s="50"/>
      <c r="S648" s="50"/>
      <c r="T648" s="50"/>
      <c r="U648" s="11"/>
      <c r="V648" s="50"/>
      <c r="W648" s="50"/>
      <c r="X648" s="50"/>
      <c r="Y648" s="50"/>
      <c r="Z648" s="50"/>
      <c r="AA648" s="11"/>
      <c r="AB648" s="50"/>
      <c r="AC648" s="50"/>
      <c r="AD648" s="50"/>
      <c r="AE648" s="11"/>
      <c r="AF648" s="50"/>
      <c r="AG648" s="50"/>
      <c r="AH648" s="50"/>
      <c r="AI648" s="11"/>
      <c r="AJ648" s="50"/>
      <c r="AK648" s="50"/>
      <c r="AL648" s="50"/>
      <c r="AM648" s="11"/>
      <c r="AN648" s="50"/>
      <c r="AO648" s="50"/>
      <c r="AP648" s="50"/>
      <c r="AQ648" s="11"/>
      <c r="AR648" s="50"/>
      <c r="AS648" s="50"/>
      <c r="AT648" s="50"/>
      <c r="AU648" s="11"/>
      <c r="AV648" s="50"/>
      <c r="AW648" s="50"/>
      <c r="AX648" s="50"/>
      <c r="AY648" s="50"/>
      <c r="AZ648" s="50"/>
      <c r="BA648" s="50"/>
      <c r="BB648" s="50"/>
      <c r="BC648" s="50"/>
      <c r="BD648" s="50"/>
      <c r="BE648" s="20"/>
      <c r="BF648" s="518"/>
      <c r="BG648" s="484"/>
      <c r="BH648" s="484"/>
      <c r="BI648" s="527"/>
      <c r="BJ648" s="484"/>
      <c r="BK648" s="484"/>
      <c r="BL648" s="484"/>
      <c r="BM648" s="484"/>
    </row>
    <row r="649" spans="1:65" s="22" customFormat="1" x14ac:dyDescent="0.25">
      <c r="A649" s="20"/>
      <c r="B649" s="515"/>
      <c r="C649" s="11"/>
      <c r="D649" s="11"/>
      <c r="E649" s="11"/>
      <c r="F649" s="21"/>
      <c r="G649" s="11"/>
      <c r="H649" s="50"/>
      <c r="I649" s="50"/>
      <c r="J649" s="50"/>
      <c r="K649" s="11"/>
      <c r="L649" s="50"/>
      <c r="M649" s="50"/>
      <c r="N649" s="50"/>
      <c r="O649" s="50"/>
      <c r="P649" s="50"/>
      <c r="Q649" s="11"/>
      <c r="R649" s="50"/>
      <c r="S649" s="50"/>
      <c r="T649" s="50"/>
      <c r="U649" s="11"/>
      <c r="V649" s="50"/>
      <c r="W649" s="50"/>
      <c r="X649" s="50"/>
      <c r="Y649" s="50"/>
      <c r="Z649" s="50"/>
      <c r="AA649" s="11"/>
      <c r="AB649" s="50"/>
      <c r="AC649" s="50"/>
      <c r="AD649" s="50"/>
      <c r="AE649" s="11"/>
      <c r="AF649" s="50"/>
      <c r="AG649" s="50"/>
      <c r="AH649" s="50"/>
      <c r="AI649" s="11"/>
      <c r="AJ649" s="50"/>
      <c r="AK649" s="50"/>
      <c r="AL649" s="50"/>
      <c r="AM649" s="11"/>
      <c r="AN649" s="50"/>
      <c r="AO649" s="50"/>
      <c r="AP649" s="50"/>
      <c r="AQ649" s="11"/>
      <c r="AR649" s="50"/>
      <c r="AS649" s="50"/>
      <c r="AT649" s="50"/>
      <c r="AU649" s="11"/>
      <c r="AV649" s="50"/>
      <c r="AW649" s="50"/>
      <c r="AX649" s="50"/>
      <c r="AY649" s="50"/>
      <c r="AZ649" s="50"/>
      <c r="BA649" s="50"/>
      <c r="BB649" s="50"/>
      <c r="BC649" s="50"/>
      <c r="BD649" s="50"/>
      <c r="BE649" s="20"/>
      <c r="BF649" s="518"/>
      <c r="BG649" s="484"/>
      <c r="BH649" s="484"/>
      <c r="BI649" s="527"/>
      <c r="BJ649" s="484"/>
      <c r="BK649" s="484"/>
      <c r="BL649" s="484"/>
      <c r="BM649" s="484"/>
    </row>
    <row r="650" spans="1:65" s="22" customFormat="1" x14ac:dyDescent="0.25">
      <c r="A650" s="20"/>
      <c r="B650" s="515"/>
      <c r="C650" s="11"/>
      <c r="D650" s="11"/>
      <c r="E650" s="11"/>
      <c r="F650" s="21"/>
      <c r="G650" s="11"/>
      <c r="H650" s="50"/>
      <c r="I650" s="50"/>
      <c r="J650" s="50"/>
      <c r="K650" s="11"/>
      <c r="L650" s="50"/>
      <c r="M650" s="50"/>
      <c r="N650" s="50"/>
      <c r="O650" s="50"/>
      <c r="P650" s="50"/>
      <c r="Q650" s="11"/>
      <c r="R650" s="50"/>
      <c r="S650" s="50"/>
      <c r="T650" s="50"/>
      <c r="U650" s="11"/>
      <c r="V650" s="50"/>
      <c r="W650" s="50"/>
      <c r="X650" s="50"/>
      <c r="Y650" s="50"/>
      <c r="Z650" s="50"/>
      <c r="AA650" s="11"/>
      <c r="AB650" s="50"/>
      <c r="AC650" s="50"/>
      <c r="AD650" s="50"/>
      <c r="AE650" s="11"/>
      <c r="AF650" s="50"/>
      <c r="AG650" s="50"/>
      <c r="AH650" s="50"/>
      <c r="AI650" s="11"/>
      <c r="AJ650" s="50"/>
      <c r="AK650" s="50"/>
      <c r="AL650" s="50"/>
      <c r="AM650" s="11"/>
      <c r="AN650" s="50"/>
      <c r="AO650" s="50"/>
      <c r="AP650" s="50"/>
      <c r="AQ650" s="11"/>
      <c r="AR650" s="50"/>
      <c r="AS650" s="50"/>
      <c r="AT650" s="50"/>
      <c r="AU650" s="11"/>
      <c r="AV650" s="50"/>
      <c r="AW650" s="50"/>
      <c r="AX650" s="50"/>
      <c r="AY650" s="50"/>
      <c r="AZ650" s="50"/>
      <c r="BA650" s="50"/>
      <c r="BB650" s="50"/>
      <c r="BC650" s="50"/>
      <c r="BD650" s="50"/>
      <c r="BE650" s="20"/>
      <c r="BF650" s="518"/>
      <c r="BG650" s="484"/>
      <c r="BH650" s="484"/>
      <c r="BI650" s="527"/>
      <c r="BJ650" s="484"/>
      <c r="BK650" s="484"/>
      <c r="BL650" s="484"/>
      <c r="BM650" s="484"/>
    </row>
    <row r="651" spans="1:65" s="22" customFormat="1" x14ac:dyDescent="0.25">
      <c r="A651" s="20"/>
      <c r="B651" s="515"/>
      <c r="C651" s="11"/>
      <c r="D651" s="11"/>
      <c r="E651" s="11"/>
      <c r="F651" s="21"/>
      <c r="G651" s="11"/>
      <c r="H651" s="50"/>
      <c r="I651" s="50"/>
      <c r="J651" s="50"/>
      <c r="K651" s="11"/>
      <c r="L651" s="50"/>
      <c r="M651" s="50"/>
      <c r="N651" s="50"/>
      <c r="O651" s="50"/>
      <c r="P651" s="50"/>
      <c r="Q651" s="11"/>
      <c r="R651" s="50"/>
      <c r="S651" s="50"/>
      <c r="T651" s="50"/>
      <c r="U651" s="11"/>
      <c r="V651" s="50"/>
      <c r="W651" s="50"/>
      <c r="X651" s="50"/>
      <c r="Y651" s="50"/>
      <c r="Z651" s="50"/>
      <c r="AA651" s="11"/>
      <c r="AB651" s="50"/>
      <c r="AC651" s="50"/>
      <c r="AD651" s="50"/>
      <c r="AE651" s="11"/>
      <c r="AF651" s="50"/>
      <c r="AG651" s="50"/>
      <c r="AH651" s="50"/>
      <c r="AI651" s="11"/>
      <c r="AJ651" s="50"/>
      <c r="AK651" s="50"/>
      <c r="AL651" s="50"/>
      <c r="AM651" s="11"/>
      <c r="AN651" s="50"/>
      <c r="AO651" s="50"/>
      <c r="AP651" s="50"/>
      <c r="AQ651" s="11"/>
      <c r="AR651" s="50"/>
      <c r="AS651" s="50"/>
      <c r="AT651" s="50"/>
      <c r="AU651" s="11"/>
      <c r="AV651" s="50"/>
      <c r="AW651" s="50"/>
      <c r="AX651" s="50"/>
      <c r="AY651" s="50"/>
      <c r="AZ651" s="50"/>
      <c r="BA651" s="50"/>
      <c r="BB651" s="50"/>
      <c r="BC651" s="50"/>
      <c r="BD651" s="50"/>
      <c r="BE651" s="20"/>
      <c r="BF651" s="518"/>
      <c r="BG651" s="484"/>
      <c r="BH651" s="484"/>
      <c r="BI651" s="527"/>
      <c r="BJ651" s="484"/>
      <c r="BK651" s="484"/>
      <c r="BL651" s="484"/>
      <c r="BM651" s="484"/>
    </row>
    <row r="652" spans="1:65" s="22" customFormat="1" x14ac:dyDescent="0.25">
      <c r="A652" s="20"/>
      <c r="B652" s="515"/>
      <c r="C652" s="11"/>
      <c r="D652" s="11"/>
      <c r="E652" s="11"/>
      <c r="F652" s="21"/>
      <c r="G652" s="11"/>
      <c r="H652" s="50"/>
      <c r="I652" s="50"/>
      <c r="J652" s="50"/>
      <c r="K652" s="11"/>
      <c r="L652" s="50"/>
      <c r="M652" s="50"/>
      <c r="N652" s="50"/>
      <c r="O652" s="50"/>
      <c r="P652" s="50"/>
      <c r="Q652" s="11"/>
      <c r="R652" s="50"/>
      <c r="S652" s="50"/>
      <c r="T652" s="50"/>
      <c r="U652" s="11"/>
      <c r="V652" s="50"/>
      <c r="W652" s="50"/>
      <c r="X652" s="50"/>
      <c r="Y652" s="50"/>
      <c r="Z652" s="50"/>
      <c r="AA652" s="11"/>
      <c r="AB652" s="50"/>
      <c r="AC652" s="50"/>
      <c r="AD652" s="50"/>
      <c r="AE652" s="11"/>
      <c r="AF652" s="50"/>
      <c r="AG652" s="50"/>
      <c r="AH652" s="50"/>
      <c r="AI652" s="11"/>
      <c r="AJ652" s="50"/>
      <c r="AK652" s="50"/>
      <c r="AL652" s="50"/>
      <c r="AM652" s="11"/>
      <c r="AN652" s="50"/>
      <c r="AO652" s="50"/>
      <c r="AP652" s="50"/>
      <c r="AQ652" s="11"/>
      <c r="AR652" s="50"/>
      <c r="AS652" s="50"/>
      <c r="AT652" s="50"/>
      <c r="AU652" s="11"/>
      <c r="AV652" s="50"/>
      <c r="AW652" s="50"/>
      <c r="AX652" s="50"/>
      <c r="AY652" s="50"/>
      <c r="AZ652" s="50"/>
      <c r="BA652" s="50"/>
      <c r="BB652" s="50"/>
      <c r="BC652" s="50"/>
      <c r="BD652" s="50"/>
      <c r="BE652" s="20"/>
      <c r="BF652" s="518"/>
      <c r="BG652" s="484"/>
      <c r="BH652" s="484"/>
      <c r="BI652" s="527"/>
      <c r="BJ652" s="484"/>
      <c r="BK652" s="484"/>
      <c r="BL652" s="484"/>
      <c r="BM652" s="484"/>
    </row>
    <row r="653" spans="1:65" s="22" customFormat="1" x14ac:dyDescent="0.25">
      <c r="A653" s="20"/>
      <c r="B653" s="515"/>
      <c r="C653" s="11"/>
      <c r="D653" s="11"/>
      <c r="E653" s="11"/>
      <c r="F653" s="21"/>
      <c r="G653" s="11"/>
      <c r="H653" s="50"/>
      <c r="I653" s="50"/>
      <c r="J653" s="50"/>
      <c r="K653" s="11"/>
      <c r="L653" s="50"/>
      <c r="M653" s="50"/>
      <c r="N653" s="50"/>
      <c r="O653" s="50"/>
      <c r="P653" s="50"/>
      <c r="Q653" s="11"/>
      <c r="R653" s="50"/>
      <c r="S653" s="50"/>
      <c r="T653" s="50"/>
      <c r="U653" s="11"/>
      <c r="V653" s="50"/>
      <c r="W653" s="50"/>
      <c r="X653" s="50"/>
      <c r="Y653" s="50"/>
      <c r="Z653" s="50"/>
      <c r="AA653" s="11"/>
      <c r="AB653" s="50"/>
      <c r="AC653" s="50"/>
      <c r="AD653" s="50"/>
      <c r="AE653" s="11"/>
      <c r="AF653" s="50"/>
      <c r="AG653" s="50"/>
      <c r="AH653" s="50"/>
      <c r="AI653" s="11"/>
      <c r="AJ653" s="50"/>
      <c r="AK653" s="50"/>
      <c r="AL653" s="50"/>
      <c r="AM653" s="11"/>
      <c r="AN653" s="50"/>
      <c r="AO653" s="50"/>
      <c r="AP653" s="50"/>
      <c r="AQ653" s="11"/>
      <c r="AR653" s="50"/>
      <c r="AS653" s="50"/>
      <c r="AT653" s="50"/>
      <c r="AU653" s="11"/>
      <c r="AV653" s="50"/>
      <c r="AW653" s="50"/>
      <c r="AX653" s="50"/>
      <c r="AY653" s="50"/>
      <c r="AZ653" s="50"/>
      <c r="BA653" s="50"/>
      <c r="BB653" s="50"/>
      <c r="BC653" s="50"/>
      <c r="BD653" s="50"/>
      <c r="BE653" s="20"/>
      <c r="BF653" s="518"/>
      <c r="BG653" s="484"/>
      <c r="BH653" s="484"/>
      <c r="BI653" s="527"/>
      <c r="BJ653" s="484"/>
      <c r="BK653" s="484"/>
      <c r="BL653" s="484"/>
      <c r="BM653" s="484"/>
    </row>
    <row r="654" spans="1:65" s="22" customFormat="1" x14ac:dyDescent="0.25">
      <c r="A654" s="20"/>
      <c r="B654" s="515"/>
      <c r="C654" s="11"/>
      <c r="D654" s="11"/>
      <c r="E654" s="11"/>
      <c r="F654" s="21"/>
      <c r="G654" s="11"/>
      <c r="H654" s="50"/>
      <c r="I654" s="50"/>
      <c r="J654" s="50"/>
      <c r="K654" s="11"/>
      <c r="L654" s="50"/>
      <c r="M654" s="50"/>
      <c r="N654" s="50"/>
      <c r="O654" s="50"/>
      <c r="P654" s="50"/>
      <c r="Q654" s="11"/>
      <c r="R654" s="50"/>
      <c r="S654" s="50"/>
      <c r="T654" s="50"/>
      <c r="U654" s="11"/>
      <c r="V654" s="50"/>
      <c r="W654" s="50"/>
      <c r="X654" s="50"/>
      <c r="Y654" s="50"/>
      <c r="Z654" s="50"/>
      <c r="AA654" s="11"/>
      <c r="AB654" s="50"/>
      <c r="AC654" s="50"/>
      <c r="AD654" s="50"/>
      <c r="AE654" s="11"/>
      <c r="AF654" s="50"/>
      <c r="AG654" s="50"/>
      <c r="AH654" s="50"/>
      <c r="AI654" s="11"/>
      <c r="AJ654" s="50"/>
      <c r="AK654" s="50"/>
      <c r="AL654" s="50"/>
      <c r="AM654" s="11"/>
      <c r="AN654" s="50"/>
      <c r="AO654" s="50"/>
      <c r="AP654" s="50"/>
      <c r="AQ654" s="11"/>
      <c r="AR654" s="50"/>
      <c r="AS654" s="50"/>
      <c r="AT654" s="50"/>
      <c r="AU654" s="11"/>
      <c r="AV654" s="50"/>
      <c r="AW654" s="50"/>
      <c r="AX654" s="50"/>
      <c r="AY654" s="50"/>
      <c r="AZ654" s="50"/>
      <c r="BA654" s="50"/>
      <c r="BB654" s="50"/>
      <c r="BC654" s="50"/>
      <c r="BD654" s="50"/>
      <c r="BE654" s="20"/>
      <c r="BF654" s="518"/>
      <c r="BG654" s="484"/>
      <c r="BH654" s="484"/>
      <c r="BI654" s="527"/>
      <c r="BJ654" s="484"/>
      <c r="BK654" s="484"/>
      <c r="BL654" s="484"/>
      <c r="BM654" s="484"/>
    </row>
    <row r="655" spans="1:65" s="22" customFormat="1" x14ac:dyDescent="0.25">
      <c r="A655" s="20"/>
      <c r="B655" s="515"/>
      <c r="C655" s="11"/>
      <c r="D655" s="11"/>
      <c r="E655" s="11"/>
      <c r="F655" s="21"/>
      <c r="G655" s="11"/>
      <c r="H655" s="50"/>
      <c r="I655" s="50"/>
      <c r="J655" s="50"/>
      <c r="K655" s="11"/>
      <c r="L655" s="50"/>
      <c r="M655" s="50"/>
      <c r="N655" s="50"/>
      <c r="O655" s="50"/>
      <c r="P655" s="50"/>
      <c r="Q655" s="11"/>
      <c r="R655" s="50"/>
      <c r="S655" s="50"/>
      <c r="T655" s="50"/>
      <c r="U655" s="11"/>
      <c r="V655" s="50"/>
      <c r="W655" s="50"/>
      <c r="X655" s="50"/>
      <c r="Y655" s="50"/>
      <c r="Z655" s="50"/>
      <c r="AA655" s="11"/>
      <c r="AB655" s="50"/>
      <c r="AC655" s="50"/>
      <c r="AD655" s="50"/>
      <c r="AE655" s="11"/>
      <c r="AF655" s="50"/>
      <c r="AG655" s="50"/>
      <c r="AH655" s="50"/>
      <c r="AI655" s="11"/>
      <c r="AJ655" s="50"/>
      <c r="AK655" s="50"/>
      <c r="AL655" s="50"/>
      <c r="AM655" s="11"/>
      <c r="AN655" s="50"/>
      <c r="AO655" s="50"/>
      <c r="AP655" s="50"/>
      <c r="AQ655" s="11"/>
      <c r="AR655" s="50"/>
      <c r="AS655" s="50"/>
      <c r="AT655" s="50"/>
      <c r="AU655" s="11"/>
      <c r="AV655" s="50"/>
      <c r="AW655" s="50"/>
      <c r="AX655" s="50"/>
      <c r="AY655" s="50"/>
      <c r="AZ655" s="50"/>
      <c r="BA655" s="50"/>
      <c r="BB655" s="50"/>
      <c r="BC655" s="50"/>
      <c r="BD655" s="50"/>
      <c r="BE655" s="20"/>
      <c r="BF655" s="518"/>
      <c r="BG655" s="484"/>
      <c r="BH655" s="484"/>
      <c r="BI655" s="527"/>
      <c r="BJ655" s="484"/>
      <c r="BK655" s="484"/>
      <c r="BL655" s="484"/>
      <c r="BM655" s="484"/>
    </row>
    <row r="656" spans="1:65" s="22" customFormat="1" x14ac:dyDescent="0.25">
      <c r="A656" s="20"/>
      <c r="B656" s="515"/>
      <c r="C656" s="11"/>
      <c r="D656" s="11"/>
      <c r="E656" s="11"/>
      <c r="F656" s="21"/>
      <c r="G656" s="11"/>
      <c r="H656" s="50"/>
      <c r="I656" s="50"/>
      <c r="J656" s="50"/>
      <c r="K656" s="11"/>
      <c r="L656" s="50"/>
      <c r="M656" s="50"/>
      <c r="N656" s="50"/>
      <c r="O656" s="50"/>
      <c r="P656" s="50"/>
      <c r="Q656" s="11"/>
      <c r="R656" s="50"/>
      <c r="S656" s="50"/>
      <c r="T656" s="50"/>
      <c r="U656" s="11"/>
      <c r="V656" s="50"/>
      <c r="W656" s="50"/>
      <c r="X656" s="50"/>
      <c r="Y656" s="50"/>
      <c r="Z656" s="50"/>
      <c r="AA656" s="11"/>
      <c r="AB656" s="50"/>
      <c r="AC656" s="50"/>
      <c r="AD656" s="50"/>
      <c r="AE656" s="11"/>
      <c r="AF656" s="50"/>
      <c r="AG656" s="50"/>
      <c r="AH656" s="50"/>
      <c r="AI656" s="11"/>
      <c r="AJ656" s="50"/>
      <c r="AK656" s="50"/>
      <c r="AL656" s="50"/>
      <c r="AM656" s="11"/>
      <c r="AN656" s="50"/>
      <c r="AO656" s="50"/>
      <c r="AP656" s="50"/>
      <c r="AQ656" s="11"/>
      <c r="AR656" s="50"/>
      <c r="AS656" s="50"/>
      <c r="AT656" s="50"/>
      <c r="AU656" s="11"/>
      <c r="AV656" s="50"/>
      <c r="AW656" s="50"/>
      <c r="AX656" s="50"/>
      <c r="AY656" s="50"/>
      <c r="AZ656" s="50"/>
      <c r="BA656" s="50"/>
      <c r="BB656" s="50"/>
      <c r="BC656" s="50"/>
      <c r="BD656" s="50"/>
      <c r="BE656" s="20"/>
      <c r="BF656" s="518"/>
      <c r="BG656" s="484"/>
      <c r="BH656" s="484"/>
      <c r="BI656" s="527"/>
      <c r="BJ656" s="484"/>
      <c r="BK656" s="484"/>
      <c r="BL656" s="484"/>
      <c r="BM656" s="484"/>
    </row>
    <row r="657" spans="1:65" s="22" customFormat="1" x14ac:dyDescent="0.25">
      <c r="A657" s="20"/>
      <c r="B657" s="515"/>
      <c r="C657" s="11"/>
      <c r="D657" s="11"/>
      <c r="E657" s="11"/>
      <c r="F657" s="21"/>
      <c r="G657" s="11"/>
      <c r="H657" s="50"/>
      <c r="I657" s="50"/>
      <c r="J657" s="50"/>
      <c r="K657" s="11"/>
      <c r="L657" s="50"/>
      <c r="M657" s="50"/>
      <c r="N657" s="50"/>
      <c r="O657" s="50"/>
      <c r="P657" s="50"/>
      <c r="Q657" s="11"/>
      <c r="R657" s="50"/>
      <c r="S657" s="50"/>
      <c r="T657" s="50"/>
      <c r="U657" s="11"/>
      <c r="V657" s="50"/>
      <c r="W657" s="50"/>
      <c r="X657" s="50"/>
      <c r="Y657" s="50"/>
      <c r="Z657" s="50"/>
      <c r="AA657" s="11"/>
      <c r="AB657" s="50"/>
      <c r="AC657" s="50"/>
      <c r="AD657" s="50"/>
      <c r="AE657" s="11"/>
      <c r="AF657" s="50"/>
      <c r="AG657" s="50"/>
      <c r="AH657" s="50"/>
      <c r="AI657" s="11"/>
      <c r="AJ657" s="50"/>
      <c r="AK657" s="50"/>
      <c r="AL657" s="50"/>
      <c r="AM657" s="11"/>
      <c r="AN657" s="50"/>
      <c r="AO657" s="50"/>
      <c r="AP657" s="50"/>
      <c r="AQ657" s="11"/>
      <c r="AR657" s="50"/>
      <c r="AS657" s="50"/>
      <c r="AT657" s="50"/>
      <c r="AU657" s="11"/>
      <c r="AV657" s="50"/>
      <c r="AW657" s="50"/>
      <c r="AX657" s="50"/>
      <c r="AY657" s="50"/>
      <c r="AZ657" s="50"/>
      <c r="BA657" s="50"/>
      <c r="BB657" s="50"/>
      <c r="BC657" s="50"/>
      <c r="BD657" s="50"/>
      <c r="BE657" s="20"/>
      <c r="BF657" s="518"/>
      <c r="BG657" s="484"/>
      <c r="BH657" s="484"/>
      <c r="BI657" s="527"/>
      <c r="BJ657" s="484"/>
      <c r="BK657" s="484"/>
      <c r="BL657" s="484"/>
      <c r="BM657" s="484"/>
    </row>
    <row r="658" spans="1:65" s="22" customFormat="1" x14ac:dyDescent="0.25">
      <c r="A658" s="20"/>
      <c r="B658" s="515"/>
      <c r="C658" s="11"/>
      <c r="D658" s="11"/>
      <c r="E658" s="11"/>
      <c r="F658" s="21"/>
      <c r="G658" s="11"/>
      <c r="H658" s="50"/>
      <c r="I658" s="50"/>
      <c r="J658" s="50"/>
      <c r="K658" s="11"/>
      <c r="L658" s="50"/>
      <c r="M658" s="50"/>
      <c r="N658" s="50"/>
      <c r="O658" s="50"/>
      <c r="P658" s="50"/>
      <c r="Q658" s="11"/>
      <c r="R658" s="50"/>
      <c r="S658" s="50"/>
      <c r="T658" s="50"/>
      <c r="U658" s="11"/>
      <c r="V658" s="50"/>
      <c r="W658" s="50"/>
      <c r="X658" s="50"/>
      <c r="Y658" s="50"/>
      <c r="Z658" s="50"/>
      <c r="AA658" s="11"/>
      <c r="AB658" s="50"/>
      <c r="AC658" s="50"/>
      <c r="AD658" s="50"/>
      <c r="AE658" s="11"/>
      <c r="AF658" s="50"/>
      <c r="AG658" s="50"/>
      <c r="AH658" s="50"/>
      <c r="AI658" s="11"/>
      <c r="AJ658" s="50"/>
      <c r="AK658" s="50"/>
      <c r="AL658" s="50"/>
      <c r="AM658" s="11"/>
      <c r="AN658" s="50"/>
      <c r="AO658" s="50"/>
      <c r="AP658" s="50"/>
      <c r="AQ658" s="11"/>
      <c r="AR658" s="50"/>
      <c r="AS658" s="50"/>
      <c r="AT658" s="50"/>
      <c r="AU658" s="11"/>
      <c r="AV658" s="50"/>
      <c r="AW658" s="50"/>
      <c r="AX658" s="50"/>
      <c r="AY658" s="50"/>
      <c r="AZ658" s="50"/>
      <c r="BA658" s="50"/>
      <c r="BB658" s="50"/>
      <c r="BC658" s="50"/>
      <c r="BD658" s="50"/>
      <c r="BE658" s="20"/>
      <c r="BF658" s="518"/>
      <c r="BG658" s="484"/>
      <c r="BH658" s="484"/>
      <c r="BI658" s="527"/>
      <c r="BJ658" s="484"/>
      <c r="BK658" s="484"/>
      <c r="BL658" s="484"/>
      <c r="BM658" s="484"/>
    </row>
    <row r="659" spans="1:65" s="22" customFormat="1" x14ac:dyDescent="0.25">
      <c r="A659" s="20"/>
      <c r="B659" s="515"/>
      <c r="C659" s="11"/>
      <c r="D659" s="11"/>
      <c r="E659" s="11"/>
      <c r="F659" s="21"/>
      <c r="G659" s="11"/>
      <c r="H659" s="50"/>
      <c r="I659" s="50"/>
      <c r="J659" s="50"/>
      <c r="K659" s="11"/>
      <c r="L659" s="50"/>
      <c r="M659" s="50"/>
      <c r="N659" s="50"/>
      <c r="O659" s="50"/>
      <c r="P659" s="50"/>
      <c r="Q659" s="11"/>
      <c r="R659" s="50"/>
      <c r="S659" s="50"/>
      <c r="T659" s="50"/>
      <c r="U659" s="11"/>
      <c r="V659" s="50"/>
      <c r="W659" s="50"/>
      <c r="X659" s="50"/>
      <c r="Y659" s="50"/>
      <c r="Z659" s="50"/>
      <c r="AA659" s="11"/>
      <c r="AB659" s="50"/>
      <c r="AC659" s="50"/>
      <c r="AD659" s="50"/>
      <c r="AE659" s="11"/>
      <c r="AF659" s="50"/>
      <c r="AG659" s="50"/>
      <c r="AH659" s="50"/>
      <c r="AI659" s="11"/>
      <c r="AJ659" s="50"/>
      <c r="AK659" s="50"/>
      <c r="AL659" s="50"/>
      <c r="AM659" s="11"/>
      <c r="AN659" s="50"/>
      <c r="AO659" s="50"/>
      <c r="AP659" s="50"/>
      <c r="AQ659" s="11"/>
      <c r="AR659" s="50"/>
      <c r="AS659" s="50"/>
      <c r="AT659" s="50"/>
      <c r="AU659" s="11"/>
      <c r="AV659" s="50"/>
      <c r="AW659" s="50"/>
      <c r="AX659" s="50"/>
      <c r="AY659" s="50"/>
      <c r="AZ659" s="50"/>
      <c r="BA659" s="50"/>
      <c r="BB659" s="50"/>
      <c r="BC659" s="50"/>
      <c r="BD659" s="50"/>
      <c r="BE659" s="20"/>
      <c r="BF659" s="518"/>
      <c r="BG659" s="484"/>
      <c r="BH659" s="484"/>
      <c r="BI659" s="527"/>
      <c r="BJ659" s="484"/>
      <c r="BK659" s="484"/>
      <c r="BL659" s="484"/>
      <c r="BM659" s="484"/>
    </row>
    <row r="660" spans="1:65" s="22" customFormat="1" x14ac:dyDescent="0.25">
      <c r="A660" s="20"/>
      <c r="B660" s="515"/>
      <c r="C660" s="11"/>
      <c r="D660" s="11"/>
      <c r="E660" s="11"/>
      <c r="F660" s="21"/>
      <c r="G660" s="11"/>
      <c r="H660" s="50"/>
      <c r="I660" s="50"/>
      <c r="J660" s="50"/>
      <c r="K660" s="11"/>
      <c r="L660" s="50"/>
      <c r="M660" s="50"/>
      <c r="N660" s="50"/>
      <c r="O660" s="50"/>
      <c r="P660" s="50"/>
      <c r="Q660" s="11"/>
      <c r="R660" s="50"/>
      <c r="S660" s="50"/>
      <c r="T660" s="50"/>
      <c r="U660" s="11"/>
      <c r="V660" s="50"/>
      <c r="W660" s="50"/>
      <c r="X660" s="50"/>
      <c r="Y660" s="50"/>
      <c r="Z660" s="50"/>
      <c r="AA660" s="11"/>
      <c r="AB660" s="50"/>
      <c r="AC660" s="50"/>
      <c r="AD660" s="50"/>
      <c r="AE660" s="11"/>
      <c r="AF660" s="50"/>
      <c r="AG660" s="50"/>
      <c r="AH660" s="50"/>
      <c r="AI660" s="11"/>
      <c r="AJ660" s="50"/>
      <c r="AK660" s="50"/>
      <c r="AL660" s="50"/>
      <c r="AM660" s="11"/>
      <c r="AN660" s="50"/>
      <c r="AO660" s="50"/>
      <c r="AP660" s="50"/>
      <c r="AQ660" s="11"/>
      <c r="AR660" s="50"/>
      <c r="AS660" s="50"/>
      <c r="AT660" s="50"/>
      <c r="AU660" s="11"/>
      <c r="AV660" s="50"/>
      <c r="AW660" s="50"/>
      <c r="AX660" s="50"/>
      <c r="AY660" s="50"/>
      <c r="AZ660" s="50"/>
      <c r="BA660" s="50"/>
      <c r="BB660" s="50"/>
      <c r="BC660" s="50"/>
      <c r="BD660" s="50"/>
      <c r="BE660" s="20"/>
      <c r="BF660" s="518"/>
      <c r="BG660" s="484"/>
      <c r="BH660" s="484"/>
      <c r="BI660" s="527"/>
      <c r="BJ660" s="484"/>
      <c r="BK660" s="484"/>
      <c r="BL660" s="484"/>
      <c r="BM660" s="484"/>
    </row>
    <row r="661" spans="1:65" s="22" customFormat="1" x14ac:dyDescent="0.25">
      <c r="A661" s="20"/>
      <c r="B661" s="515"/>
      <c r="C661" s="11"/>
      <c r="D661" s="11"/>
      <c r="E661" s="11"/>
      <c r="F661" s="21"/>
      <c r="G661" s="11"/>
      <c r="H661" s="50"/>
      <c r="I661" s="50"/>
      <c r="J661" s="50"/>
      <c r="K661" s="11"/>
      <c r="L661" s="50"/>
      <c r="M661" s="50"/>
      <c r="N661" s="50"/>
      <c r="O661" s="50"/>
      <c r="P661" s="50"/>
      <c r="Q661" s="11"/>
      <c r="R661" s="50"/>
      <c r="S661" s="50"/>
      <c r="T661" s="50"/>
      <c r="U661" s="11"/>
      <c r="V661" s="50"/>
      <c r="W661" s="50"/>
      <c r="X661" s="50"/>
      <c r="Y661" s="50"/>
      <c r="Z661" s="50"/>
      <c r="AA661" s="11"/>
      <c r="AB661" s="50"/>
      <c r="AC661" s="50"/>
      <c r="AD661" s="50"/>
      <c r="AE661" s="11"/>
      <c r="AF661" s="50"/>
      <c r="AG661" s="50"/>
      <c r="AH661" s="50"/>
      <c r="AI661" s="11"/>
      <c r="AJ661" s="50"/>
      <c r="AK661" s="50"/>
      <c r="AL661" s="50"/>
      <c r="AM661" s="11"/>
      <c r="AN661" s="50"/>
      <c r="AO661" s="50"/>
      <c r="AP661" s="50"/>
      <c r="AQ661" s="11"/>
      <c r="AR661" s="50"/>
      <c r="AS661" s="50"/>
      <c r="AT661" s="50"/>
      <c r="AU661" s="11"/>
      <c r="AV661" s="50"/>
      <c r="AW661" s="50"/>
      <c r="AX661" s="50"/>
      <c r="AY661" s="50"/>
      <c r="AZ661" s="50"/>
      <c r="BA661" s="50"/>
      <c r="BB661" s="50"/>
      <c r="BC661" s="50"/>
      <c r="BD661" s="50"/>
      <c r="BE661" s="20"/>
      <c r="BF661" s="518"/>
      <c r="BG661" s="484"/>
      <c r="BH661" s="484"/>
      <c r="BI661" s="527"/>
      <c r="BJ661" s="484"/>
      <c r="BK661" s="484"/>
      <c r="BL661" s="484"/>
      <c r="BM661" s="484"/>
    </row>
    <row r="662" spans="1:65" s="22" customFormat="1" x14ac:dyDescent="0.25">
      <c r="A662" s="20"/>
      <c r="B662" s="515"/>
      <c r="C662" s="11"/>
      <c r="D662" s="11"/>
      <c r="E662" s="11"/>
      <c r="F662" s="21"/>
      <c r="G662" s="11"/>
      <c r="H662" s="50"/>
      <c r="I662" s="50"/>
      <c r="J662" s="50"/>
      <c r="K662" s="11"/>
      <c r="L662" s="50"/>
      <c r="M662" s="50"/>
      <c r="N662" s="50"/>
      <c r="O662" s="50"/>
      <c r="P662" s="50"/>
      <c r="Q662" s="11"/>
      <c r="R662" s="50"/>
      <c r="S662" s="50"/>
      <c r="T662" s="50"/>
      <c r="U662" s="11"/>
      <c r="V662" s="50"/>
      <c r="W662" s="50"/>
      <c r="X662" s="50"/>
      <c r="Y662" s="50"/>
      <c r="Z662" s="50"/>
      <c r="AA662" s="11"/>
      <c r="AB662" s="50"/>
      <c r="AC662" s="50"/>
      <c r="AD662" s="50"/>
      <c r="AE662" s="11"/>
      <c r="AF662" s="50"/>
      <c r="AG662" s="50"/>
      <c r="AH662" s="50"/>
      <c r="AI662" s="11"/>
      <c r="AJ662" s="50"/>
      <c r="AK662" s="50"/>
      <c r="AL662" s="50"/>
      <c r="AM662" s="11"/>
      <c r="AN662" s="50"/>
      <c r="AO662" s="50"/>
      <c r="AP662" s="50"/>
      <c r="AQ662" s="11"/>
      <c r="AR662" s="50"/>
      <c r="AS662" s="50"/>
      <c r="AT662" s="50"/>
      <c r="AU662" s="11"/>
      <c r="AV662" s="50"/>
      <c r="AW662" s="50"/>
      <c r="AX662" s="50"/>
      <c r="AY662" s="50"/>
      <c r="AZ662" s="50"/>
      <c r="BA662" s="50"/>
      <c r="BB662" s="50"/>
      <c r="BC662" s="50"/>
      <c r="BD662" s="50"/>
      <c r="BE662" s="20"/>
      <c r="BF662" s="518"/>
      <c r="BG662" s="484"/>
      <c r="BH662" s="484"/>
      <c r="BI662" s="527"/>
      <c r="BJ662" s="484"/>
      <c r="BK662" s="484"/>
      <c r="BL662" s="484"/>
      <c r="BM662" s="484"/>
    </row>
    <row r="663" spans="1:65" s="22" customFormat="1" x14ac:dyDescent="0.25">
      <c r="A663" s="20"/>
      <c r="B663" s="515"/>
      <c r="C663" s="11"/>
      <c r="D663" s="11"/>
      <c r="E663" s="11"/>
      <c r="F663" s="21"/>
      <c r="G663" s="11"/>
      <c r="H663" s="50"/>
      <c r="I663" s="50"/>
      <c r="J663" s="50"/>
      <c r="K663" s="11"/>
      <c r="L663" s="50"/>
      <c r="M663" s="50"/>
      <c r="N663" s="50"/>
      <c r="O663" s="50"/>
      <c r="P663" s="50"/>
      <c r="Q663" s="11"/>
      <c r="R663" s="50"/>
      <c r="S663" s="50"/>
      <c r="T663" s="50"/>
      <c r="U663" s="11"/>
      <c r="V663" s="50"/>
      <c r="W663" s="50"/>
      <c r="X663" s="50"/>
      <c r="Y663" s="50"/>
      <c r="Z663" s="50"/>
      <c r="AA663" s="11"/>
      <c r="AB663" s="50"/>
      <c r="AC663" s="50"/>
      <c r="AD663" s="50"/>
      <c r="AE663" s="11"/>
      <c r="AF663" s="50"/>
      <c r="AG663" s="50"/>
      <c r="AH663" s="50"/>
      <c r="AI663" s="11"/>
      <c r="AJ663" s="50"/>
      <c r="AK663" s="50"/>
      <c r="AL663" s="50"/>
      <c r="AM663" s="11"/>
      <c r="AN663" s="50"/>
      <c r="AO663" s="50"/>
      <c r="AP663" s="50"/>
      <c r="AQ663" s="11"/>
      <c r="AR663" s="50"/>
      <c r="AS663" s="50"/>
      <c r="AT663" s="50"/>
      <c r="AU663" s="11"/>
      <c r="AV663" s="50"/>
      <c r="AW663" s="50"/>
      <c r="AX663" s="50"/>
      <c r="AY663" s="50"/>
      <c r="AZ663" s="50"/>
      <c r="BA663" s="50"/>
      <c r="BB663" s="50"/>
      <c r="BC663" s="50"/>
      <c r="BD663" s="50"/>
      <c r="BE663" s="20"/>
      <c r="BF663" s="518"/>
      <c r="BG663" s="484"/>
      <c r="BH663" s="484"/>
      <c r="BI663" s="527"/>
      <c r="BJ663" s="484"/>
      <c r="BK663" s="484"/>
      <c r="BL663" s="484"/>
      <c r="BM663" s="484"/>
    </row>
    <row r="664" spans="1:65" s="22" customFormat="1" x14ac:dyDescent="0.25">
      <c r="A664" s="20"/>
      <c r="B664" s="515"/>
      <c r="C664" s="11"/>
      <c r="D664" s="11"/>
      <c r="E664" s="11"/>
      <c r="F664" s="21"/>
      <c r="G664" s="11"/>
      <c r="H664" s="50"/>
      <c r="I664" s="50"/>
      <c r="J664" s="50"/>
      <c r="K664" s="11"/>
      <c r="L664" s="50"/>
      <c r="M664" s="50"/>
      <c r="N664" s="50"/>
      <c r="O664" s="50"/>
      <c r="P664" s="50"/>
      <c r="Q664" s="11"/>
      <c r="R664" s="50"/>
      <c r="S664" s="50"/>
      <c r="T664" s="50"/>
      <c r="U664" s="11"/>
      <c r="V664" s="50"/>
      <c r="W664" s="50"/>
      <c r="X664" s="50"/>
      <c r="Y664" s="50"/>
      <c r="Z664" s="50"/>
      <c r="AA664" s="11"/>
      <c r="AB664" s="50"/>
      <c r="AC664" s="50"/>
      <c r="AD664" s="50"/>
      <c r="AE664" s="11"/>
      <c r="AF664" s="50"/>
      <c r="AG664" s="50"/>
      <c r="AH664" s="50"/>
      <c r="AI664" s="11"/>
      <c r="AJ664" s="50"/>
      <c r="AK664" s="50"/>
      <c r="AL664" s="50"/>
      <c r="AM664" s="11"/>
      <c r="AN664" s="50"/>
      <c r="AO664" s="50"/>
      <c r="AP664" s="50"/>
      <c r="AQ664" s="11"/>
      <c r="AR664" s="50"/>
      <c r="AS664" s="50"/>
      <c r="AT664" s="50"/>
      <c r="AU664" s="11"/>
      <c r="AV664" s="50"/>
      <c r="AW664" s="50"/>
      <c r="AX664" s="50"/>
      <c r="AY664" s="50"/>
      <c r="AZ664" s="50"/>
      <c r="BA664" s="50"/>
      <c r="BB664" s="50"/>
      <c r="BC664" s="50"/>
      <c r="BD664" s="50"/>
      <c r="BE664" s="20"/>
      <c r="BF664" s="518"/>
      <c r="BG664" s="484"/>
      <c r="BH664" s="484"/>
      <c r="BI664" s="527"/>
      <c r="BJ664" s="484"/>
      <c r="BK664" s="484"/>
      <c r="BL664" s="484"/>
      <c r="BM664" s="484"/>
    </row>
    <row r="665" spans="1:65" s="22" customFormat="1" x14ac:dyDescent="0.25">
      <c r="A665" s="20"/>
      <c r="B665" s="515"/>
      <c r="C665" s="11"/>
      <c r="D665" s="11"/>
      <c r="E665" s="11"/>
      <c r="F665" s="21"/>
      <c r="G665" s="11"/>
      <c r="H665" s="50"/>
      <c r="I665" s="50"/>
      <c r="J665" s="50"/>
      <c r="K665" s="11"/>
      <c r="L665" s="50"/>
      <c r="M665" s="50"/>
      <c r="N665" s="50"/>
      <c r="O665" s="50"/>
      <c r="P665" s="50"/>
      <c r="Q665" s="11"/>
      <c r="R665" s="50"/>
      <c r="S665" s="50"/>
      <c r="T665" s="50"/>
      <c r="U665" s="11"/>
      <c r="V665" s="50"/>
      <c r="W665" s="50"/>
      <c r="X665" s="50"/>
      <c r="Y665" s="50"/>
      <c r="Z665" s="50"/>
      <c r="AA665" s="11"/>
      <c r="AB665" s="50"/>
      <c r="AC665" s="50"/>
      <c r="AD665" s="50"/>
      <c r="AE665" s="11"/>
      <c r="AF665" s="50"/>
      <c r="AG665" s="50"/>
      <c r="AH665" s="50"/>
      <c r="AI665" s="11"/>
      <c r="AJ665" s="50"/>
      <c r="AK665" s="50"/>
      <c r="AL665" s="50"/>
      <c r="AM665" s="11"/>
      <c r="AN665" s="50"/>
      <c r="AO665" s="50"/>
      <c r="AP665" s="50"/>
      <c r="AQ665" s="11"/>
      <c r="AR665" s="50"/>
      <c r="AS665" s="50"/>
      <c r="AT665" s="50"/>
      <c r="AU665" s="11"/>
      <c r="AV665" s="50"/>
      <c r="AW665" s="50"/>
      <c r="AX665" s="50"/>
      <c r="AY665" s="50"/>
      <c r="AZ665" s="50"/>
      <c r="BA665" s="50"/>
      <c r="BB665" s="50"/>
      <c r="BC665" s="50"/>
      <c r="BD665" s="50"/>
      <c r="BE665" s="20"/>
      <c r="BF665" s="518"/>
      <c r="BG665" s="484"/>
      <c r="BH665" s="484"/>
      <c r="BI665" s="527"/>
      <c r="BJ665" s="484"/>
      <c r="BK665" s="484"/>
      <c r="BL665" s="484"/>
      <c r="BM665" s="484"/>
    </row>
    <row r="666" spans="1:65" s="22" customFormat="1" x14ac:dyDescent="0.25">
      <c r="A666" s="20"/>
      <c r="B666" s="515"/>
      <c r="C666" s="11"/>
      <c r="D666" s="11"/>
      <c r="E666" s="11"/>
      <c r="F666" s="21"/>
      <c r="G666" s="11"/>
      <c r="H666" s="50"/>
      <c r="I666" s="50"/>
      <c r="J666" s="50"/>
      <c r="K666" s="11"/>
      <c r="L666" s="50"/>
      <c r="M666" s="50"/>
      <c r="N666" s="50"/>
      <c r="O666" s="50"/>
      <c r="P666" s="50"/>
      <c r="Q666" s="11"/>
      <c r="R666" s="50"/>
      <c r="S666" s="50"/>
      <c r="T666" s="50"/>
      <c r="U666" s="11"/>
      <c r="V666" s="50"/>
      <c r="W666" s="50"/>
      <c r="X666" s="50"/>
      <c r="Y666" s="50"/>
      <c r="Z666" s="50"/>
      <c r="AA666" s="11"/>
      <c r="AB666" s="50"/>
      <c r="AC666" s="50"/>
      <c r="AD666" s="50"/>
      <c r="AE666" s="11"/>
      <c r="AF666" s="50"/>
      <c r="AG666" s="50"/>
      <c r="AH666" s="50"/>
      <c r="AI666" s="11"/>
      <c r="AJ666" s="50"/>
      <c r="AK666" s="50"/>
      <c r="AL666" s="50"/>
      <c r="AM666" s="11"/>
      <c r="AN666" s="50"/>
      <c r="AO666" s="50"/>
      <c r="AP666" s="50"/>
      <c r="AQ666" s="11"/>
      <c r="AR666" s="50"/>
      <c r="AS666" s="50"/>
      <c r="AT666" s="50"/>
      <c r="AU666" s="11"/>
      <c r="AV666" s="50"/>
      <c r="AW666" s="50"/>
      <c r="AX666" s="50"/>
      <c r="AY666" s="50"/>
      <c r="AZ666" s="50"/>
      <c r="BA666" s="50"/>
      <c r="BB666" s="50"/>
      <c r="BC666" s="50"/>
      <c r="BD666" s="50"/>
      <c r="BE666" s="20"/>
      <c r="BF666" s="518"/>
      <c r="BG666" s="484"/>
      <c r="BH666" s="484"/>
      <c r="BI666" s="527"/>
      <c r="BJ666" s="484"/>
      <c r="BK666" s="484"/>
      <c r="BL666" s="484"/>
      <c r="BM666" s="484"/>
    </row>
    <row r="667" spans="1:65" s="22" customFormat="1" x14ac:dyDescent="0.25">
      <c r="A667" s="20"/>
      <c r="B667" s="515"/>
      <c r="C667" s="11"/>
      <c r="D667" s="11"/>
      <c r="E667" s="11"/>
      <c r="F667" s="21"/>
      <c r="G667" s="11"/>
      <c r="H667" s="50"/>
      <c r="I667" s="50"/>
      <c r="J667" s="50"/>
      <c r="K667" s="11"/>
      <c r="L667" s="50"/>
      <c r="M667" s="50"/>
      <c r="N667" s="50"/>
      <c r="O667" s="50"/>
      <c r="P667" s="50"/>
      <c r="Q667" s="11"/>
      <c r="R667" s="50"/>
      <c r="S667" s="50"/>
      <c r="T667" s="50"/>
      <c r="U667" s="11"/>
      <c r="V667" s="50"/>
      <c r="W667" s="50"/>
      <c r="X667" s="50"/>
      <c r="Y667" s="50"/>
      <c r="Z667" s="50"/>
      <c r="AA667" s="11"/>
      <c r="AB667" s="50"/>
      <c r="AC667" s="50"/>
      <c r="AD667" s="50"/>
      <c r="AE667" s="11"/>
      <c r="AF667" s="50"/>
      <c r="AG667" s="50"/>
      <c r="AH667" s="50"/>
      <c r="AI667" s="11"/>
      <c r="AJ667" s="50"/>
      <c r="AK667" s="50"/>
      <c r="AL667" s="50"/>
      <c r="AM667" s="11"/>
      <c r="AN667" s="50"/>
      <c r="AO667" s="50"/>
      <c r="AP667" s="50"/>
      <c r="AQ667" s="11"/>
      <c r="AR667" s="50"/>
      <c r="AS667" s="50"/>
      <c r="AT667" s="50"/>
      <c r="AU667" s="11"/>
      <c r="AV667" s="50"/>
      <c r="AW667" s="50"/>
      <c r="AX667" s="50"/>
      <c r="AY667" s="50"/>
      <c r="AZ667" s="50"/>
      <c r="BA667" s="50"/>
      <c r="BB667" s="50"/>
      <c r="BC667" s="50"/>
      <c r="BD667" s="50"/>
      <c r="BE667" s="20"/>
      <c r="BF667" s="518"/>
      <c r="BG667" s="484"/>
      <c r="BH667" s="484"/>
      <c r="BI667" s="527"/>
      <c r="BJ667" s="484"/>
      <c r="BK667" s="484"/>
      <c r="BL667" s="484"/>
      <c r="BM667" s="484"/>
    </row>
    <row r="668" spans="1:65" s="22" customFormat="1" x14ac:dyDescent="0.25">
      <c r="A668" s="20"/>
      <c r="B668" s="515"/>
      <c r="C668" s="11"/>
      <c r="D668" s="11"/>
      <c r="E668" s="11"/>
      <c r="F668" s="21"/>
      <c r="G668" s="11"/>
      <c r="H668" s="50"/>
      <c r="I668" s="50"/>
      <c r="J668" s="50"/>
      <c r="K668" s="11"/>
      <c r="L668" s="50"/>
      <c r="M668" s="50"/>
      <c r="N668" s="50"/>
      <c r="O668" s="50"/>
      <c r="P668" s="50"/>
      <c r="Q668" s="11"/>
      <c r="R668" s="50"/>
      <c r="S668" s="50"/>
      <c r="T668" s="50"/>
      <c r="U668" s="11"/>
      <c r="V668" s="50"/>
      <c r="W668" s="50"/>
      <c r="X668" s="50"/>
      <c r="Y668" s="50"/>
      <c r="Z668" s="50"/>
      <c r="AA668" s="11"/>
      <c r="AB668" s="50"/>
      <c r="AC668" s="50"/>
      <c r="AD668" s="50"/>
      <c r="AE668" s="11"/>
      <c r="AF668" s="50"/>
      <c r="AG668" s="50"/>
      <c r="AH668" s="50"/>
      <c r="AI668" s="11"/>
      <c r="AJ668" s="50"/>
      <c r="AK668" s="50"/>
      <c r="AL668" s="50"/>
      <c r="AM668" s="11"/>
      <c r="AN668" s="50"/>
      <c r="AO668" s="50"/>
      <c r="AP668" s="50"/>
      <c r="AQ668" s="11"/>
      <c r="AR668" s="50"/>
      <c r="AS668" s="50"/>
      <c r="AT668" s="50"/>
      <c r="AU668" s="11"/>
      <c r="AV668" s="50"/>
      <c r="AW668" s="50"/>
      <c r="AX668" s="50"/>
      <c r="AY668" s="50"/>
      <c r="AZ668" s="50"/>
      <c r="BA668" s="50"/>
      <c r="BB668" s="50"/>
      <c r="BC668" s="50"/>
      <c r="BD668" s="50"/>
      <c r="BE668" s="20"/>
      <c r="BF668" s="518"/>
      <c r="BG668" s="484"/>
      <c r="BH668" s="484"/>
      <c r="BI668" s="527"/>
      <c r="BJ668" s="484"/>
      <c r="BK668" s="484"/>
      <c r="BL668" s="484"/>
      <c r="BM668" s="484"/>
    </row>
    <row r="669" spans="1:65" s="22" customFormat="1" x14ac:dyDescent="0.25">
      <c r="A669" s="20"/>
      <c r="B669" s="515"/>
      <c r="C669" s="11"/>
      <c r="D669" s="11"/>
      <c r="E669" s="11"/>
      <c r="F669" s="21"/>
      <c r="G669" s="11"/>
      <c r="H669" s="50"/>
      <c r="I669" s="50"/>
      <c r="J669" s="50"/>
      <c r="K669" s="11"/>
      <c r="L669" s="50"/>
      <c r="M669" s="50"/>
      <c r="N669" s="50"/>
      <c r="O669" s="50"/>
      <c r="P669" s="50"/>
      <c r="Q669" s="11"/>
      <c r="R669" s="50"/>
      <c r="S669" s="50"/>
      <c r="T669" s="50"/>
      <c r="U669" s="11"/>
      <c r="V669" s="50"/>
      <c r="W669" s="50"/>
      <c r="X669" s="50"/>
      <c r="Y669" s="50"/>
      <c r="Z669" s="50"/>
      <c r="AA669" s="11"/>
      <c r="AB669" s="50"/>
      <c r="AC669" s="50"/>
      <c r="AD669" s="50"/>
      <c r="AE669" s="11"/>
      <c r="AF669" s="50"/>
      <c r="AG669" s="50"/>
      <c r="AH669" s="50"/>
      <c r="AI669" s="11"/>
      <c r="AJ669" s="50"/>
      <c r="AK669" s="50"/>
      <c r="AL669" s="50"/>
      <c r="AM669" s="11"/>
      <c r="AN669" s="50"/>
      <c r="AO669" s="50"/>
      <c r="AP669" s="50"/>
      <c r="AQ669" s="11"/>
      <c r="AR669" s="50"/>
      <c r="AS669" s="50"/>
      <c r="AT669" s="50"/>
      <c r="AU669" s="11"/>
      <c r="AV669" s="50"/>
      <c r="AW669" s="50"/>
      <c r="AX669" s="50"/>
      <c r="AY669" s="50"/>
      <c r="AZ669" s="50"/>
      <c r="BA669" s="50"/>
      <c r="BB669" s="50"/>
      <c r="BC669" s="50"/>
      <c r="BD669" s="50"/>
      <c r="BE669" s="20"/>
      <c r="BF669" s="518"/>
      <c r="BG669" s="484"/>
      <c r="BH669" s="484"/>
      <c r="BI669" s="527"/>
      <c r="BJ669" s="484"/>
      <c r="BK669" s="484"/>
      <c r="BL669" s="484"/>
      <c r="BM669" s="484"/>
    </row>
    <row r="670" spans="1:65" s="22" customFormat="1" x14ac:dyDescent="0.25">
      <c r="A670" s="20"/>
      <c r="B670" s="515"/>
      <c r="C670" s="11"/>
      <c r="D670" s="11"/>
      <c r="E670" s="11"/>
      <c r="F670" s="21"/>
      <c r="G670" s="11"/>
      <c r="H670" s="50"/>
      <c r="I670" s="50"/>
      <c r="J670" s="50"/>
      <c r="K670" s="11"/>
      <c r="L670" s="50"/>
      <c r="M670" s="50"/>
      <c r="N670" s="50"/>
      <c r="O670" s="50"/>
      <c r="P670" s="50"/>
      <c r="Q670" s="11"/>
      <c r="R670" s="50"/>
      <c r="S670" s="50"/>
      <c r="T670" s="50"/>
      <c r="U670" s="11"/>
      <c r="V670" s="50"/>
      <c r="W670" s="50"/>
      <c r="X670" s="50"/>
      <c r="Y670" s="50"/>
      <c r="Z670" s="50"/>
      <c r="AA670" s="11"/>
      <c r="AB670" s="50"/>
      <c r="AC670" s="50"/>
      <c r="AD670" s="50"/>
      <c r="AE670" s="11"/>
      <c r="AF670" s="50"/>
      <c r="AG670" s="50"/>
      <c r="AH670" s="50"/>
      <c r="AI670" s="11"/>
      <c r="AJ670" s="50"/>
      <c r="AK670" s="50"/>
      <c r="AL670" s="50"/>
      <c r="AM670" s="11"/>
      <c r="AN670" s="50"/>
      <c r="AO670" s="50"/>
      <c r="AP670" s="50"/>
      <c r="AQ670" s="11"/>
      <c r="AR670" s="50"/>
      <c r="AS670" s="50"/>
      <c r="AT670" s="50"/>
      <c r="AU670" s="11"/>
      <c r="AV670" s="50"/>
      <c r="AW670" s="50"/>
      <c r="AX670" s="50"/>
      <c r="AY670" s="50"/>
      <c r="AZ670" s="50"/>
      <c r="BA670" s="50"/>
      <c r="BB670" s="50"/>
      <c r="BC670" s="50"/>
      <c r="BD670" s="50"/>
      <c r="BE670" s="20"/>
      <c r="BF670" s="518"/>
      <c r="BG670" s="484"/>
      <c r="BH670" s="484"/>
      <c r="BI670" s="527"/>
      <c r="BJ670" s="484"/>
      <c r="BK670" s="484"/>
      <c r="BL670" s="484"/>
      <c r="BM670" s="484"/>
    </row>
    <row r="671" spans="1:65" s="22" customFormat="1" x14ac:dyDescent="0.25">
      <c r="A671" s="20"/>
      <c r="B671" s="515"/>
      <c r="C671" s="11"/>
      <c r="D671" s="11"/>
      <c r="E671" s="11"/>
      <c r="F671" s="21"/>
      <c r="G671" s="11"/>
      <c r="H671" s="50"/>
      <c r="I671" s="50"/>
      <c r="J671" s="50"/>
      <c r="K671" s="11"/>
      <c r="L671" s="50"/>
      <c r="M671" s="50"/>
      <c r="N671" s="50"/>
      <c r="O671" s="50"/>
      <c r="P671" s="50"/>
      <c r="Q671" s="11"/>
      <c r="R671" s="50"/>
      <c r="S671" s="50"/>
      <c r="T671" s="50"/>
      <c r="U671" s="11"/>
      <c r="V671" s="50"/>
      <c r="W671" s="50"/>
      <c r="X671" s="50"/>
      <c r="Y671" s="50"/>
      <c r="Z671" s="50"/>
      <c r="AA671" s="11"/>
      <c r="AB671" s="50"/>
      <c r="AC671" s="50"/>
      <c r="AD671" s="50"/>
      <c r="AE671" s="11"/>
      <c r="AF671" s="50"/>
      <c r="AG671" s="50"/>
      <c r="AH671" s="50"/>
      <c r="AI671" s="11"/>
      <c r="AJ671" s="50"/>
      <c r="AK671" s="50"/>
      <c r="AL671" s="50"/>
      <c r="AM671" s="11"/>
      <c r="AN671" s="50"/>
      <c r="AO671" s="50"/>
      <c r="AP671" s="50"/>
      <c r="AQ671" s="11"/>
      <c r="AR671" s="50"/>
      <c r="AS671" s="50"/>
      <c r="AT671" s="50"/>
      <c r="AU671" s="11"/>
      <c r="AV671" s="50"/>
      <c r="AW671" s="50"/>
      <c r="AX671" s="50"/>
      <c r="AY671" s="50"/>
      <c r="AZ671" s="50"/>
      <c r="BA671" s="50"/>
      <c r="BB671" s="50"/>
      <c r="BC671" s="50"/>
      <c r="BD671" s="50"/>
      <c r="BE671" s="20"/>
      <c r="BF671" s="518"/>
      <c r="BG671" s="484"/>
      <c r="BH671" s="484"/>
      <c r="BI671" s="527"/>
      <c r="BJ671" s="484"/>
      <c r="BK671" s="484"/>
      <c r="BL671" s="484"/>
      <c r="BM671" s="484"/>
    </row>
    <row r="672" spans="1:65" s="22" customFormat="1" x14ac:dyDescent="0.25">
      <c r="A672" s="20"/>
      <c r="B672" s="515"/>
      <c r="C672" s="11"/>
      <c r="D672" s="11"/>
      <c r="E672" s="11"/>
      <c r="F672" s="21"/>
      <c r="G672" s="11"/>
      <c r="H672" s="50"/>
      <c r="I672" s="50"/>
      <c r="J672" s="50"/>
      <c r="K672" s="11"/>
      <c r="L672" s="50"/>
      <c r="M672" s="50"/>
      <c r="N672" s="50"/>
      <c r="O672" s="50"/>
      <c r="P672" s="50"/>
      <c r="Q672" s="11"/>
      <c r="R672" s="50"/>
      <c r="S672" s="50"/>
      <c r="T672" s="50"/>
      <c r="U672" s="11"/>
      <c r="V672" s="50"/>
      <c r="W672" s="50"/>
      <c r="X672" s="50"/>
      <c r="Y672" s="50"/>
      <c r="Z672" s="50"/>
      <c r="AA672" s="11"/>
      <c r="AB672" s="50"/>
      <c r="AC672" s="50"/>
      <c r="AD672" s="50"/>
      <c r="AE672" s="11"/>
      <c r="AF672" s="50"/>
      <c r="AG672" s="50"/>
      <c r="AH672" s="50"/>
      <c r="AI672" s="11"/>
      <c r="AJ672" s="50"/>
      <c r="AK672" s="50"/>
      <c r="AL672" s="50"/>
      <c r="AM672" s="11"/>
      <c r="AN672" s="50"/>
      <c r="AO672" s="50"/>
      <c r="AP672" s="50"/>
      <c r="AQ672" s="11"/>
      <c r="AR672" s="50"/>
      <c r="AS672" s="50"/>
      <c r="AT672" s="50"/>
      <c r="AU672" s="11"/>
      <c r="AV672" s="50"/>
      <c r="AW672" s="50"/>
      <c r="AX672" s="50"/>
      <c r="AY672" s="50"/>
      <c r="AZ672" s="50"/>
      <c r="BA672" s="50"/>
      <c r="BB672" s="50"/>
      <c r="BC672" s="50"/>
      <c r="BD672" s="50"/>
      <c r="BE672" s="20"/>
      <c r="BF672" s="518"/>
      <c r="BG672" s="484"/>
      <c r="BH672" s="484"/>
      <c r="BI672" s="527"/>
      <c r="BJ672" s="484"/>
      <c r="BK672" s="484"/>
      <c r="BL672" s="484"/>
      <c r="BM672" s="484"/>
    </row>
    <row r="673" spans="1:65" s="22" customFormat="1" x14ac:dyDescent="0.25">
      <c r="A673" s="20"/>
      <c r="B673" s="515"/>
      <c r="C673" s="11"/>
      <c r="D673" s="11"/>
      <c r="E673" s="11"/>
      <c r="F673" s="21"/>
      <c r="G673" s="11"/>
      <c r="H673" s="50"/>
      <c r="I673" s="50"/>
      <c r="J673" s="50"/>
      <c r="K673" s="11"/>
      <c r="L673" s="50"/>
      <c r="M673" s="50"/>
      <c r="N673" s="50"/>
      <c r="O673" s="50"/>
      <c r="P673" s="50"/>
      <c r="Q673" s="11"/>
      <c r="R673" s="50"/>
      <c r="S673" s="50"/>
      <c r="T673" s="50"/>
      <c r="U673" s="11"/>
      <c r="V673" s="50"/>
      <c r="W673" s="50"/>
      <c r="X673" s="50"/>
      <c r="Y673" s="50"/>
      <c r="Z673" s="50"/>
      <c r="AA673" s="11"/>
      <c r="AB673" s="50"/>
      <c r="AC673" s="50"/>
      <c r="AD673" s="50"/>
      <c r="AE673" s="11"/>
      <c r="AF673" s="50"/>
      <c r="AG673" s="50"/>
      <c r="AH673" s="50"/>
      <c r="AI673" s="11"/>
      <c r="AJ673" s="50"/>
      <c r="AK673" s="50"/>
      <c r="AL673" s="50"/>
      <c r="AM673" s="11"/>
      <c r="AN673" s="50"/>
      <c r="AO673" s="50"/>
      <c r="AP673" s="50"/>
      <c r="AQ673" s="11"/>
      <c r="AR673" s="50"/>
      <c r="AS673" s="50"/>
      <c r="AT673" s="50"/>
      <c r="AU673" s="11"/>
      <c r="AV673" s="50"/>
      <c r="AW673" s="50"/>
      <c r="AX673" s="50"/>
      <c r="AY673" s="50"/>
      <c r="AZ673" s="50"/>
      <c r="BA673" s="50"/>
      <c r="BB673" s="50"/>
      <c r="BC673" s="50"/>
      <c r="BD673" s="50"/>
      <c r="BE673" s="20"/>
      <c r="BF673" s="518"/>
      <c r="BG673" s="484"/>
      <c r="BH673" s="484"/>
      <c r="BI673" s="527"/>
      <c r="BJ673" s="484"/>
      <c r="BK673" s="484"/>
      <c r="BL673" s="484"/>
      <c r="BM673" s="484"/>
    </row>
    <row r="674" spans="1:65" s="22" customFormat="1" x14ac:dyDescent="0.25">
      <c r="A674" s="20"/>
      <c r="B674" s="515"/>
      <c r="C674" s="11"/>
      <c r="D674" s="11"/>
      <c r="E674" s="11"/>
      <c r="F674" s="21"/>
      <c r="G674" s="11"/>
      <c r="H674" s="50"/>
      <c r="I674" s="50"/>
      <c r="J674" s="50"/>
      <c r="K674" s="11"/>
      <c r="L674" s="50"/>
      <c r="M674" s="50"/>
      <c r="N674" s="50"/>
      <c r="O674" s="50"/>
      <c r="P674" s="50"/>
      <c r="Q674" s="11"/>
      <c r="R674" s="50"/>
      <c r="S674" s="50"/>
      <c r="T674" s="50"/>
      <c r="U674" s="11"/>
      <c r="V674" s="50"/>
      <c r="W674" s="50"/>
      <c r="X674" s="50"/>
      <c r="Y674" s="50"/>
      <c r="Z674" s="50"/>
      <c r="AA674" s="11"/>
      <c r="AB674" s="50"/>
      <c r="AC674" s="50"/>
      <c r="AD674" s="50"/>
      <c r="AE674" s="11"/>
      <c r="AF674" s="50"/>
      <c r="AG674" s="50"/>
      <c r="AH674" s="50"/>
      <c r="AI674" s="11"/>
      <c r="AJ674" s="50"/>
      <c r="AK674" s="50"/>
      <c r="AL674" s="50"/>
      <c r="AM674" s="11"/>
      <c r="AN674" s="50"/>
      <c r="AO674" s="50"/>
      <c r="AP674" s="50"/>
      <c r="AQ674" s="11"/>
      <c r="AR674" s="50"/>
      <c r="AS674" s="50"/>
      <c r="AT674" s="50"/>
      <c r="AU674" s="11"/>
      <c r="AV674" s="50"/>
      <c r="AW674" s="50"/>
      <c r="AX674" s="50"/>
      <c r="AY674" s="50"/>
      <c r="AZ674" s="50"/>
      <c r="BA674" s="50"/>
      <c r="BB674" s="50"/>
      <c r="BC674" s="50"/>
      <c r="BD674" s="50"/>
      <c r="BE674" s="20"/>
      <c r="BF674" s="518"/>
      <c r="BG674" s="484"/>
      <c r="BH674" s="484"/>
      <c r="BI674" s="527"/>
      <c r="BJ674" s="484"/>
      <c r="BK674" s="484"/>
      <c r="BL674" s="484"/>
      <c r="BM674" s="484"/>
    </row>
    <row r="675" spans="1:65" s="22" customFormat="1" x14ac:dyDescent="0.25">
      <c r="A675" s="20"/>
      <c r="B675" s="515"/>
      <c r="C675" s="11"/>
      <c r="D675" s="11"/>
      <c r="E675" s="11"/>
      <c r="F675" s="21"/>
      <c r="G675" s="11"/>
      <c r="H675" s="50"/>
      <c r="I675" s="50"/>
      <c r="J675" s="50"/>
      <c r="K675" s="11"/>
      <c r="L675" s="50"/>
      <c r="M675" s="50"/>
      <c r="N675" s="50"/>
      <c r="O675" s="50"/>
      <c r="P675" s="50"/>
      <c r="Q675" s="11"/>
      <c r="R675" s="50"/>
      <c r="S675" s="50"/>
      <c r="T675" s="50"/>
      <c r="U675" s="11"/>
      <c r="V675" s="50"/>
      <c r="W675" s="50"/>
      <c r="X675" s="50"/>
      <c r="Y675" s="50"/>
      <c r="Z675" s="50"/>
      <c r="AA675" s="11"/>
      <c r="AB675" s="50"/>
      <c r="AC675" s="50"/>
      <c r="AD675" s="50"/>
      <c r="AE675" s="11"/>
      <c r="AF675" s="50"/>
      <c r="AG675" s="50"/>
      <c r="AH675" s="50"/>
      <c r="AI675" s="11"/>
      <c r="AJ675" s="50"/>
      <c r="AK675" s="50"/>
      <c r="AL675" s="50"/>
      <c r="AM675" s="11"/>
      <c r="AN675" s="50"/>
      <c r="AO675" s="50"/>
      <c r="AP675" s="50"/>
      <c r="AQ675" s="11"/>
      <c r="AR675" s="50"/>
      <c r="AS675" s="50"/>
      <c r="AT675" s="50"/>
      <c r="AU675" s="11"/>
      <c r="AV675" s="50"/>
      <c r="AW675" s="50"/>
      <c r="AX675" s="50"/>
      <c r="AY675" s="50"/>
      <c r="AZ675" s="50"/>
      <c r="BA675" s="50"/>
      <c r="BB675" s="50"/>
      <c r="BC675" s="50"/>
      <c r="BD675" s="50"/>
      <c r="BE675" s="20"/>
      <c r="BF675" s="518"/>
      <c r="BG675" s="484"/>
      <c r="BH675" s="484"/>
      <c r="BI675" s="527"/>
      <c r="BJ675" s="484"/>
      <c r="BK675" s="484"/>
      <c r="BL675" s="484"/>
      <c r="BM675" s="484"/>
    </row>
    <row r="676" spans="1:65" s="22" customFormat="1" x14ac:dyDescent="0.25">
      <c r="A676" s="20"/>
      <c r="B676" s="515"/>
      <c r="C676" s="11"/>
      <c r="D676" s="11"/>
      <c r="E676" s="11"/>
      <c r="F676" s="21"/>
      <c r="G676" s="11"/>
      <c r="H676" s="50"/>
      <c r="I676" s="50"/>
      <c r="J676" s="50"/>
      <c r="K676" s="11"/>
      <c r="L676" s="50"/>
      <c r="M676" s="50"/>
      <c r="N676" s="50"/>
      <c r="O676" s="50"/>
      <c r="P676" s="50"/>
      <c r="Q676" s="11"/>
      <c r="R676" s="50"/>
      <c r="S676" s="50"/>
      <c r="T676" s="50"/>
      <c r="U676" s="11"/>
      <c r="V676" s="50"/>
      <c r="W676" s="50"/>
      <c r="X676" s="50"/>
      <c r="Y676" s="50"/>
      <c r="Z676" s="50"/>
      <c r="AA676" s="11"/>
      <c r="AB676" s="50"/>
      <c r="AC676" s="50"/>
      <c r="AD676" s="50"/>
      <c r="AE676" s="11"/>
      <c r="AF676" s="50"/>
      <c r="AG676" s="50"/>
      <c r="AH676" s="50"/>
      <c r="AI676" s="11"/>
      <c r="AJ676" s="50"/>
      <c r="AK676" s="50"/>
      <c r="AL676" s="50"/>
      <c r="AM676" s="11"/>
      <c r="AN676" s="50"/>
      <c r="AO676" s="50"/>
      <c r="AP676" s="50"/>
      <c r="AQ676" s="11"/>
      <c r="AR676" s="50"/>
      <c r="AS676" s="50"/>
      <c r="AT676" s="50"/>
      <c r="AU676" s="11"/>
      <c r="AV676" s="50"/>
      <c r="AW676" s="50"/>
      <c r="AX676" s="50"/>
      <c r="AY676" s="50"/>
      <c r="AZ676" s="50"/>
      <c r="BA676" s="50"/>
      <c r="BB676" s="50"/>
      <c r="BC676" s="50"/>
      <c r="BD676" s="50"/>
      <c r="BE676" s="20"/>
      <c r="BF676" s="518"/>
      <c r="BG676" s="484"/>
      <c r="BH676" s="484"/>
      <c r="BI676" s="527"/>
      <c r="BJ676" s="484"/>
      <c r="BK676" s="484"/>
      <c r="BL676" s="484"/>
      <c r="BM676" s="484"/>
    </row>
    <row r="677" spans="1:65" s="22" customFormat="1" x14ac:dyDescent="0.25">
      <c r="A677" s="20"/>
      <c r="B677" s="515"/>
      <c r="C677" s="11"/>
      <c r="D677" s="11"/>
      <c r="E677" s="11"/>
      <c r="F677" s="21"/>
      <c r="G677" s="11"/>
      <c r="H677" s="50"/>
      <c r="I677" s="50"/>
      <c r="J677" s="50"/>
      <c r="K677" s="11"/>
      <c r="L677" s="50"/>
      <c r="M677" s="50"/>
      <c r="N677" s="50"/>
      <c r="O677" s="50"/>
      <c r="P677" s="50"/>
      <c r="Q677" s="11"/>
      <c r="R677" s="50"/>
      <c r="S677" s="50"/>
      <c r="T677" s="50"/>
      <c r="U677" s="11"/>
      <c r="V677" s="50"/>
      <c r="W677" s="50"/>
      <c r="X677" s="50"/>
      <c r="Y677" s="50"/>
      <c r="Z677" s="50"/>
      <c r="AA677" s="11"/>
      <c r="AB677" s="50"/>
      <c r="AC677" s="50"/>
      <c r="AD677" s="50"/>
      <c r="AE677" s="11"/>
      <c r="AF677" s="50"/>
      <c r="AG677" s="50"/>
      <c r="AH677" s="50"/>
      <c r="AI677" s="11"/>
      <c r="AJ677" s="50"/>
      <c r="AK677" s="50"/>
      <c r="AL677" s="50"/>
      <c r="AM677" s="11"/>
      <c r="AN677" s="50"/>
      <c r="AO677" s="50"/>
      <c r="AP677" s="50"/>
      <c r="AQ677" s="11"/>
      <c r="AR677" s="50"/>
      <c r="AS677" s="50"/>
      <c r="AT677" s="50"/>
      <c r="AU677" s="11"/>
      <c r="AV677" s="50"/>
      <c r="AW677" s="50"/>
      <c r="AX677" s="50"/>
      <c r="AY677" s="50"/>
      <c r="AZ677" s="50"/>
      <c r="BA677" s="50"/>
      <c r="BB677" s="50"/>
      <c r="BC677" s="50"/>
      <c r="BD677" s="50"/>
      <c r="BE677" s="20"/>
      <c r="BF677" s="518"/>
      <c r="BG677" s="484"/>
      <c r="BH677" s="484"/>
      <c r="BI677" s="527"/>
      <c r="BJ677" s="484"/>
      <c r="BK677" s="484"/>
      <c r="BL677" s="484"/>
      <c r="BM677" s="484"/>
    </row>
    <row r="678" spans="1:65" s="22" customFormat="1" x14ac:dyDescent="0.25">
      <c r="A678" s="20"/>
      <c r="B678" s="515"/>
      <c r="C678" s="11"/>
      <c r="D678" s="11"/>
      <c r="E678" s="11"/>
      <c r="F678" s="21"/>
      <c r="G678" s="11"/>
      <c r="H678" s="50"/>
      <c r="I678" s="50"/>
      <c r="J678" s="50"/>
      <c r="K678" s="11"/>
      <c r="L678" s="50"/>
      <c r="M678" s="50"/>
      <c r="N678" s="50"/>
      <c r="O678" s="50"/>
      <c r="P678" s="50"/>
      <c r="Q678" s="11"/>
      <c r="R678" s="50"/>
      <c r="S678" s="50"/>
      <c r="T678" s="50"/>
      <c r="U678" s="11"/>
      <c r="V678" s="50"/>
      <c r="W678" s="50"/>
      <c r="X678" s="50"/>
      <c r="Y678" s="50"/>
      <c r="Z678" s="50"/>
      <c r="AA678" s="11"/>
      <c r="AB678" s="50"/>
      <c r="AC678" s="50"/>
      <c r="AD678" s="50"/>
      <c r="AE678" s="11"/>
      <c r="AF678" s="50"/>
      <c r="AG678" s="50"/>
      <c r="AH678" s="50"/>
      <c r="AI678" s="11"/>
      <c r="AJ678" s="50"/>
      <c r="AK678" s="50"/>
      <c r="AL678" s="50"/>
      <c r="AM678" s="11"/>
      <c r="AN678" s="50"/>
      <c r="AO678" s="50"/>
      <c r="AP678" s="50"/>
      <c r="AQ678" s="11"/>
      <c r="AR678" s="50"/>
      <c r="AS678" s="50"/>
      <c r="AT678" s="50"/>
      <c r="AU678" s="11"/>
      <c r="AV678" s="50"/>
      <c r="AW678" s="50"/>
      <c r="AX678" s="50"/>
      <c r="AY678" s="50"/>
      <c r="AZ678" s="50"/>
      <c r="BA678" s="50"/>
      <c r="BB678" s="50"/>
      <c r="BC678" s="50"/>
      <c r="BD678" s="50"/>
      <c r="BE678" s="20"/>
      <c r="BF678" s="518"/>
      <c r="BG678" s="484"/>
      <c r="BH678" s="484"/>
      <c r="BI678" s="527"/>
      <c r="BJ678" s="484"/>
      <c r="BK678" s="484"/>
      <c r="BL678" s="484"/>
      <c r="BM678" s="484"/>
    </row>
    <row r="679" spans="1:65" s="22" customFormat="1" x14ac:dyDescent="0.25">
      <c r="A679" s="20"/>
      <c r="B679" s="515"/>
      <c r="C679" s="11"/>
      <c r="D679" s="11"/>
      <c r="E679" s="11"/>
      <c r="F679" s="21"/>
      <c r="G679" s="11"/>
      <c r="H679" s="50"/>
      <c r="I679" s="50"/>
      <c r="J679" s="50"/>
      <c r="K679" s="11"/>
      <c r="L679" s="50"/>
      <c r="M679" s="50"/>
      <c r="N679" s="50"/>
      <c r="O679" s="50"/>
      <c r="P679" s="50"/>
      <c r="Q679" s="11"/>
      <c r="R679" s="50"/>
      <c r="S679" s="50"/>
      <c r="T679" s="50"/>
      <c r="U679" s="11"/>
      <c r="V679" s="50"/>
      <c r="W679" s="50"/>
      <c r="X679" s="50"/>
      <c r="Y679" s="50"/>
      <c r="Z679" s="50"/>
      <c r="AA679" s="11"/>
      <c r="AB679" s="50"/>
      <c r="AC679" s="50"/>
      <c r="AD679" s="50"/>
      <c r="AE679" s="11"/>
      <c r="AF679" s="50"/>
      <c r="AG679" s="50"/>
      <c r="AH679" s="50"/>
      <c r="AI679" s="11"/>
      <c r="AJ679" s="50"/>
      <c r="AK679" s="50"/>
      <c r="AL679" s="50"/>
      <c r="AM679" s="11"/>
      <c r="AN679" s="50"/>
      <c r="AO679" s="50"/>
      <c r="AP679" s="50"/>
      <c r="AQ679" s="11"/>
      <c r="AR679" s="50"/>
      <c r="AS679" s="50"/>
      <c r="AT679" s="50"/>
      <c r="AU679" s="11"/>
      <c r="AV679" s="50"/>
      <c r="AW679" s="50"/>
      <c r="AX679" s="50"/>
      <c r="AY679" s="50"/>
      <c r="AZ679" s="50"/>
      <c r="BA679" s="50"/>
      <c r="BB679" s="50"/>
      <c r="BC679" s="50"/>
      <c r="BD679" s="50"/>
      <c r="BE679" s="20"/>
      <c r="BF679" s="518"/>
      <c r="BG679" s="484"/>
      <c r="BH679" s="484"/>
      <c r="BI679" s="527"/>
      <c r="BJ679" s="484"/>
      <c r="BK679" s="484"/>
      <c r="BL679" s="484"/>
      <c r="BM679" s="484"/>
    </row>
    <row r="680" spans="1:65" s="22" customFormat="1" x14ac:dyDescent="0.25">
      <c r="A680" s="20"/>
      <c r="B680" s="515"/>
      <c r="C680" s="11"/>
      <c r="D680" s="11"/>
      <c r="E680" s="11"/>
      <c r="F680" s="21"/>
      <c r="G680" s="11"/>
      <c r="H680" s="50"/>
      <c r="I680" s="50"/>
      <c r="J680" s="50"/>
      <c r="K680" s="11"/>
      <c r="L680" s="50"/>
      <c r="M680" s="50"/>
      <c r="N680" s="50"/>
      <c r="O680" s="50"/>
      <c r="P680" s="50"/>
      <c r="Q680" s="11"/>
      <c r="R680" s="50"/>
      <c r="S680" s="50"/>
      <c r="T680" s="50"/>
      <c r="U680" s="11"/>
      <c r="V680" s="50"/>
      <c r="W680" s="50"/>
      <c r="X680" s="50"/>
      <c r="Y680" s="50"/>
      <c r="Z680" s="50"/>
      <c r="AA680" s="11"/>
      <c r="AB680" s="50"/>
      <c r="AC680" s="50"/>
      <c r="AD680" s="50"/>
      <c r="AE680" s="11"/>
      <c r="AF680" s="50"/>
      <c r="AG680" s="50"/>
      <c r="AH680" s="50"/>
      <c r="AI680" s="11"/>
      <c r="AJ680" s="50"/>
      <c r="AK680" s="50"/>
      <c r="AL680" s="50"/>
      <c r="AM680" s="11"/>
      <c r="AN680" s="50"/>
      <c r="AO680" s="50"/>
      <c r="AP680" s="50"/>
      <c r="AQ680" s="11"/>
      <c r="AR680" s="50"/>
      <c r="AS680" s="50"/>
      <c r="AT680" s="50"/>
      <c r="AU680" s="11"/>
      <c r="AV680" s="50"/>
      <c r="AW680" s="50"/>
      <c r="AX680" s="50"/>
      <c r="AY680" s="50"/>
      <c r="AZ680" s="50"/>
      <c r="BA680" s="50"/>
      <c r="BB680" s="50"/>
      <c r="BC680" s="50"/>
      <c r="BD680" s="50"/>
      <c r="BE680" s="20"/>
      <c r="BF680" s="518"/>
      <c r="BG680" s="484"/>
      <c r="BH680" s="484"/>
      <c r="BI680" s="527"/>
      <c r="BJ680" s="484"/>
      <c r="BK680" s="484"/>
      <c r="BL680" s="484"/>
      <c r="BM680" s="484"/>
    </row>
    <row r="681" spans="1:65" s="22" customFormat="1" x14ac:dyDescent="0.25">
      <c r="A681" s="20"/>
      <c r="B681" s="515"/>
      <c r="C681" s="11"/>
      <c r="D681" s="11"/>
      <c r="E681" s="11"/>
      <c r="F681" s="21"/>
      <c r="G681" s="11"/>
      <c r="H681" s="50"/>
      <c r="I681" s="50"/>
      <c r="J681" s="50"/>
      <c r="K681" s="11"/>
      <c r="L681" s="50"/>
      <c r="M681" s="50"/>
      <c r="N681" s="50"/>
      <c r="O681" s="50"/>
      <c r="P681" s="50"/>
      <c r="Q681" s="11"/>
      <c r="R681" s="50"/>
      <c r="S681" s="50"/>
      <c r="T681" s="50"/>
      <c r="U681" s="11"/>
      <c r="V681" s="50"/>
      <c r="W681" s="50"/>
      <c r="X681" s="50"/>
      <c r="Y681" s="50"/>
      <c r="Z681" s="50"/>
      <c r="AA681" s="11"/>
      <c r="AB681" s="50"/>
      <c r="AC681" s="50"/>
      <c r="AD681" s="50"/>
      <c r="AE681" s="11"/>
      <c r="AF681" s="50"/>
      <c r="AG681" s="50"/>
      <c r="AH681" s="50"/>
      <c r="AI681" s="11"/>
      <c r="AJ681" s="50"/>
      <c r="AK681" s="50"/>
      <c r="AL681" s="50"/>
      <c r="AM681" s="11"/>
      <c r="AN681" s="50"/>
      <c r="AO681" s="50"/>
      <c r="AP681" s="50"/>
      <c r="AQ681" s="11"/>
      <c r="AR681" s="50"/>
      <c r="AS681" s="50"/>
      <c r="AT681" s="50"/>
      <c r="AU681" s="11"/>
      <c r="AV681" s="50"/>
      <c r="AW681" s="50"/>
      <c r="AX681" s="50"/>
      <c r="AY681" s="50"/>
      <c r="AZ681" s="50"/>
      <c r="BA681" s="50"/>
      <c r="BB681" s="50"/>
      <c r="BC681" s="50"/>
      <c r="BD681" s="50"/>
      <c r="BE681" s="20"/>
      <c r="BF681" s="518"/>
      <c r="BG681" s="484"/>
      <c r="BH681" s="484"/>
      <c r="BI681" s="527"/>
      <c r="BJ681" s="484"/>
      <c r="BK681" s="484"/>
      <c r="BL681" s="484"/>
      <c r="BM681" s="484"/>
    </row>
    <row r="682" spans="1:65" s="22" customFormat="1" x14ac:dyDescent="0.25">
      <c r="A682" s="20"/>
      <c r="B682" s="515"/>
      <c r="C682" s="11"/>
      <c r="D682" s="11"/>
      <c r="E682" s="11"/>
      <c r="F682" s="21"/>
      <c r="G682" s="11"/>
      <c r="H682" s="50"/>
      <c r="I682" s="50"/>
      <c r="J682" s="50"/>
      <c r="K682" s="11"/>
      <c r="L682" s="50"/>
      <c r="M682" s="50"/>
      <c r="N682" s="50"/>
      <c r="O682" s="50"/>
      <c r="P682" s="50"/>
      <c r="Q682" s="11"/>
      <c r="R682" s="50"/>
      <c r="S682" s="50"/>
      <c r="T682" s="50"/>
      <c r="U682" s="11"/>
      <c r="V682" s="50"/>
      <c r="W682" s="50"/>
      <c r="X682" s="50"/>
      <c r="Y682" s="50"/>
      <c r="Z682" s="50"/>
      <c r="AA682" s="11"/>
      <c r="AB682" s="50"/>
      <c r="AC682" s="50"/>
      <c r="AD682" s="50"/>
      <c r="AE682" s="11"/>
      <c r="AF682" s="50"/>
      <c r="AG682" s="50"/>
      <c r="AH682" s="50"/>
      <c r="AI682" s="11"/>
      <c r="AJ682" s="50"/>
      <c r="AK682" s="50"/>
      <c r="AL682" s="50"/>
      <c r="AM682" s="11"/>
      <c r="AN682" s="50"/>
      <c r="AO682" s="50"/>
      <c r="AP682" s="50"/>
      <c r="AQ682" s="11"/>
      <c r="AR682" s="50"/>
      <c r="AS682" s="50"/>
      <c r="AT682" s="50"/>
      <c r="AU682" s="11"/>
      <c r="AV682" s="50"/>
      <c r="AW682" s="50"/>
      <c r="AX682" s="50"/>
      <c r="AY682" s="50"/>
      <c r="AZ682" s="50"/>
      <c r="BA682" s="50"/>
      <c r="BB682" s="50"/>
      <c r="BC682" s="50"/>
      <c r="BD682" s="50"/>
      <c r="BE682" s="20"/>
      <c r="BF682" s="518"/>
      <c r="BG682" s="484"/>
      <c r="BH682" s="484"/>
      <c r="BI682" s="527"/>
      <c r="BJ682" s="484"/>
      <c r="BK682" s="484"/>
      <c r="BL682" s="484"/>
      <c r="BM682" s="484"/>
    </row>
    <row r="683" spans="1:65" s="22" customFormat="1" x14ac:dyDescent="0.25">
      <c r="A683" s="20"/>
      <c r="B683" s="515"/>
      <c r="C683" s="11"/>
      <c r="D683" s="11"/>
      <c r="E683" s="11"/>
      <c r="F683" s="21"/>
      <c r="G683" s="11"/>
      <c r="H683" s="50"/>
      <c r="I683" s="50"/>
      <c r="J683" s="50"/>
      <c r="K683" s="11"/>
      <c r="L683" s="50"/>
      <c r="M683" s="50"/>
      <c r="N683" s="50"/>
      <c r="O683" s="50"/>
      <c r="P683" s="50"/>
      <c r="Q683" s="11"/>
      <c r="R683" s="50"/>
      <c r="S683" s="50"/>
      <c r="T683" s="50"/>
      <c r="U683" s="11"/>
      <c r="V683" s="50"/>
      <c r="W683" s="50"/>
      <c r="X683" s="50"/>
      <c r="Y683" s="50"/>
      <c r="Z683" s="50"/>
      <c r="AA683" s="11"/>
      <c r="AB683" s="50"/>
      <c r="AC683" s="50"/>
      <c r="AD683" s="50"/>
      <c r="AE683" s="11"/>
      <c r="AF683" s="50"/>
      <c r="AG683" s="50"/>
      <c r="AH683" s="50"/>
      <c r="AI683" s="11"/>
      <c r="AJ683" s="50"/>
      <c r="AK683" s="50"/>
      <c r="AL683" s="50"/>
      <c r="AM683" s="11"/>
      <c r="AN683" s="50"/>
      <c r="AO683" s="50"/>
      <c r="AP683" s="50"/>
      <c r="AQ683" s="11"/>
      <c r="AR683" s="50"/>
      <c r="AS683" s="50"/>
      <c r="AT683" s="50"/>
      <c r="AU683" s="11"/>
      <c r="AV683" s="50"/>
      <c r="AW683" s="50"/>
      <c r="AX683" s="50"/>
      <c r="AY683" s="50"/>
      <c r="AZ683" s="50"/>
      <c r="BA683" s="50"/>
      <c r="BB683" s="50"/>
      <c r="BC683" s="50"/>
      <c r="BD683" s="50"/>
      <c r="BE683" s="20"/>
      <c r="BF683" s="518"/>
      <c r="BG683" s="484"/>
      <c r="BH683" s="484"/>
      <c r="BI683" s="527"/>
      <c r="BJ683" s="484"/>
      <c r="BK683" s="484"/>
      <c r="BL683" s="484"/>
      <c r="BM683" s="484"/>
    </row>
    <row r="684" spans="1:65" s="22" customFormat="1" x14ac:dyDescent="0.25">
      <c r="A684" s="20"/>
      <c r="B684" s="515"/>
      <c r="C684" s="11"/>
      <c r="D684" s="11"/>
      <c r="E684" s="11"/>
      <c r="F684" s="21"/>
      <c r="G684" s="11"/>
      <c r="H684" s="50"/>
      <c r="I684" s="50"/>
      <c r="J684" s="50"/>
      <c r="K684" s="11"/>
      <c r="L684" s="50"/>
      <c r="M684" s="50"/>
      <c r="N684" s="50"/>
      <c r="O684" s="50"/>
      <c r="P684" s="50"/>
      <c r="Q684" s="11"/>
      <c r="R684" s="50"/>
      <c r="S684" s="50"/>
      <c r="T684" s="50"/>
      <c r="U684" s="11"/>
      <c r="V684" s="50"/>
      <c r="W684" s="50"/>
      <c r="X684" s="50"/>
      <c r="Y684" s="50"/>
      <c r="Z684" s="50"/>
      <c r="AA684" s="11"/>
      <c r="AB684" s="50"/>
      <c r="AC684" s="50"/>
      <c r="AD684" s="50"/>
      <c r="AE684" s="11"/>
      <c r="AF684" s="50"/>
      <c r="AG684" s="50"/>
      <c r="AH684" s="50"/>
      <c r="AI684" s="11"/>
      <c r="AJ684" s="50"/>
      <c r="AK684" s="50"/>
      <c r="AL684" s="50"/>
      <c r="AM684" s="11"/>
      <c r="AN684" s="50"/>
      <c r="AO684" s="50"/>
      <c r="AP684" s="50"/>
      <c r="AQ684" s="11"/>
      <c r="AR684" s="50"/>
      <c r="AS684" s="50"/>
      <c r="AT684" s="50"/>
      <c r="AU684" s="11"/>
      <c r="AV684" s="50"/>
      <c r="AW684" s="50"/>
      <c r="AX684" s="50"/>
      <c r="AY684" s="50"/>
      <c r="AZ684" s="50"/>
      <c r="BA684" s="50"/>
      <c r="BB684" s="50"/>
      <c r="BC684" s="50"/>
      <c r="BD684" s="50"/>
      <c r="BE684" s="20"/>
      <c r="BF684" s="518"/>
      <c r="BG684" s="484"/>
      <c r="BH684" s="484"/>
      <c r="BI684" s="527"/>
      <c r="BJ684" s="484"/>
      <c r="BK684" s="484"/>
      <c r="BL684" s="484"/>
      <c r="BM684" s="484"/>
    </row>
    <row r="685" spans="1:65" s="22" customFormat="1" x14ac:dyDescent="0.25">
      <c r="A685" s="20"/>
      <c r="B685" s="515"/>
      <c r="C685" s="11"/>
      <c r="D685" s="11"/>
      <c r="E685" s="11"/>
      <c r="F685" s="21"/>
      <c r="G685" s="11"/>
      <c r="H685" s="50"/>
      <c r="I685" s="50"/>
      <c r="J685" s="50"/>
      <c r="K685" s="11"/>
      <c r="L685" s="50"/>
      <c r="M685" s="50"/>
      <c r="N685" s="50"/>
      <c r="O685" s="50"/>
      <c r="P685" s="50"/>
      <c r="Q685" s="11"/>
      <c r="R685" s="50"/>
      <c r="S685" s="50"/>
      <c r="T685" s="50"/>
      <c r="U685" s="11"/>
      <c r="V685" s="50"/>
      <c r="W685" s="50"/>
      <c r="X685" s="50"/>
      <c r="Y685" s="50"/>
      <c r="Z685" s="50"/>
      <c r="AA685" s="11"/>
      <c r="AB685" s="50"/>
      <c r="AC685" s="50"/>
      <c r="AD685" s="50"/>
      <c r="AE685" s="11"/>
      <c r="AF685" s="50"/>
      <c r="AG685" s="50"/>
      <c r="AH685" s="50"/>
      <c r="AI685" s="11"/>
      <c r="AJ685" s="50"/>
      <c r="AK685" s="50"/>
      <c r="AL685" s="50"/>
      <c r="AM685" s="11"/>
      <c r="AN685" s="50"/>
      <c r="AO685" s="50"/>
      <c r="AP685" s="50"/>
      <c r="AQ685" s="11"/>
      <c r="AR685" s="50"/>
      <c r="AS685" s="50"/>
      <c r="AT685" s="50"/>
      <c r="AU685" s="11"/>
      <c r="AV685" s="50"/>
      <c r="AW685" s="50"/>
      <c r="AX685" s="50"/>
      <c r="AY685" s="50"/>
      <c r="AZ685" s="50"/>
      <c r="BA685" s="50"/>
      <c r="BB685" s="50"/>
      <c r="BC685" s="50"/>
      <c r="BD685" s="50"/>
      <c r="BE685" s="20"/>
      <c r="BF685" s="518"/>
      <c r="BG685" s="484"/>
      <c r="BH685" s="484"/>
      <c r="BI685" s="527"/>
      <c r="BJ685" s="484"/>
      <c r="BK685" s="484"/>
      <c r="BL685" s="484"/>
      <c r="BM685" s="484"/>
    </row>
    <row r="686" spans="1:65" s="22" customFormat="1" x14ac:dyDescent="0.25">
      <c r="A686" s="20"/>
      <c r="B686" s="515"/>
      <c r="C686" s="11"/>
      <c r="D686" s="11"/>
      <c r="E686" s="11"/>
      <c r="F686" s="21"/>
      <c r="G686" s="11"/>
      <c r="H686" s="50"/>
      <c r="I686" s="50"/>
      <c r="J686" s="50"/>
      <c r="K686" s="11"/>
      <c r="L686" s="50"/>
      <c r="M686" s="50"/>
      <c r="N686" s="50"/>
      <c r="O686" s="50"/>
      <c r="P686" s="50"/>
      <c r="Q686" s="11"/>
      <c r="R686" s="50"/>
      <c r="S686" s="50"/>
      <c r="T686" s="50"/>
      <c r="U686" s="11"/>
      <c r="V686" s="50"/>
      <c r="W686" s="50"/>
      <c r="X686" s="50"/>
      <c r="Y686" s="50"/>
      <c r="Z686" s="50"/>
      <c r="AA686" s="11"/>
      <c r="AB686" s="50"/>
      <c r="AC686" s="50"/>
      <c r="AD686" s="50"/>
      <c r="AE686" s="11"/>
      <c r="AF686" s="50"/>
      <c r="AG686" s="50"/>
      <c r="AH686" s="50"/>
      <c r="AI686" s="11"/>
      <c r="AJ686" s="50"/>
      <c r="AK686" s="50"/>
      <c r="AL686" s="50"/>
      <c r="AM686" s="11"/>
      <c r="AN686" s="50"/>
      <c r="AO686" s="50"/>
      <c r="AP686" s="50"/>
      <c r="AQ686" s="11"/>
      <c r="AR686" s="50"/>
      <c r="AS686" s="50"/>
      <c r="AT686" s="50"/>
      <c r="AU686" s="11"/>
      <c r="AV686" s="50"/>
      <c r="AW686" s="50"/>
      <c r="AX686" s="50"/>
      <c r="AY686" s="50"/>
      <c r="AZ686" s="50"/>
      <c r="BA686" s="50"/>
      <c r="BB686" s="50"/>
      <c r="BC686" s="50"/>
      <c r="BD686" s="50"/>
      <c r="BE686" s="20"/>
      <c r="BF686" s="518"/>
      <c r="BG686" s="484"/>
      <c r="BH686" s="484"/>
      <c r="BI686" s="527"/>
      <c r="BJ686" s="484"/>
      <c r="BK686" s="484"/>
      <c r="BL686" s="484"/>
      <c r="BM686" s="484"/>
    </row>
    <row r="687" spans="1:65" s="22" customFormat="1" x14ac:dyDescent="0.25">
      <c r="A687" s="20"/>
      <c r="B687" s="515"/>
      <c r="C687" s="11"/>
      <c r="D687" s="11"/>
      <c r="E687" s="11"/>
      <c r="F687" s="21"/>
      <c r="G687" s="11"/>
      <c r="H687" s="50"/>
      <c r="I687" s="50"/>
      <c r="J687" s="50"/>
      <c r="K687" s="11"/>
      <c r="L687" s="50"/>
      <c r="M687" s="50"/>
      <c r="N687" s="50"/>
      <c r="O687" s="50"/>
      <c r="P687" s="50"/>
      <c r="Q687" s="11"/>
      <c r="R687" s="50"/>
      <c r="S687" s="50"/>
      <c r="T687" s="50"/>
      <c r="U687" s="11"/>
      <c r="V687" s="50"/>
      <c r="W687" s="50"/>
      <c r="X687" s="50"/>
      <c r="Y687" s="50"/>
      <c r="Z687" s="50"/>
      <c r="AA687" s="11"/>
      <c r="AB687" s="50"/>
      <c r="AC687" s="50"/>
      <c r="AD687" s="50"/>
      <c r="AE687" s="11"/>
      <c r="AF687" s="50"/>
      <c r="AG687" s="50"/>
      <c r="AH687" s="50"/>
      <c r="AI687" s="11"/>
      <c r="AJ687" s="50"/>
      <c r="AK687" s="50"/>
      <c r="AL687" s="50"/>
      <c r="AM687" s="11"/>
      <c r="AN687" s="50"/>
      <c r="AO687" s="50"/>
      <c r="AP687" s="50"/>
      <c r="AQ687" s="11"/>
      <c r="AR687" s="50"/>
      <c r="AS687" s="50"/>
      <c r="AT687" s="50"/>
      <c r="AU687" s="11"/>
      <c r="AV687" s="50"/>
      <c r="AW687" s="50"/>
      <c r="AX687" s="50"/>
      <c r="AY687" s="50"/>
      <c r="AZ687" s="50"/>
      <c r="BA687" s="50"/>
      <c r="BB687" s="50"/>
      <c r="BC687" s="50"/>
      <c r="BD687" s="50"/>
      <c r="BE687" s="20"/>
      <c r="BF687" s="518"/>
      <c r="BG687" s="484"/>
      <c r="BH687" s="484"/>
      <c r="BI687" s="527"/>
      <c r="BJ687" s="484"/>
      <c r="BK687" s="484"/>
      <c r="BL687" s="484"/>
      <c r="BM687" s="484"/>
    </row>
    <row r="688" spans="1:65" s="22" customFormat="1" x14ac:dyDescent="0.25">
      <c r="A688" s="20"/>
      <c r="B688" s="515"/>
      <c r="C688" s="11"/>
      <c r="D688" s="11"/>
      <c r="E688" s="11"/>
      <c r="F688" s="21"/>
      <c r="G688" s="11"/>
      <c r="H688" s="50"/>
      <c r="I688" s="50"/>
      <c r="J688" s="50"/>
      <c r="K688" s="11"/>
      <c r="L688" s="50"/>
      <c r="M688" s="50"/>
      <c r="N688" s="50"/>
      <c r="O688" s="50"/>
      <c r="P688" s="50"/>
      <c r="Q688" s="11"/>
      <c r="R688" s="50"/>
      <c r="S688" s="50"/>
      <c r="T688" s="50"/>
      <c r="U688" s="11"/>
      <c r="V688" s="50"/>
      <c r="W688" s="50"/>
      <c r="X688" s="50"/>
      <c r="Y688" s="50"/>
      <c r="Z688" s="50"/>
      <c r="AA688" s="11"/>
      <c r="AB688" s="50"/>
      <c r="AC688" s="50"/>
      <c r="AD688" s="50"/>
      <c r="AE688" s="11"/>
      <c r="AF688" s="50"/>
      <c r="AG688" s="50"/>
      <c r="AH688" s="50"/>
      <c r="AI688" s="11"/>
      <c r="AJ688" s="50"/>
      <c r="AK688" s="50"/>
      <c r="AL688" s="50"/>
      <c r="AM688" s="11"/>
      <c r="AN688" s="50"/>
      <c r="AO688" s="50"/>
      <c r="AP688" s="50"/>
      <c r="AQ688" s="11"/>
      <c r="AR688" s="50"/>
      <c r="AS688" s="50"/>
      <c r="AT688" s="50"/>
      <c r="AU688" s="11"/>
      <c r="AV688" s="50"/>
      <c r="AW688" s="50"/>
      <c r="AX688" s="50"/>
      <c r="AY688" s="50"/>
      <c r="AZ688" s="50"/>
      <c r="BA688" s="50"/>
      <c r="BB688" s="50"/>
      <c r="BC688" s="50"/>
      <c r="BD688" s="50"/>
      <c r="BE688" s="20"/>
      <c r="BF688" s="518"/>
      <c r="BG688" s="484"/>
      <c r="BH688" s="484"/>
      <c r="BI688" s="527"/>
      <c r="BJ688" s="484"/>
      <c r="BK688" s="484"/>
      <c r="BL688" s="484"/>
      <c r="BM688" s="484"/>
    </row>
    <row r="689" spans="1:65" s="22" customFormat="1" x14ac:dyDescent="0.25">
      <c r="A689" s="20"/>
      <c r="B689" s="515"/>
      <c r="C689" s="11"/>
      <c r="D689" s="11"/>
      <c r="E689" s="11"/>
      <c r="F689" s="21"/>
      <c r="G689" s="11"/>
      <c r="H689" s="50"/>
      <c r="I689" s="50"/>
      <c r="J689" s="50"/>
      <c r="K689" s="11"/>
      <c r="L689" s="50"/>
      <c r="M689" s="50"/>
      <c r="N689" s="50"/>
      <c r="O689" s="50"/>
      <c r="P689" s="50"/>
      <c r="Q689" s="11"/>
      <c r="R689" s="50"/>
      <c r="S689" s="50"/>
      <c r="T689" s="50"/>
      <c r="U689" s="11"/>
      <c r="V689" s="50"/>
      <c r="W689" s="50"/>
      <c r="X689" s="50"/>
      <c r="Y689" s="50"/>
      <c r="Z689" s="50"/>
      <c r="AA689" s="11"/>
      <c r="AB689" s="50"/>
      <c r="AC689" s="50"/>
      <c r="AD689" s="50"/>
      <c r="AE689" s="11"/>
      <c r="AF689" s="50"/>
      <c r="AG689" s="50"/>
      <c r="AH689" s="50"/>
      <c r="AI689" s="11"/>
      <c r="AJ689" s="50"/>
      <c r="AK689" s="50"/>
      <c r="AL689" s="50"/>
      <c r="AM689" s="11"/>
      <c r="AN689" s="50"/>
      <c r="AO689" s="50"/>
      <c r="AP689" s="50"/>
      <c r="AQ689" s="11"/>
      <c r="AR689" s="50"/>
      <c r="AS689" s="50"/>
      <c r="AT689" s="50"/>
      <c r="AU689" s="11"/>
      <c r="AV689" s="50"/>
      <c r="AW689" s="50"/>
      <c r="AX689" s="50"/>
      <c r="AY689" s="50"/>
      <c r="AZ689" s="50"/>
      <c r="BA689" s="50"/>
      <c r="BB689" s="50"/>
      <c r="BC689" s="50"/>
      <c r="BD689" s="50"/>
      <c r="BE689" s="20"/>
      <c r="BF689" s="518"/>
      <c r="BG689" s="484"/>
      <c r="BH689" s="484"/>
      <c r="BI689" s="527"/>
      <c r="BJ689" s="484"/>
      <c r="BK689" s="484"/>
      <c r="BL689" s="484"/>
      <c r="BM689" s="484"/>
    </row>
    <row r="690" spans="1:65" s="22" customFormat="1" x14ac:dyDescent="0.25">
      <c r="A690" s="20"/>
      <c r="B690" s="515"/>
      <c r="C690" s="11"/>
      <c r="D690" s="11"/>
      <c r="E690" s="11"/>
      <c r="F690" s="21"/>
      <c r="G690" s="11"/>
      <c r="H690" s="50"/>
      <c r="I690" s="50"/>
      <c r="J690" s="50"/>
      <c r="K690" s="11"/>
      <c r="L690" s="50"/>
      <c r="M690" s="50"/>
      <c r="N690" s="50"/>
      <c r="O690" s="50"/>
      <c r="P690" s="50"/>
      <c r="Q690" s="11"/>
      <c r="R690" s="50"/>
      <c r="S690" s="50"/>
      <c r="T690" s="50"/>
      <c r="U690" s="11"/>
      <c r="V690" s="50"/>
      <c r="W690" s="50"/>
      <c r="X690" s="50"/>
      <c r="Y690" s="50"/>
      <c r="Z690" s="50"/>
      <c r="AA690" s="11"/>
      <c r="AB690" s="50"/>
      <c r="AC690" s="50"/>
      <c r="AD690" s="50"/>
      <c r="AE690" s="11"/>
      <c r="AF690" s="50"/>
      <c r="AG690" s="50"/>
      <c r="AH690" s="50"/>
      <c r="AI690" s="11"/>
      <c r="AJ690" s="50"/>
      <c r="AK690" s="50"/>
      <c r="AL690" s="50"/>
      <c r="AM690" s="11"/>
      <c r="AN690" s="50"/>
      <c r="AO690" s="50"/>
      <c r="AP690" s="50"/>
      <c r="AQ690" s="11"/>
      <c r="AR690" s="50"/>
      <c r="AS690" s="50"/>
      <c r="AT690" s="50"/>
      <c r="AU690" s="11"/>
      <c r="AV690" s="50"/>
      <c r="AW690" s="50"/>
      <c r="AX690" s="50"/>
      <c r="AY690" s="50"/>
      <c r="AZ690" s="50"/>
      <c r="BA690" s="50"/>
      <c r="BB690" s="50"/>
      <c r="BC690" s="50"/>
      <c r="BD690" s="50"/>
      <c r="BE690" s="20"/>
      <c r="BF690" s="518"/>
      <c r="BG690" s="484"/>
      <c r="BH690" s="484"/>
      <c r="BI690" s="527"/>
      <c r="BJ690" s="484"/>
      <c r="BK690" s="484"/>
      <c r="BL690" s="484"/>
      <c r="BM690" s="484"/>
    </row>
    <row r="691" spans="1:65" s="22" customFormat="1" x14ac:dyDescent="0.25">
      <c r="A691" s="20"/>
      <c r="B691" s="515"/>
      <c r="C691" s="11"/>
      <c r="D691" s="11"/>
      <c r="E691" s="11"/>
      <c r="F691" s="21"/>
      <c r="G691" s="11"/>
      <c r="H691" s="50"/>
      <c r="I691" s="50"/>
      <c r="J691" s="50"/>
      <c r="K691" s="11"/>
      <c r="L691" s="50"/>
      <c r="M691" s="50"/>
      <c r="N691" s="50"/>
      <c r="O691" s="50"/>
      <c r="P691" s="50"/>
      <c r="Q691" s="11"/>
      <c r="R691" s="50"/>
      <c r="S691" s="50"/>
      <c r="T691" s="50"/>
      <c r="U691" s="11"/>
      <c r="V691" s="50"/>
      <c r="W691" s="50"/>
      <c r="X691" s="50"/>
      <c r="Y691" s="50"/>
      <c r="Z691" s="50"/>
      <c r="AA691" s="11"/>
      <c r="AB691" s="50"/>
      <c r="AC691" s="50"/>
      <c r="AD691" s="50"/>
      <c r="AE691" s="11"/>
      <c r="AF691" s="50"/>
      <c r="AG691" s="50"/>
      <c r="AH691" s="50"/>
      <c r="AI691" s="11"/>
      <c r="AJ691" s="50"/>
      <c r="AK691" s="50"/>
      <c r="AL691" s="50"/>
      <c r="AM691" s="11"/>
      <c r="AN691" s="50"/>
      <c r="AO691" s="50"/>
      <c r="AP691" s="50"/>
      <c r="AQ691" s="11"/>
      <c r="AR691" s="50"/>
      <c r="AS691" s="50"/>
      <c r="AT691" s="50"/>
      <c r="AU691" s="11"/>
      <c r="AV691" s="50"/>
      <c r="AW691" s="50"/>
      <c r="AX691" s="50"/>
      <c r="AY691" s="50"/>
      <c r="AZ691" s="50"/>
      <c r="BA691" s="50"/>
      <c r="BB691" s="50"/>
      <c r="BC691" s="50"/>
      <c r="BD691" s="50"/>
      <c r="BE691" s="20"/>
      <c r="BF691" s="518"/>
      <c r="BG691" s="484"/>
      <c r="BH691" s="484"/>
      <c r="BI691" s="527"/>
      <c r="BJ691" s="484"/>
      <c r="BK691" s="484"/>
      <c r="BL691" s="484"/>
      <c r="BM691" s="484"/>
    </row>
    <row r="692" spans="1:65" s="22" customFormat="1" x14ac:dyDescent="0.25">
      <c r="A692" s="20"/>
      <c r="B692" s="515"/>
      <c r="C692" s="11"/>
      <c r="D692" s="11"/>
      <c r="E692" s="11"/>
      <c r="F692" s="21"/>
      <c r="G692" s="11"/>
      <c r="H692" s="50"/>
      <c r="I692" s="50"/>
      <c r="J692" s="50"/>
      <c r="K692" s="11"/>
      <c r="L692" s="50"/>
      <c r="M692" s="50"/>
      <c r="N692" s="50"/>
      <c r="O692" s="50"/>
      <c r="P692" s="50"/>
      <c r="Q692" s="11"/>
      <c r="R692" s="50"/>
      <c r="S692" s="50"/>
      <c r="T692" s="50"/>
      <c r="U692" s="11"/>
      <c r="V692" s="50"/>
      <c r="W692" s="50"/>
      <c r="X692" s="50"/>
      <c r="Y692" s="50"/>
      <c r="Z692" s="50"/>
      <c r="AA692" s="11"/>
      <c r="AB692" s="50"/>
      <c r="AC692" s="50"/>
      <c r="AD692" s="50"/>
      <c r="AE692" s="11"/>
      <c r="AF692" s="50"/>
      <c r="AG692" s="50"/>
      <c r="AH692" s="50"/>
      <c r="AI692" s="11"/>
      <c r="AJ692" s="50"/>
      <c r="AK692" s="50"/>
      <c r="AL692" s="50"/>
      <c r="AM692" s="11"/>
      <c r="AN692" s="50"/>
      <c r="AO692" s="50"/>
      <c r="AP692" s="50"/>
      <c r="AQ692" s="11"/>
      <c r="AR692" s="50"/>
      <c r="AS692" s="50"/>
      <c r="AT692" s="50"/>
      <c r="AU692" s="11"/>
      <c r="AV692" s="50"/>
      <c r="AW692" s="50"/>
      <c r="AX692" s="50"/>
      <c r="AY692" s="50"/>
      <c r="AZ692" s="50"/>
      <c r="BA692" s="50"/>
      <c r="BB692" s="50"/>
      <c r="BC692" s="50"/>
      <c r="BD692" s="50"/>
      <c r="BE692" s="20"/>
      <c r="BF692" s="518"/>
      <c r="BG692" s="484"/>
      <c r="BH692" s="484"/>
      <c r="BI692" s="527"/>
      <c r="BJ692" s="484"/>
      <c r="BK692" s="484"/>
      <c r="BL692" s="484"/>
      <c r="BM692" s="484"/>
    </row>
    <row r="693" spans="1:65" s="22" customFormat="1" x14ac:dyDescent="0.25">
      <c r="A693" s="20"/>
      <c r="B693" s="515"/>
      <c r="C693" s="11"/>
      <c r="D693" s="11"/>
      <c r="E693" s="11"/>
      <c r="F693" s="21"/>
      <c r="G693" s="11"/>
      <c r="H693" s="50"/>
      <c r="I693" s="50"/>
      <c r="J693" s="50"/>
      <c r="K693" s="11"/>
      <c r="L693" s="50"/>
      <c r="M693" s="50"/>
      <c r="N693" s="50"/>
      <c r="O693" s="50"/>
      <c r="P693" s="50"/>
      <c r="Q693" s="11"/>
      <c r="R693" s="50"/>
      <c r="S693" s="50"/>
      <c r="T693" s="50"/>
      <c r="U693" s="11"/>
      <c r="V693" s="50"/>
      <c r="W693" s="50"/>
      <c r="X693" s="50"/>
      <c r="Y693" s="50"/>
      <c r="Z693" s="50"/>
      <c r="AA693" s="11"/>
      <c r="AB693" s="50"/>
      <c r="AC693" s="50"/>
      <c r="AD693" s="50"/>
      <c r="AE693" s="11"/>
      <c r="AF693" s="50"/>
      <c r="AG693" s="50"/>
      <c r="AH693" s="50"/>
      <c r="AI693" s="11"/>
      <c r="AJ693" s="50"/>
      <c r="AK693" s="50"/>
      <c r="AL693" s="50"/>
      <c r="AM693" s="11"/>
      <c r="AN693" s="50"/>
      <c r="AO693" s="50"/>
      <c r="AP693" s="50"/>
      <c r="AQ693" s="11"/>
      <c r="AR693" s="50"/>
      <c r="AS693" s="50"/>
      <c r="AT693" s="50"/>
      <c r="AU693" s="11"/>
      <c r="AV693" s="50"/>
      <c r="AW693" s="50"/>
      <c r="AX693" s="50"/>
      <c r="AY693" s="50"/>
      <c r="AZ693" s="50"/>
      <c r="BA693" s="50"/>
      <c r="BB693" s="50"/>
      <c r="BC693" s="50"/>
      <c r="BD693" s="50"/>
      <c r="BE693" s="20"/>
      <c r="BF693" s="518"/>
      <c r="BG693" s="484"/>
      <c r="BH693" s="484"/>
      <c r="BI693" s="527"/>
      <c r="BJ693" s="484"/>
      <c r="BK693" s="484"/>
      <c r="BL693" s="484"/>
      <c r="BM693" s="484"/>
    </row>
    <row r="694" spans="1:65" s="22" customFormat="1" x14ac:dyDescent="0.25">
      <c r="A694" s="20"/>
      <c r="B694" s="515"/>
      <c r="C694" s="11"/>
      <c r="D694" s="11"/>
      <c r="E694" s="11"/>
      <c r="F694" s="21"/>
      <c r="G694" s="11"/>
      <c r="H694" s="50"/>
      <c r="I694" s="50"/>
      <c r="J694" s="50"/>
      <c r="K694" s="11"/>
      <c r="L694" s="50"/>
      <c r="M694" s="50"/>
      <c r="N694" s="50"/>
      <c r="O694" s="50"/>
      <c r="P694" s="50"/>
      <c r="Q694" s="11"/>
      <c r="R694" s="50"/>
      <c r="S694" s="50"/>
      <c r="T694" s="50"/>
      <c r="U694" s="11"/>
      <c r="V694" s="50"/>
      <c r="W694" s="50"/>
      <c r="X694" s="50"/>
      <c r="Y694" s="50"/>
      <c r="Z694" s="50"/>
      <c r="AA694" s="11"/>
      <c r="AB694" s="50"/>
      <c r="AC694" s="50"/>
      <c r="AD694" s="50"/>
      <c r="AE694" s="11"/>
      <c r="AF694" s="50"/>
      <c r="AG694" s="50"/>
      <c r="AH694" s="50"/>
      <c r="AI694" s="11"/>
      <c r="AJ694" s="50"/>
      <c r="AK694" s="50"/>
      <c r="AL694" s="50"/>
      <c r="AM694" s="11"/>
      <c r="AN694" s="50"/>
      <c r="AO694" s="50"/>
      <c r="AP694" s="50"/>
      <c r="AQ694" s="11"/>
      <c r="AR694" s="50"/>
      <c r="AS694" s="50"/>
      <c r="AT694" s="50"/>
      <c r="AU694" s="11"/>
      <c r="AV694" s="50"/>
      <c r="AW694" s="50"/>
      <c r="AX694" s="50"/>
      <c r="AY694" s="50"/>
      <c r="AZ694" s="50"/>
      <c r="BA694" s="50"/>
      <c r="BB694" s="50"/>
      <c r="BC694" s="50"/>
      <c r="BD694" s="50"/>
      <c r="BE694" s="20"/>
      <c r="BF694" s="518"/>
      <c r="BG694" s="484"/>
      <c r="BH694" s="484"/>
      <c r="BI694" s="527"/>
      <c r="BJ694" s="484"/>
      <c r="BK694" s="484"/>
      <c r="BL694" s="484"/>
      <c r="BM694" s="484"/>
    </row>
    <row r="695" spans="1:65" s="22" customFormat="1" x14ac:dyDescent="0.25">
      <c r="A695" s="20"/>
      <c r="B695" s="515"/>
      <c r="C695" s="11"/>
      <c r="D695" s="11"/>
      <c r="E695" s="11"/>
      <c r="F695" s="21"/>
      <c r="G695" s="11"/>
      <c r="H695" s="50"/>
      <c r="I695" s="50"/>
      <c r="J695" s="50"/>
      <c r="K695" s="11"/>
      <c r="L695" s="50"/>
      <c r="M695" s="50"/>
      <c r="N695" s="50"/>
      <c r="O695" s="50"/>
      <c r="P695" s="50"/>
      <c r="Q695" s="11"/>
      <c r="R695" s="50"/>
      <c r="S695" s="50"/>
      <c r="T695" s="50"/>
      <c r="U695" s="11"/>
      <c r="V695" s="50"/>
      <c r="W695" s="50"/>
      <c r="X695" s="50"/>
      <c r="Y695" s="50"/>
      <c r="Z695" s="50"/>
      <c r="AA695" s="11"/>
      <c r="AB695" s="50"/>
      <c r="AC695" s="50"/>
      <c r="AD695" s="50"/>
      <c r="AE695" s="11"/>
      <c r="AF695" s="50"/>
      <c r="AG695" s="50"/>
      <c r="AH695" s="50"/>
      <c r="AI695" s="11"/>
      <c r="AJ695" s="50"/>
      <c r="AK695" s="50"/>
      <c r="AL695" s="50"/>
      <c r="AM695" s="11"/>
      <c r="AN695" s="50"/>
      <c r="AO695" s="50"/>
      <c r="AP695" s="50"/>
      <c r="AQ695" s="11"/>
      <c r="AR695" s="50"/>
      <c r="AS695" s="50"/>
      <c r="AT695" s="50"/>
      <c r="AU695" s="11"/>
      <c r="AV695" s="50"/>
      <c r="AW695" s="50"/>
      <c r="AX695" s="50"/>
      <c r="AY695" s="50"/>
      <c r="AZ695" s="50"/>
      <c r="BA695" s="50"/>
      <c r="BB695" s="50"/>
      <c r="BC695" s="50"/>
      <c r="BD695" s="50"/>
      <c r="BE695" s="20"/>
      <c r="BF695" s="518"/>
      <c r="BG695" s="484"/>
      <c r="BH695" s="484"/>
      <c r="BI695" s="527"/>
      <c r="BJ695" s="484"/>
      <c r="BK695" s="484"/>
      <c r="BL695" s="484"/>
      <c r="BM695" s="484"/>
    </row>
    <row r="696" spans="1:65" s="22" customFormat="1" x14ac:dyDescent="0.25">
      <c r="A696" s="20"/>
      <c r="B696" s="515"/>
      <c r="C696" s="11"/>
      <c r="D696" s="11"/>
      <c r="E696" s="11"/>
      <c r="F696" s="21"/>
      <c r="G696" s="11"/>
      <c r="H696" s="50"/>
      <c r="I696" s="50"/>
      <c r="J696" s="50"/>
      <c r="K696" s="11"/>
      <c r="L696" s="50"/>
      <c r="M696" s="50"/>
      <c r="N696" s="50"/>
      <c r="O696" s="50"/>
      <c r="P696" s="50"/>
      <c r="Q696" s="11"/>
      <c r="R696" s="50"/>
      <c r="S696" s="50"/>
      <c r="T696" s="50"/>
      <c r="U696" s="11"/>
      <c r="V696" s="50"/>
      <c r="W696" s="50"/>
      <c r="X696" s="50"/>
      <c r="Y696" s="50"/>
      <c r="Z696" s="50"/>
      <c r="AA696" s="11"/>
      <c r="AB696" s="50"/>
      <c r="AC696" s="50"/>
      <c r="AD696" s="50"/>
      <c r="AE696" s="11"/>
      <c r="AF696" s="50"/>
      <c r="AG696" s="50"/>
      <c r="AH696" s="50"/>
      <c r="AI696" s="11"/>
      <c r="AJ696" s="50"/>
      <c r="AK696" s="50"/>
      <c r="AL696" s="50"/>
      <c r="AM696" s="11"/>
      <c r="AN696" s="50"/>
      <c r="AO696" s="50"/>
      <c r="AP696" s="50"/>
      <c r="AQ696" s="11"/>
      <c r="AR696" s="50"/>
      <c r="AS696" s="50"/>
      <c r="AT696" s="50"/>
      <c r="AU696" s="11"/>
      <c r="AV696" s="50"/>
      <c r="AW696" s="50"/>
      <c r="AX696" s="50"/>
      <c r="AY696" s="50"/>
      <c r="AZ696" s="50"/>
      <c r="BA696" s="50"/>
      <c r="BB696" s="50"/>
      <c r="BC696" s="50"/>
      <c r="BD696" s="50"/>
      <c r="BE696" s="20"/>
      <c r="BF696" s="518"/>
      <c r="BG696" s="484"/>
      <c r="BH696" s="484"/>
      <c r="BI696" s="527"/>
      <c r="BJ696" s="484"/>
      <c r="BK696" s="484"/>
      <c r="BL696" s="484"/>
      <c r="BM696" s="484"/>
    </row>
    <row r="697" spans="1:65" s="22" customFormat="1" x14ac:dyDescent="0.25">
      <c r="A697" s="20"/>
      <c r="B697" s="515"/>
      <c r="C697" s="11"/>
      <c r="D697" s="11"/>
      <c r="E697" s="11"/>
      <c r="F697" s="21"/>
      <c r="G697" s="11"/>
      <c r="H697" s="50"/>
      <c r="I697" s="50"/>
      <c r="J697" s="50"/>
      <c r="K697" s="11"/>
      <c r="L697" s="50"/>
      <c r="M697" s="50"/>
      <c r="N697" s="50"/>
      <c r="O697" s="50"/>
      <c r="P697" s="50"/>
      <c r="Q697" s="11"/>
      <c r="R697" s="50"/>
      <c r="S697" s="50"/>
      <c r="T697" s="50"/>
      <c r="U697" s="11"/>
      <c r="V697" s="50"/>
      <c r="W697" s="50"/>
      <c r="X697" s="50"/>
      <c r="Y697" s="50"/>
      <c r="Z697" s="50"/>
      <c r="AA697" s="11"/>
      <c r="AB697" s="50"/>
      <c r="AC697" s="50"/>
      <c r="AD697" s="50"/>
      <c r="AE697" s="11"/>
      <c r="AF697" s="50"/>
      <c r="AG697" s="50"/>
      <c r="AH697" s="50"/>
      <c r="AI697" s="11"/>
      <c r="AJ697" s="50"/>
      <c r="AK697" s="50"/>
      <c r="AL697" s="50"/>
      <c r="AM697" s="11"/>
      <c r="AN697" s="50"/>
      <c r="AO697" s="50"/>
      <c r="AP697" s="50"/>
      <c r="AQ697" s="11"/>
      <c r="AR697" s="50"/>
      <c r="AS697" s="50"/>
      <c r="AT697" s="50"/>
      <c r="AU697" s="11"/>
      <c r="AV697" s="50"/>
      <c r="AW697" s="50"/>
      <c r="AX697" s="50"/>
      <c r="AY697" s="50"/>
      <c r="AZ697" s="50"/>
      <c r="BA697" s="50"/>
      <c r="BB697" s="50"/>
      <c r="BC697" s="50"/>
      <c r="BD697" s="50"/>
      <c r="BE697" s="20"/>
      <c r="BF697" s="518"/>
      <c r="BG697" s="484"/>
      <c r="BH697" s="484"/>
      <c r="BI697" s="527"/>
      <c r="BJ697" s="484"/>
      <c r="BK697" s="484"/>
      <c r="BL697" s="484"/>
      <c r="BM697" s="484"/>
    </row>
    <row r="698" spans="1:65" s="22" customFormat="1" x14ac:dyDescent="0.25">
      <c r="A698" s="20"/>
      <c r="B698" s="515"/>
      <c r="C698" s="11"/>
      <c r="D698" s="11"/>
      <c r="E698" s="11"/>
      <c r="F698" s="21"/>
      <c r="G698" s="11"/>
      <c r="H698" s="50"/>
      <c r="I698" s="50"/>
      <c r="J698" s="50"/>
      <c r="K698" s="11"/>
      <c r="L698" s="50"/>
      <c r="M698" s="50"/>
      <c r="N698" s="50"/>
      <c r="O698" s="50"/>
      <c r="P698" s="50"/>
      <c r="Q698" s="11"/>
      <c r="R698" s="50"/>
      <c r="S698" s="50"/>
      <c r="T698" s="50"/>
      <c r="U698" s="11"/>
      <c r="V698" s="50"/>
      <c r="W698" s="50"/>
      <c r="X698" s="50"/>
      <c r="Y698" s="50"/>
      <c r="Z698" s="50"/>
      <c r="AA698" s="11"/>
      <c r="AB698" s="50"/>
      <c r="AC698" s="50"/>
      <c r="AD698" s="50"/>
      <c r="AE698" s="11"/>
      <c r="AF698" s="50"/>
      <c r="AG698" s="50"/>
      <c r="AH698" s="50"/>
      <c r="AI698" s="11"/>
      <c r="AJ698" s="50"/>
      <c r="AK698" s="50"/>
      <c r="AL698" s="50"/>
      <c r="AM698" s="11"/>
      <c r="AN698" s="50"/>
      <c r="AO698" s="50"/>
      <c r="AP698" s="50"/>
      <c r="AQ698" s="11"/>
      <c r="AR698" s="50"/>
      <c r="AS698" s="50"/>
      <c r="AT698" s="50"/>
      <c r="AU698" s="11"/>
      <c r="AV698" s="50"/>
      <c r="AW698" s="50"/>
      <c r="AX698" s="50"/>
      <c r="AY698" s="50"/>
      <c r="AZ698" s="50"/>
      <c r="BA698" s="50"/>
      <c r="BB698" s="50"/>
      <c r="BC698" s="50"/>
      <c r="BD698" s="50"/>
      <c r="BE698" s="20"/>
      <c r="BF698" s="518"/>
      <c r="BG698" s="484"/>
      <c r="BH698" s="484"/>
      <c r="BI698" s="527"/>
      <c r="BJ698" s="484"/>
      <c r="BK698" s="484"/>
      <c r="BL698" s="484"/>
      <c r="BM698" s="484"/>
    </row>
    <row r="699" spans="1:65" s="22" customFormat="1" x14ac:dyDescent="0.25">
      <c r="A699" s="20"/>
      <c r="B699" s="515"/>
      <c r="C699" s="11"/>
      <c r="D699" s="11"/>
      <c r="E699" s="11"/>
      <c r="F699" s="21"/>
      <c r="G699" s="11"/>
      <c r="H699" s="50"/>
      <c r="I699" s="50"/>
      <c r="J699" s="50"/>
      <c r="K699" s="11"/>
      <c r="L699" s="50"/>
      <c r="M699" s="50"/>
      <c r="N699" s="50"/>
      <c r="O699" s="50"/>
      <c r="P699" s="50"/>
      <c r="Q699" s="11"/>
      <c r="R699" s="50"/>
      <c r="S699" s="50"/>
      <c r="T699" s="50"/>
      <c r="U699" s="11"/>
      <c r="V699" s="50"/>
      <c r="W699" s="50"/>
      <c r="X699" s="50"/>
      <c r="Y699" s="50"/>
      <c r="Z699" s="50"/>
      <c r="AA699" s="11"/>
      <c r="AB699" s="50"/>
      <c r="AC699" s="50"/>
      <c r="AD699" s="50"/>
      <c r="AE699" s="11"/>
      <c r="AF699" s="50"/>
      <c r="AG699" s="50"/>
      <c r="AH699" s="50"/>
      <c r="AI699" s="11"/>
      <c r="AJ699" s="50"/>
      <c r="AK699" s="50"/>
      <c r="AL699" s="50"/>
      <c r="AM699" s="11"/>
      <c r="AN699" s="50"/>
      <c r="AO699" s="50"/>
      <c r="AP699" s="50"/>
      <c r="AQ699" s="11"/>
      <c r="AR699" s="50"/>
      <c r="AS699" s="50"/>
      <c r="AT699" s="50"/>
      <c r="AU699" s="11"/>
      <c r="AV699" s="50"/>
      <c r="AW699" s="50"/>
      <c r="AX699" s="50"/>
      <c r="AY699" s="50"/>
      <c r="AZ699" s="50"/>
      <c r="BA699" s="50"/>
      <c r="BB699" s="50"/>
      <c r="BC699" s="50"/>
      <c r="BD699" s="50"/>
      <c r="BE699" s="20"/>
      <c r="BF699" s="518"/>
      <c r="BG699" s="484"/>
      <c r="BH699" s="484"/>
      <c r="BI699" s="527"/>
      <c r="BJ699" s="484"/>
      <c r="BK699" s="484"/>
      <c r="BL699" s="484"/>
      <c r="BM699" s="484"/>
    </row>
    <row r="700" spans="1:65" s="22" customFormat="1" x14ac:dyDescent="0.25">
      <c r="A700" s="20"/>
      <c r="B700" s="515"/>
      <c r="C700" s="11"/>
      <c r="D700" s="11"/>
      <c r="E700" s="11"/>
      <c r="F700" s="21"/>
      <c r="G700" s="11"/>
      <c r="H700" s="50"/>
      <c r="I700" s="50"/>
      <c r="J700" s="50"/>
      <c r="K700" s="11"/>
      <c r="L700" s="50"/>
      <c r="M700" s="50"/>
      <c r="N700" s="50"/>
      <c r="O700" s="50"/>
      <c r="P700" s="50"/>
      <c r="Q700" s="11"/>
      <c r="R700" s="50"/>
      <c r="S700" s="50"/>
      <c r="T700" s="50"/>
      <c r="U700" s="11"/>
      <c r="V700" s="50"/>
      <c r="W700" s="50"/>
      <c r="X700" s="50"/>
      <c r="Y700" s="50"/>
      <c r="Z700" s="50"/>
      <c r="AA700" s="11"/>
      <c r="AB700" s="50"/>
      <c r="AC700" s="50"/>
      <c r="AD700" s="50"/>
      <c r="AE700" s="11"/>
      <c r="AF700" s="50"/>
      <c r="AG700" s="50"/>
      <c r="AH700" s="50"/>
      <c r="AI700" s="11"/>
      <c r="AJ700" s="50"/>
      <c r="AK700" s="50"/>
      <c r="AL700" s="50"/>
      <c r="AM700" s="11"/>
      <c r="AN700" s="50"/>
      <c r="AO700" s="50"/>
      <c r="AP700" s="50"/>
      <c r="AQ700" s="11"/>
      <c r="AR700" s="50"/>
      <c r="AS700" s="50"/>
      <c r="AT700" s="50"/>
      <c r="AU700" s="11"/>
      <c r="AV700" s="50"/>
      <c r="AW700" s="50"/>
      <c r="AX700" s="50"/>
      <c r="AY700" s="50"/>
      <c r="AZ700" s="50"/>
      <c r="BA700" s="50"/>
      <c r="BB700" s="50"/>
      <c r="BC700" s="50"/>
      <c r="BD700" s="50"/>
      <c r="BE700" s="20"/>
      <c r="BF700" s="518"/>
      <c r="BG700" s="484"/>
      <c r="BH700" s="484"/>
      <c r="BI700" s="527"/>
      <c r="BJ700" s="484"/>
      <c r="BK700" s="484"/>
      <c r="BL700" s="484"/>
      <c r="BM700" s="484"/>
    </row>
    <row r="701" spans="1:65" s="22" customFormat="1" x14ac:dyDescent="0.25">
      <c r="A701" s="20"/>
      <c r="B701" s="515"/>
      <c r="C701" s="11"/>
      <c r="D701" s="11"/>
      <c r="E701" s="11"/>
      <c r="F701" s="21"/>
      <c r="G701" s="11"/>
      <c r="H701" s="50"/>
      <c r="I701" s="50"/>
      <c r="J701" s="50"/>
      <c r="K701" s="11"/>
      <c r="L701" s="50"/>
      <c r="M701" s="50"/>
      <c r="N701" s="50"/>
      <c r="O701" s="50"/>
      <c r="P701" s="50"/>
      <c r="Q701" s="11"/>
      <c r="R701" s="50"/>
      <c r="S701" s="50"/>
      <c r="T701" s="50"/>
      <c r="U701" s="11"/>
      <c r="V701" s="50"/>
      <c r="W701" s="50"/>
      <c r="X701" s="50"/>
      <c r="Y701" s="50"/>
      <c r="Z701" s="50"/>
      <c r="AA701" s="11"/>
      <c r="AB701" s="50"/>
      <c r="AC701" s="50"/>
      <c r="AD701" s="50"/>
      <c r="AE701" s="11"/>
      <c r="AF701" s="50"/>
      <c r="AG701" s="50"/>
      <c r="AH701" s="50"/>
      <c r="AI701" s="11"/>
      <c r="AJ701" s="50"/>
      <c r="AK701" s="50"/>
      <c r="AL701" s="50"/>
      <c r="AM701" s="11"/>
      <c r="AN701" s="50"/>
      <c r="AO701" s="50"/>
      <c r="AP701" s="50"/>
      <c r="AQ701" s="11"/>
      <c r="AR701" s="50"/>
      <c r="AS701" s="50"/>
      <c r="AT701" s="50"/>
      <c r="AU701" s="11"/>
      <c r="AV701" s="50"/>
      <c r="AW701" s="50"/>
      <c r="AX701" s="50"/>
      <c r="AY701" s="50"/>
      <c r="AZ701" s="50"/>
      <c r="BA701" s="50"/>
      <c r="BB701" s="50"/>
      <c r="BC701" s="50"/>
      <c r="BD701" s="50"/>
      <c r="BE701" s="20"/>
      <c r="BF701" s="518"/>
      <c r="BG701" s="484"/>
      <c r="BH701" s="484"/>
      <c r="BI701" s="527"/>
      <c r="BJ701" s="484"/>
      <c r="BK701" s="484"/>
      <c r="BL701" s="484"/>
      <c r="BM701" s="484"/>
    </row>
    <row r="702" spans="1:65" s="22" customFormat="1" x14ac:dyDescent="0.25">
      <c r="A702" s="20"/>
      <c r="B702" s="515"/>
      <c r="C702" s="11"/>
      <c r="D702" s="11"/>
      <c r="E702" s="11"/>
      <c r="F702" s="21"/>
      <c r="G702" s="11"/>
      <c r="H702" s="50"/>
      <c r="I702" s="50"/>
      <c r="J702" s="50"/>
      <c r="K702" s="11"/>
      <c r="L702" s="50"/>
      <c r="M702" s="50"/>
      <c r="N702" s="50"/>
      <c r="O702" s="50"/>
      <c r="P702" s="50"/>
      <c r="Q702" s="11"/>
      <c r="R702" s="50"/>
      <c r="S702" s="50"/>
      <c r="T702" s="50"/>
      <c r="U702" s="11"/>
      <c r="V702" s="50"/>
      <c r="W702" s="50"/>
      <c r="X702" s="50"/>
      <c r="Y702" s="50"/>
      <c r="Z702" s="50"/>
      <c r="AA702" s="11"/>
      <c r="AB702" s="50"/>
      <c r="AC702" s="50"/>
      <c r="AD702" s="50"/>
      <c r="AE702" s="11"/>
      <c r="AF702" s="50"/>
      <c r="AG702" s="50"/>
      <c r="AH702" s="50"/>
      <c r="AI702" s="11"/>
      <c r="AJ702" s="50"/>
      <c r="AK702" s="50"/>
      <c r="AL702" s="50"/>
      <c r="AM702" s="11"/>
      <c r="AN702" s="50"/>
      <c r="AO702" s="50"/>
      <c r="AP702" s="50"/>
      <c r="AQ702" s="11"/>
      <c r="AR702" s="50"/>
      <c r="AS702" s="50"/>
      <c r="AT702" s="50"/>
      <c r="AU702" s="11"/>
      <c r="AV702" s="50"/>
      <c r="AW702" s="50"/>
      <c r="AX702" s="50"/>
      <c r="AY702" s="50"/>
      <c r="AZ702" s="50"/>
      <c r="BA702" s="50"/>
      <c r="BB702" s="50"/>
      <c r="BC702" s="50"/>
      <c r="BD702" s="50"/>
      <c r="BE702" s="20"/>
      <c r="BF702" s="518"/>
      <c r="BG702" s="484"/>
      <c r="BH702" s="484"/>
      <c r="BI702" s="527"/>
      <c r="BJ702" s="484"/>
      <c r="BK702" s="484"/>
      <c r="BL702" s="484"/>
      <c r="BM702" s="484"/>
    </row>
    <row r="703" spans="1:65" s="22" customFormat="1" x14ac:dyDescent="0.25">
      <c r="A703" s="20"/>
      <c r="B703" s="515"/>
      <c r="C703" s="11"/>
      <c r="D703" s="11"/>
      <c r="E703" s="11"/>
      <c r="F703" s="21"/>
      <c r="G703" s="11"/>
      <c r="H703" s="50"/>
      <c r="I703" s="50"/>
      <c r="J703" s="50"/>
      <c r="K703" s="11"/>
      <c r="L703" s="50"/>
      <c r="M703" s="50"/>
      <c r="N703" s="50"/>
      <c r="O703" s="50"/>
      <c r="P703" s="50"/>
      <c r="Q703" s="11"/>
      <c r="R703" s="50"/>
      <c r="S703" s="50"/>
      <c r="T703" s="50"/>
      <c r="U703" s="11"/>
      <c r="V703" s="50"/>
      <c r="W703" s="50"/>
      <c r="X703" s="50"/>
      <c r="Y703" s="50"/>
      <c r="Z703" s="50"/>
      <c r="AA703" s="11"/>
      <c r="AB703" s="50"/>
      <c r="AC703" s="50"/>
      <c r="AD703" s="50"/>
      <c r="AE703" s="11"/>
      <c r="AF703" s="50"/>
      <c r="AG703" s="50"/>
      <c r="AH703" s="50"/>
      <c r="AI703" s="11"/>
      <c r="AJ703" s="50"/>
      <c r="AK703" s="50"/>
      <c r="AL703" s="50"/>
      <c r="AM703" s="11"/>
      <c r="AN703" s="50"/>
      <c r="AO703" s="50"/>
      <c r="AP703" s="50"/>
      <c r="AQ703" s="11"/>
      <c r="AR703" s="50"/>
      <c r="AS703" s="50"/>
      <c r="AT703" s="50"/>
      <c r="AU703" s="11"/>
      <c r="AV703" s="50"/>
      <c r="AW703" s="50"/>
      <c r="AX703" s="50"/>
      <c r="AY703" s="50"/>
      <c r="AZ703" s="50"/>
      <c r="BA703" s="50"/>
      <c r="BB703" s="50"/>
      <c r="BC703" s="50"/>
      <c r="BD703" s="50"/>
      <c r="BE703" s="20"/>
      <c r="BF703" s="518"/>
      <c r="BG703" s="484"/>
      <c r="BH703" s="484"/>
      <c r="BI703" s="527"/>
      <c r="BJ703" s="484"/>
      <c r="BK703" s="484"/>
      <c r="BL703" s="484"/>
      <c r="BM703" s="484"/>
    </row>
    <row r="704" spans="1:65" s="22" customFormat="1" x14ac:dyDescent="0.25">
      <c r="A704" s="20"/>
      <c r="B704" s="515"/>
      <c r="C704" s="11"/>
      <c r="D704" s="11"/>
      <c r="E704" s="11"/>
      <c r="F704" s="21"/>
      <c r="G704" s="11"/>
      <c r="H704" s="50"/>
      <c r="I704" s="50"/>
      <c r="J704" s="50"/>
      <c r="K704" s="11"/>
      <c r="L704" s="50"/>
      <c r="M704" s="50"/>
      <c r="N704" s="50"/>
      <c r="O704" s="50"/>
      <c r="P704" s="50"/>
      <c r="Q704" s="11"/>
      <c r="R704" s="50"/>
      <c r="S704" s="50"/>
      <c r="T704" s="50"/>
      <c r="U704" s="11"/>
      <c r="V704" s="50"/>
      <c r="W704" s="50"/>
      <c r="X704" s="50"/>
      <c r="Y704" s="50"/>
      <c r="Z704" s="50"/>
      <c r="AA704" s="11"/>
      <c r="AB704" s="50"/>
      <c r="AC704" s="50"/>
      <c r="AD704" s="50"/>
      <c r="AE704" s="11"/>
      <c r="AF704" s="50"/>
      <c r="AG704" s="50"/>
      <c r="AH704" s="50"/>
      <c r="AI704" s="11"/>
      <c r="AJ704" s="50"/>
      <c r="AK704" s="50"/>
      <c r="AL704" s="50"/>
      <c r="AM704" s="11"/>
      <c r="AN704" s="50"/>
      <c r="AO704" s="50"/>
      <c r="AP704" s="50"/>
      <c r="AQ704" s="11"/>
      <c r="AR704" s="50"/>
      <c r="AS704" s="50"/>
      <c r="AT704" s="50"/>
      <c r="AU704" s="11"/>
      <c r="AV704" s="50"/>
      <c r="AW704" s="50"/>
      <c r="AX704" s="50"/>
      <c r="AY704" s="50"/>
      <c r="AZ704" s="50"/>
      <c r="BA704" s="50"/>
      <c r="BB704" s="50"/>
      <c r="BC704" s="50"/>
      <c r="BD704" s="50"/>
      <c r="BE704" s="20"/>
      <c r="BF704" s="518"/>
      <c r="BG704" s="484"/>
      <c r="BH704" s="484"/>
      <c r="BI704" s="527"/>
      <c r="BJ704" s="484"/>
      <c r="BK704" s="484"/>
      <c r="BL704" s="484"/>
      <c r="BM704" s="484"/>
    </row>
    <row r="705" spans="1:65" s="22" customFormat="1" x14ac:dyDescent="0.25">
      <c r="A705" s="20"/>
      <c r="B705" s="515"/>
      <c r="C705" s="11"/>
      <c r="D705" s="11"/>
      <c r="E705" s="11"/>
      <c r="F705" s="21"/>
      <c r="G705" s="11"/>
      <c r="H705" s="50"/>
      <c r="I705" s="50"/>
      <c r="J705" s="50"/>
      <c r="K705" s="11"/>
      <c r="L705" s="50"/>
      <c r="M705" s="50"/>
      <c r="N705" s="50"/>
      <c r="O705" s="50"/>
      <c r="P705" s="50"/>
      <c r="Q705" s="11"/>
      <c r="R705" s="50"/>
      <c r="S705" s="50"/>
      <c r="T705" s="50"/>
      <c r="U705" s="11"/>
      <c r="V705" s="50"/>
      <c r="W705" s="50"/>
      <c r="X705" s="50"/>
      <c r="Y705" s="50"/>
      <c r="Z705" s="50"/>
      <c r="AA705" s="11"/>
      <c r="AB705" s="50"/>
      <c r="AC705" s="50"/>
      <c r="AD705" s="50"/>
      <c r="AE705" s="11"/>
      <c r="AF705" s="50"/>
      <c r="AG705" s="50"/>
      <c r="AH705" s="50"/>
      <c r="AI705" s="11"/>
      <c r="AJ705" s="50"/>
      <c r="AK705" s="50"/>
      <c r="AL705" s="50"/>
      <c r="AM705" s="11"/>
      <c r="AN705" s="50"/>
      <c r="AO705" s="50"/>
      <c r="AP705" s="50"/>
      <c r="AQ705" s="11"/>
      <c r="AR705" s="50"/>
      <c r="AS705" s="50"/>
      <c r="AT705" s="50"/>
      <c r="AU705" s="11"/>
      <c r="AV705" s="50"/>
      <c r="AW705" s="50"/>
      <c r="AX705" s="50"/>
      <c r="AY705" s="50"/>
      <c r="AZ705" s="50"/>
      <c r="BA705" s="50"/>
      <c r="BB705" s="50"/>
      <c r="BC705" s="50"/>
      <c r="BD705" s="50"/>
      <c r="BE705" s="20"/>
      <c r="BF705" s="518"/>
      <c r="BG705" s="484"/>
      <c r="BH705" s="484"/>
      <c r="BI705" s="527"/>
      <c r="BJ705" s="484"/>
      <c r="BK705" s="484"/>
      <c r="BL705" s="484"/>
      <c r="BM705" s="484"/>
    </row>
    <row r="706" spans="1:65" s="22" customFormat="1" x14ac:dyDescent="0.25">
      <c r="A706" s="20"/>
      <c r="B706" s="515"/>
      <c r="C706" s="11"/>
      <c r="D706" s="11"/>
      <c r="E706" s="11"/>
      <c r="F706" s="21"/>
      <c r="G706" s="11"/>
      <c r="H706" s="50"/>
      <c r="I706" s="50"/>
      <c r="J706" s="50"/>
      <c r="K706" s="11"/>
      <c r="L706" s="50"/>
      <c r="M706" s="50"/>
      <c r="N706" s="50"/>
      <c r="O706" s="50"/>
      <c r="P706" s="50"/>
      <c r="Q706" s="11"/>
      <c r="R706" s="50"/>
      <c r="S706" s="50"/>
      <c r="T706" s="50"/>
      <c r="U706" s="11"/>
      <c r="V706" s="50"/>
      <c r="W706" s="50"/>
      <c r="X706" s="50"/>
      <c r="Y706" s="50"/>
      <c r="Z706" s="50"/>
      <c r="AA706" s="11"/>
      <c r="AB706" s="50"/>
      <c r="AC706" s="50"/>
      <c r="AD706" s="50"/>
      <c r="AE706" s="11"/>
      <c r="AF706" s="50"/>
      <c r="AG706" s="50"/>
      <c r="AH706" s="50"/>
      <c r="AI706" s="11"/>
      <c r="AJ706" s="50"/>
      <c r="AK706" s="50"/>
      <c r="AL706" s="50"/>
      <c r="AM706" s="11"/>
      <c r="AN706" s="50"/>
      <c r="AO706" s="50"/>
      <c r="AP706" s="50"/>
      <c r="AQ706" s="11"/>
      <c r="AR706" s="50"/>
      <c r="AS706" s="50"/>
      <c r="AT706" s="50"/>
      <c r="AU706" s="11"/>
      <c r="AV706" s="50"/>
      <c r="AW706" s="50"/>
      <c r="AX706" s="50"/>
      <c r="AY706" s="50"/>
      <c r="AZ706" s="50"/>
      <c r="BA706" s="50"/>
      <c r="BB706" s="50"/>
      <c r="BC706" s="50"/>
      <c r="BD706" s="50"/>
      <c r="BE706" s="20"/>
      <c r="BF706" s="518"/>
      <c r="BG706" s="484"/>
      <c r="BH706" s="484"/>
      <c r="BI706" s="527"/>
      <c r="BJ706" s="484"/>
      <c r="BK706" s="484"/>
      <c r="BL706" s="484"/>
      <c r="BM706" s="484"/>
    </row>
    <row r="707" spans="1:65" s="22" customFormat="1" x14ac:dyDescent="0.25">
      <c r="A707" s="20"/>
      <c r="B707" s="515"/>
      <c r="C707" s="11"/>
      <c r="D707" s="11"/>
      <c r="E707" s="11"/>
      <c r="F707" s="21"/>
      <c r="G707" s="11"/>
      <c r="H707" s="50"/>
      <c r="I707" s="50"/>
      <c r="J707" s="50"/>
      <c r="K707" s="11"/>
      <c r="L707" s="50"/>
      <c r="M707" s="50"/>
      <c r="N707" s="50"/>
      <c r="O707" s="50"/>
      <c r="P707" s="50"/>
      <c r="Q707" s="11"/>
      <c r="R707" s="50"/>
      <c r="S707" s="50"/>
      <c r="T707" s="50"/>
      <c r="U707" s="11"/>
      <c r="V707" s="50"/>
      <c r="W707" s="50"/>
      <c r="X707" s="50"/>
      <c r="Y707" s="50"/>
      <c r="Z707" s="50"/>
      <c r="AA707" s="11"/>
      <c r="AB707" s="50"/>
      <c r="AC707" s="50"/>
      <c r="AD707" s="50"/>
      <c r="AE707" s="11"/>
      <c r="AF707" s="50"/>
      <c r="AG707" s="50"/>
      <c r="AH707" s="50"/>
      <c r="AI707" s="11"/>
      <c r="AJ707" s="50"/>
      <c r="AK707" s="50"/>
      <c r="AL707" s="50"/>
      <c r="AM707" s="11"/>
      <c r="AN707" s="50"/>
      <c r="AO707" s="50"/>
      <c r="AP707" s="50"/>
      <c r="AQ707" s="11"/>
      <c r="AR707" s="50"/>
      <c r="AS707" s="50"/>
      <c r="AT707" s="50"/>
      <c r="AU707" s="11"/>
      <c r="AV707" s="50"/>
      <c r="AW707" s="50"/>
      <c r="AX707" s="50"/>
      <c r="AY707" s="50"/>
      <c r="AZ707" s="50"/>
      <c r="BA707" s="50"/>
      <c r="BB707" s="50"/>
      <c r="BC707" s="50"/>
      <c r="BD707" s="50"/>
      <c r="BE707" s="20"/>
      <c r="BF707" s="518"/>
      <c r="BG707" s="484"/>
      <c r="BH707" s="484"/>
      <c r="BI707" s="527"/>
      <c r="BJ707" s="484"/>
      <c r="BK707" s="484"/>
      <c r="BL707" s="484"/>
      <c r="BM707" s="484"/>
    </row>
    <row r="708" spans="1:65" s="22" customFormat="1" x14ac:dyDescent="0.25">
      <c r="A708" s="20"/>
      <c r="B708" s="515"/>
      <c r="C708" s="11"/>
      <c r="D708" s="11"/>
      <c r="E708" s="11"/>
      <c r="F708" s="21"/>
      <c r="G708" s="11"/>
      <c r="H708" s="50"/>
      <c r="I708" s="50"/>
      <c r="J708" s="50"/>
      <c r="K708" s="11"/>
      <c r="L708" s="50"/>
      <c r="M708" s="50"/>
      <c r="N708" s="50"/>
      <c r="O708" s="50"/>
      <c r="P708" s="50"/>
      <c r="Q708" s="11"/>
      <c r="R708" s="50"/>
      <c r="S708" s="50"/>
      <c r="T708" s="50"/>
      <c r="U708" s="11"/>
      <c r="V708" s="50"/>
      <c r="W708" s="50"/>
      <c r="X708" s="50"/>
      <c r="Y708" s="50"/>
      <c r="Z708" s="50"/>
      <c r="AA708" s="11"/>
      <c r="AB708" s="50"/>
      <c r="AC708" s="50"/>
      <c r="AD708" s="50"/>
      <c r="AE708" s="11"/>
      <c r="AF708" s="50"/>
      <c r="AG708" s="50"/>
      <c r="AH708" s="50"/>
      <c r="AI708" s="11"/>
      <c r="AJ708" s="50"/>
      <c r="AK708" s="50"/>
      <c r="AL708" s="50"/>
      <c r="AM708" s="11"/>
      <c r="AN708" s="50"/>
      <c r="AO708" s="50"/>
      <c r="AP708" s="50"/>
      <c r="AQ708" s="11"/>
      <c r="AR708" s="50"/>
      <c r="AS708" s="50"/>
      <c r="AT708" s="50"/>
      <c r="AU708" s="11"/>
      <c r="AV708" s="50"/>
      <c r="AW708" s="50"/>
      <c r="AX708" s="50"/>
      <c r="AY708" s="50"/>
      <c r="AZ708" s="50"/>
      <c r="BA708" s="50"/>
      <c r="BB708" s="50"/>
      <c r="BC708" s="50"/>
      <c r="BD708" s="50"/>
      <c r="BE708" s="20"/>
      <c r="BF708" s="518"/>
      <c r="BG708" s="484"/>
      <c r="BH708" s="484"/>
      <c r="BI708" s="527"/>
      <c r="BJ708" s="484"/>
      <c r="BK708" s="484"/>
      <c r="BL708" s="484"/>
      <c r="BM708" s="484"/>
    </row>
    <row r="709" spans="1:65" s="22" customFormat="1" x14ac:dyDescent="0.25">
      <c r="A709" s="20"/>
      <c r="B709" s="515"/>
      <c r="C709" s="11"/>
      <c r="D709" s="11"/>
      <c r="E709" s="11"/>
      <c r="F709" s="21"/>
      <c r="G709" s="11"/>
      <c r="H709" s="50"/>
      <c r="I709" s="50"/>
      <c r="J709" s="50"/>
      <c r="K709" s="11"/>
      <c r="L709" s="50"/>
      <c r="M709" s="50"/>
      <c r="N709" s="50"/>
      <c r="O709" s="50"/>
      <c r="P709" s="50"/>
      <c r="Q709" s="11"/>
      <c r="R709" s="50"/>
      <c r="S709" s="50"/>
      <c r="T709" s="50"/>
      <c r="U709" s="11"/>
      <c r="V709" s="50"/>
      <c r="W709" s="50"/>
      <c r="X709" s="50"/>
      <c r="Y709" s="50"/>
      <c r="Z709" s="50"/>
      <c r="AA709" s="11"/>
      <c r="AB709" s="50"/>
      <c r="AC709" s="50"/>
      <c r="AD709" s="50"/>
      <c r="AE709" s="11"/>
      <c r="AF709" s="50"/>
      <c r="AG709" s="50"/>
      <c r="AH709" s="50"/>
      <c r="AI709" s="11"/>
      <c r="AJ709" s="50"/>
      <c r="AK709" s="50"/>
      <c r="AL709" s="50"/>
      <c r="AM709" s="11"/>
      <c r="AN709" s="50"/>
      <c r="AO709" s="50"/>
      <c r="AP709" s="50"/>
      <c r="AQ709" s="11"/>
      <c r="AR709" s="50"/>
      <c r="AS709" s="50"/>
      <c r="AT709" s="50"/>
      <c r="AU709" s="11"/>
      <c r="AV709" s="50"/>
      <c r="AW709" s="50"/>
      <c r="AX709" s="50"/>
      <c r="AY709" s="50"/>
      <c r="AZ709" s="50"/>
      <c r="BA709" s="50"/>
      <c r="BB709" s="50"/>
      <c r="BC709" s="50"/>
      <c r="BD709" s="50"/>
      <c r="BE709" s="20"/>
      <c r="BF709" s="518"/>
      <c r="BG709" s="484"/>
      <c r="BH709" s="484"/>
      <c r="BI709" s="527"/>
      <c r="BJ709" s="484"/>
      <c r="BK709" s="484"/>
      <c r="BL709" s="484"/>
      <c r="BM709" s="484"/>
    </row>
    <row r="710" spans="1:65" s="22" customFormat="1" x14ac:dyDescent="0.25">
      <c r="A710" s="20"/>
      <c r="B710" s="515"/>
      <c r="C710" s="11"/>
      <c r="D710" s="11"/>
      <c r="E710" s="11"/>
      <c r="F710" s="21"/>
      <c r="G710" s="11"/>
      <c r="H710" s="50"/>
      <c r="I710" s="50"/>
      <c r="J710" s="50"/>
      <c r="K710" s="11"/>
      <c r="L710" s="50"/>
      <c r="M710" s="50"/>
      <c r="N710" s="50"/>
      <c r="O710" s="50"/>
      <c r="P710" s="50"/>
      <c r="Q710" s="11"/>
      <c r="R710" s="50"/>
      <c r="S710" s="50"/>
      <c r="T710" s="50"/>
      <c r="U710" s="11"/>
      <c r="V710" s="50"/>
      <c r="W710" s="50"/>
      <c r="X710" s="50"/>
      <c r="Y710" s="50"/>
      <c r="Z710" s="50"/>
      <c r="AA710" s="11"/>
      <c r="AB710" s="50"/>
      <c r="AC710" s="50"/>
      <c r="AD710" s="50"/>
      <c r="AE710" s="11"/>
      <c r="AF710" s="50"/>
      <c r="AG710" s="50"/>
      <c r="AH710" s="50"/>
      <c r="AI710" s="11"/>
      <c r="AJ710" s="50"/>
      <c r="AK710" s="50"/>
      <c r="AL710" s="50"/>
      <c r="AM710" s="11"/>
      <c r="AN710" s="50"/>
      <c r="AO710" s="50"/>
      <c r="AP710" s="50"/>
      <c r="AQ710" s="11"/>
      <c r="AR710" s="50"/>
      <c r="AS710" s="50"/>
      <c r="AT710" s="50"/>
      <c r="AU710" s="11"/>
      <c r="AV710" s="50"/>
      <c r="AW710" s="50"/>
      <c r="AX710" s="50"/>
      <c r="AY710" s="50"/>
      <c r="AZ710" s="50"/>
      <c r="BA710" s="50"/>
      <c r="BB710" s="50"/>
      <c r="BC710" s="50"/>
      <c r="BD710" s="50"/>
      <c r="BE710" s="20"/>
      <c r="BF710" s="518"/>
      <c r="BG710" s="484"/>
      <c r="BH710" s="484"/>
      <c r="BI710" s="527"/>
      <c r="BJ710" s="484"/>
      <c r="BK710" s="484"/>
      <c r="BL710" s="484"/>
      <c r="BM710" s="484"/>
    </row>
    <row r="711" spans="1:65" s="22" customFormat="1" x14ac:dyDescent="0.25">
      <c r="A711" s="20"/>
      <c r="B711" s="515"/>
      <c r="C711" s="11"/>
      <c r="D711" s="11"/>
      <c r="E711" s="11"/>
      <c r="F711" s="21"/>
      <c r="G711" s="11"/>
      <c r="H711" s="50"/>
      <c r="I711" s="50"/>
      <c r="J711" s="50"/>
      <c r="K711" s="11"/>
      <c r="L711" s="50"/>
      <c r="M711" s="50"/>
      <c r="N711" s="50"/>
      <c r="O711" s="50"/>
      <c r="P711" s="50"/>
      <c r="Q711" s="11"/>
      <c r="R711" s="50"/>
      <c r="S711" s="50"/>
      <c r="T711" s="50"/>
      <c r="U711" s="11"/>
      <c r="V711" s="50"/>
      <c r="W711" s="50"/>
      <c r="X711" s="50"/>
      <c r="Y711" s="50"/>
      <c r="Z711" s="50"/>
      <c r="AA711" s="11"/>
      <c r="AB711" s="50"/>
      <c r="AC711" s="50"/>
      <c r="AD711" s="50"/>
      <c r="AE711" s="11"/>
      <c r="AF711" s="50"/>
      <c r="AG711" s="50"/>
      <c r="AH711" s="50"/>
      <c r="AI711" s="11"/>
      <c r="AJ711" s="50"/>
      <c r="AK711" s="50"/>
      <c r="AL711" s="50"/>
      <c r="AM711" s="11"/>
      <c r="AN711" s="50"/>
      <c r="AO711" s="50"/>
      <c r="AP711" s="50"/>
      <c r="AQ711" s="11"/>
      <c r="AR711" s="50"/>
      <c r="AS711" s="50"/>
      <c r="AT711" s="50"/>
      <c r="AU711" s="11"/>
      <c r="AV711" s="50"/>
      <c r="AW711" s="50"/>
      <c r="AX711" s="50"/>
      <c r="AY711" s="50"/>
      <c r="AZ711" s="50"/>
      <c r="BA711" s="50"/>
      <c r="BB711" s="50"/>
      <c r="BC711" s="50"/>
      <c r="BD711" s="50"/>
      <c r="BE711" s="20"/>
      <c r="BF711" s="518"/>
      <c r="BG711" s="484"/>
      <c r="BH711" s="484"/>
      <c r="BI711" s="527"/>
      <c r="BJ711" s="484"/>
      <c r="BK711" s="484"/>
      <c r="BL711" s="484"/>
      <c r="BM711" s="484"/>
    </row>
    <row r="712" spans="1:65" s="22" customFormat="1" x14ac:dyDescent="0.25">
      <c r="A712" s="20"/>
      <c r="B712" s="515"/>
      <c r="C712" s="11"/>
      <c r="D712" s="11"/>
      <c r="E712" s="11"/>
      <c r="F712" s="21"/>
      <c r="G712" s="11"/>
      <c r="H712" s="50"/>
      <c r="I712" s="50"/>
      <c r="J712" s="50"/>
      <c r="K712" s="11"/>
      <c r="L712" s="50"/>
      <c r="M712" s="50"/>
      <c r="N712" s="50"/>
      <c r="O712" s="50"/>
      <c r="P712" s="50"/>
      <c r="Q712" s="11"/>
      <c r="R712" s="50"/>
      <c r="S712" s="50"/>
      <c r="T712" s="50"/>
      <c r="U712" s="11"/>
      <c r="V712" s="50"/>
      <c r="W712" s="50"/>
      <c r="X712" s="50"/>
      <c r="Y712" s="50"/>
      <c r="Z712" s="50"/>
      <c r="AA712" s="11"/>
      <c r="AB712" s="50"/>
      <c r="AC712" s="50"/>
      <c r="AD712" s="50"/>
      <c r="AE712" s="11"/>
      <c r="AF712" s="50"/>
      <c r="AG712" s="50"/>
      <c r="AH712" s="50"/>
      <c r="AI712" s="11"/>
      <c r="AJ712" s="50"/>
      <c r="AK712" s="50"/>
      <c r="AL712" s="50"/>
      <c r="AM712" s="11"/>
      <c r="AN712" s="50"/>
      <c r="AO712" s="50"/>
      <c r="AP712" s="50"/>
      <c r="AQ712" s="11"/>
      <c r="AR712" s="50"/>
      <c r="AS712" s="50"/>
      <c r="AT712" s="50"/>
      <c r="AU712" s="11"/>
      <c r="AV712" s="50"/>
      <c r="AW712" s="50"/>
      <c r="AX712" s="50"/>
      <c r="AY712" s="50"/>
      <c r="AZ712" s="50"/>
      <c r="BA712" s="50"/>
      <c r="BB712" s="50"/>
      <c r="BC712" s="50"/>
      <c r="BD712" s="50"/>
      <c r="BE712" s="20"/>
      <c r="BF712" s="518"/>
      <c r="BG712" s="484"/>
      <c r="BH712" s="484"/>
      <c r="BI712" s="527"/>
      <c r="BJ712" s="484"/>
      <c r="BK712" s="484"/>
      <c r="BL712" s="484"/>
      <c r="BM712" s="484"/>
    </row>
    <row r="713" spans="1:65" s="22" customFormat="1" x14ac:dyDescent="0.25">
      <c r="A713" s="20"/>
      <c r="B713" s="515"/>
      <c r="C713" s="11"/>
      <c r="D713" s="11"/>
      <c r="E713" s="11"/>
      <c r="F713" s="21"/>
      <c r="G713" s="11"/>
      <c r="H713" s="50"/>
      <c r="I713" s="50"/>
      <c r="J713" s="50"/>
      <c r="K713" s="11"/>
      <c r="L713" s="50"/>
      <c r="M713" s="50"/>
      <c r="N713" s="50"/>
      <c r="O713" s="50"/>
      <c r="P713" s="50"/>
      <c r="Q713" s="11"/>
      <c r="R713" s="50"/>
      <c r="S713" s="50"/>
      <c r="T713" s="50"/>
      <c r="U713" s="11"/>
      <c r="V713" s="50"/>
      <c r="W713" s="50"/>
      <c r="X713" s="50"/>
      <c r="Y713" s="50"/>
      <c r="Z713" s="50"/>
      <c r="AA713" s="11"/>
      <c r="AB713" s="50"/>
      <c r="AC713" s="50"/>
      <c r="AD713" s="50"/>
      <c r="AE713" s="11"/>
      <c r="AF713" s="50"/>
      <c r="AG713" s="50"/>
      <c r="AH713" s="50"/>
      <c r="AI713" s="11"/>
      <c r="AJ713" s="50"/>
      <c r="AK713" s="50"/>
      <c r="AL713" s="50"/>
      <c r="AM713" s="11"/>
      <c r="AN713" s="50"/>
      <c r="AO713" s="50"/>
      <c r="AP713" s="50"/>
      <c r="AQ713" s="11"/>
      <c r="AR713" s="50"/>
      <c r="AS713" s="50"/>
      <c r="AT713" s="50"/>
      <c r="AU713" s="11"/>
      <c r="AV713" s="50"/>
      <c r="AW713" s="50"/>
      <c r="AX713" s="50"/>
      <c r="AY713" s="50"/>
      <c r="AZ713" s="50"/>
      <c r="BA713" s="50"/>
      <c r="BB713" s="50"/>
      <c r="BC713" s="50"/>
      <c r="BD713" s="50"/>
      <c r="BE713" s="20"/>
      <c r="BF713" s="518"/>
      <c r="BG713" s="484"/>
      <c r="BH713" s="484"/>
      <c r="BI713" s="527"/>
      <c r="BJ713" s="484"/>
      <c r="BK713" s="484"/>
      <c r="BL713" s="484"/>
      <c r="BM713" s="484"/>
    </row>
    <row r="714" spans="1:65" s="22" customFormat="1" x14ac:dyDescent="0.25">
      <c r="A714" s="20"/>
      <c r="B714" s="515"/>
      <c r="C714" s="11"/>
      <c r="D714" s="11"/>
      <c r="E714" s="11"/>
      <c r="F714" s="21"/>
      <c r="G714" s="11"/>
      <c r="H714" s="50"/>
      <c r="I714" s="50"/>
      <c r="J714" s="50"/>
      <c r="K714" s="11"/>
      <c r="L714" s="50"/>
      <c r="M714" s="50"/>
      <c r="N714" s="50"/>
      <c r="O714" s="50"/>
      <c r="P714" s="50"/>
      <c r="Q714" s="11"/>
      <c r="R714" s="50"/>
      <c r="S714" s="50"/>
      <c r="T714" s="50"/>
      <c r="U714" s="11"/>
      <c r="V714" s="50"/>
      <c r="W714" s="50"/>
      <c r="X714" s="50"/>
      <c r="Y714" s="50"/>
      <c r="Z714" s="50"/>
      <c r="AA714" s="11"/>
      <c r="AB714" s="50"/>
      <c r="AC714" s="50"/>
      <c r="AD714" s="50"/>
      <c r="AE714" s="11"/>
      <c r="AF714" s="50"/>
      <c r="AG714" s="50"/>
      <c r="AH714" s="50"/>
      <c r="AI714" s="11"/>
      <c r="AJ714" s="50"/>
      <c r="AK714" s="50"/>
      <c r="AL714" s="50"/>
      <c r="AM714" s="11"/>
      <c r="AN714" s="50"/>
      <c r="AO714" s="50"/>
      <c r="AP714" s="50"/>
      <c r="AQ714" s="11"/>
      <c r="AR714" s="50"/>
      <c r="AS714" s="50"/>
      <c r="AT714" s="50"/>
      <c r="AU714" s="11"/>
      <c r="AV714" s="50"/>
      <c r="AW714" s="50"/>
      <c r="AX714" s="50"/>
      <c r="AY714" s="50"/>
      <c r="AZ714" s="50"/>
      <c r="BA714" s="50"/>
      <c r="BB714" s="50"/>
      <c r="BC714" s="50"/>
      <c r="BD714" s="50"/>
      <c r="BE714" s="20"/>
      <c r="BF714" s="518"/>
      <c r="BG714" s="484"/>
      <c r="BH714" s="484"/>
      <c r="BI714" s="527"/>
      <c r="BJ714" s="484"/>
      <c r="BK714" s="484"/>
      <c r="BL714" s="484"/>
      <c r="BM714" s="484"/>
    </row>
    <row r="715" spans="1:65" s="22" customFormat="1" x14ac:dyDescent="0.25">
      <c r="A715" s="20"/>
      <c r="B715" s="515"/>
      <c r="C715" s="11"/>
      <c r="D715" s="11"/>
      <c r="E715" s="11"/>
      <c r="F715" s="21"/>
      <c r="G715" s="11"/>
      <c r="H715" s="50"/>
      <c r="I715" s="50"/>
      <c r="J715" s="50"/>
      <c r="K715" s="11"/>
      <c r="L715" s="50"/>
      <c r="M715" s="50"/>
      <c r="N715" s="50"/>
      <c r="O715" s="50"/>
      <c r="P715" s="50"/>
      <c r="Q715" s="11"/>
      <c r="R715" s="50"/>
      <c r="S715" s="50"/>
      <c r="T715" s="50"/>
      <c r="U715" s="11"/>
      <c r="V715" s="50"/>
      <c r="W715" s="50"/>
      <c r="X715" s="50"/>
      <c r="Y715" s="50"/>
      <c r="Z715" s="50"/>
      <c r="AA715" s="11"/>
      <c r="AB715" s="50"/>
      <c r="AC715" s="50"/>
      <c r="AD715" s="50"/>
      <c r="AE715" s="11"/>
      <c r="AF715" s="50"/>
      <c r="AG715" s="50"/>
      <c r="AH715" s="50"/>
      <c r="AI715" s="11"/>
      <c r="AJ715" s="50"/>
      <c r="AK715" s="50"/>
      <c r="AL715" s="50"/>
      <c r="AM715" s="11"/>
      <c r="AN715" s="50"/>
      <c r="AO715" s="50"/>
      <c r="AP715" s="50"/>
      <c r="AQ715" s="11"/>
      <c r="AR715" s="50"/>
      <c r="AS715" s="50"/>
      <c r="AT715" s="50"/>
      <c r="AU715" s="11"/>
      <c r="AV715" s="50"/>
      <c r="AW715" s="50"/>
      <c r="AX715" s="50"/>
      <c r="AY715" s="50"/>
      <c r="AZ715" s="50"/>
      <c r="BA715" s="50"/>
      <c r="BB715" s="50"/>
      <c r="BC715" s="50"/>
      <c r="BD715" s="50"/>
      <c r="BE715" s="20"/>
      <c r="BF715" s="518"/>
      <c r="BG715" s="484"/>
      <c r="BH715" s="484"/>
      <c r="BI715" s="527"/>
      <c r="BJ715" s="484"/>
      <c r="BK715" s="484"/>
      <c r="BL715" s="484"/>
      <c r="BM715" s="484"/>
    </row>
    <row r="716" spans="1:65" s="22" customFormat="1" x14ac:dyDescent="0.25">
      <c r="A716" s="20"/>
      <c r="B716" s="515"/>
      <c r="C716" s="11"/>
      <c r="D716" s="11"/>
      <c r="E716" s="11"/>
      <c r="F716" s="21"/>
      <c r="G716" s="11"/>
      <c r="H716" s="50"/>
      <c r="I716" s="50"/>
      <c r="J716" s="50"/>
      <c r="K716" s="11"/>
      <c r="L716" s="50"/>
      <c r="M716" s="50"/>
      <c r="N716" s="50"/>
      <c r="O716" s="50"/>
      <c r="P716" s="50"/>
      <c r="Q716" s="11"/>
      <c r="R716" s="50"/>
      <c r="S716" s="50"/>
      <c r="T716" s="50"/>
      <c r="U716" s="11"/>
      <c r="V716" s="50"/>
      <c r="W716" s="50"/>
      <c r="X716" s="50"/>
      <c r="Y716" s="50"/>
      <c r="Z716" s="50"/>
      <c r="AA716" s="11"/>
      <c r="AB716" s="50"/>
      <c r="AC716" s="50"/>
      <c r="AD716" s="50"/>
      <c r="AE716" s="11"/>
      <c r="AF716" s="50"/>
      <c r="AG716" s="50"/>
      <c r="AH716" s="50"/>
      <c r="AI716" s="11"/>
      <c r="AJ716" s="50"/>
      <c r="AK716" s="50"/>
      <c r="AL716" s="50"/>
      <c r="AM716" s="11"/>
      <c r="AN716" s="50"/>
      <c r="AO716" s="50"/>
      <c r="AP716" s="50"/>
      <c r="AQ716" s="11"/>
      <c r="AR716" s="50"/>
      <c r="AS716" s="50"/>
      <c r="AT716" s="50"/>
      <c r="AU716" s="11"/>
      <c r="AV716" s="50"/>
      <c r="AW716" s="50"/>
      <c r="AX716" s="50"/>
      <c r="AY716" s="50"/>
      <c r="AZ716" s="50"/>
      <c r="BA716" s="50"/>
      <c r="BB716" s="50"/>
      <c r="BC716" s="50"/>
      <c r="BD716" s="50"/>
      <c r="BE716" s="20"/>
      <c r="BF716" s="518"/>
      <c r="BG716" s="484"/>
      <c r="BH716" s="484"/>
      <c r="BI716" s="527"/>
      <c r="BJ716" s="484"/>
      <c r="BK716" s="484"/>
      <c r="BL716" s="484"/>
      <c r="BM716" s="484"/>
    </row>
    <row r="717" spans="1:65" s="22" customFormat="1" x14ac:dyDescent="0.25">
      <c r="A717" s="20"/>
      <c r="B717" s="515"/>
      <c r="C717" s="11"/>
      <c r="D717" s="11"/>
      <c r="E717" s="11"/>
      <c r="F717" s="21"/>
      <c r="G717" s="11"/>
      <c r="H717" s="50"/>
      <c r="I717" s="50"/>
      <c r="J717" s="50"/>
      <c r="K717" s="11"/>
      <c r="L717" s="50"/>
      <c r="M717" s="50"/>
      <c r="N717" s="50"/>
      <c r="O717" s="50"/>
      <c r="P717" s="50"/>
      <c r="Q717" s="11"/>
      <c r="R717" s="50"/>
      <c r="S717" s="50"/>
      <c r="T717" s="50"/>
      <c r="U717" s="11"/>
      <c r="V717" s="50"/>
      <c r="W717" s="50"/>
      <c r="X717" s="50"/>
      <c r="Y717" s="50"/>
      <c r="Z717" s="50"/>
      <c r="AA717" s="11"/>
      <c r="AB717" s="50"/>
      <c r="AC717" s="50"/>
      <c r="AD717" s="50"/>
      <c r="AE717" s="11"/>
      <c r="AF717" s="50"/>
      <c r="AG717" s="50"/>
      <c r="AH717" s="50"/>
      <c r="AI717" s="11"/>
      <c r="AJ717" s="50"/>
      <c r="AK717" s="50"/>
      <c r="AL717" s="50"/>
      <c r="AM717" s="11"/>
      <c r="AN717" s="50"/>
      <c r="AO717" s="50"/>
      <c r="AP717" s="50"/>
      <c r="AQ717" s="11"/>
      <c r="AR717" s="50"/>
      <c r="AS717" s="50"/>
      <c r="AT717" s="50"/>
      <c r="AU717" s="11"/>
      <c r="AV717" s="50"/>
      <c r="AW717" s="50"/>
      <c r="AX717" s="50"/>
      <c r="AY717" s="50"/>
      <c r="AZ717" s="50"/>
      <c r="BA717" s="50"/>
      <c r="BB717" s="50"/>
      <c r="BC717" s="50"/>
      <c r="BD717" s="50"/>
      <c r="BE717" s="20"/>
      <c r="BF717" s="518"/>
      <c r="BG717" s="484"/>
      <c r="BH717" s="484"/>
      <c r="BI717" s="527"/>
      <c r="BJ717" s="484"/>
      <c r="BK717" s="484"/>
      <c r="BL717" s="484"/>
      <c r="BM717" s="484"/>
    </row>
    <row r="718" spans="1:65" s="22" customFormat="1" x14ac:dyDescent="0.25">
      <c r="A718" s="20"/>
      <c r="B718" s="515"/>
      <c r="C718" s="11"/>
      <c r="D718" s="11"/>
      <c r="E718" s="11"/>
      <c r="F718" s="21"/>
      <c r="G718" s="11"/>
      <c r="H718" s="50"/>
      <c r="I718" s="50"/>
      <c r="J718" s="50"/>
      <c r="K718" s="11"/>
      <c r="L718" s="50"/>
      <c r="M718" s="50"/>
      <c r="N718" s="50"/>
      <c r="O718" s="50"/>
      <c r="P718" s="50"/>
      <c r="Q718" s="11"/>
      <c r="R718" s="50"/>
      <c r="S718" s="50"/>
      <c r="T718" s="50"/>
      <c r="U718" s="11"/>
      <c r="V718" s="50"/>
      <c r="W718" s="50"/>
      <c r="X718" s="50"/>
      <c r="Y718" s="50"/>
      <c r="Z718" s="50"/>
      <c r="AA718" s="11"/>
      <c r="AB718" s="50"/>
      <c r="AC718" s="50"/>
      <c r="AD718" s="50"/>
      <c r="AE718" s="11"/>
      <c r="AF718" s="50"/>
      <c r="AG718" s="50"/>
      <c r="AH718" s="50"/>
      <c r="AI718" s="11"/>
      <c r="AJ718" s="50"/>
      <c r="AK718" s="50"/>
      <c r="AL718" s="50"/>
      <c r="AM718" s="11"/>
      <c r="AN718" s="50"/>
      <c r="AO718" s="50"/>
      <c r="AP718" s="50"/>
      <c r="AQ718" s="11"/>
      <c r="AR718" s="50"/>
      <c r="AS718" s="50"/>
      <c r="AT718" s="50"/>
      <c r="AU718" s="11"/>
      <c r="AV718" s="50"/>
      <c r="AW718" s="50"/>
      <c r="AX718" s="50"/>
      <c r="AY718" s="50"/>
      <c r="AZ718" s="50"/>
      <c r="BA718" s="50"/>
      <c r="BB718" s="50"/>
      <c r="BC718" s="50"/>
      <c r="BD718" s="50"/>
      <c r="BE718" s="20"/>
      <c r="BF718" s="518"/>
      <c r="BG718" s="484"/>
      <c r="BH718" s="484"/>
      <c r="BI718" s="527"/>
      <c r="BJ718" s="484"/>
      <c r="BK718" s="484"/>
      <c r="BL718" s="484"/>
      <c r="BM718" s="484"/>
    </row>
    <row r="719" spans="1:65" s="22" customFormat="1" x14ac:dyDescent="0.25">
      <c r="A719" s="20"/>
      <c r="B719" s="515"/>
      <c r="C719" s="11"/>
      <c r="D719" s="11"/>
      <c r="E719" s="11"/>
      <c r="F719" s="21"/>
      <c r="G719" s="11"/>
      <c r="H719" s="50"/>
      <c r="I719" s="50"/>
      <c r="J719" s="50"/>
      <c r="K719" s="11"/>
      <c r="L719" s="50"/>
      <c r="M719" s="50"/>
      <c r="N719" s="50"/>
      <c r="O719" s="50"/>
      <c r="P719" s="50"/>
      <c r="Q719" s="11"/>
      <c r="R719" s="50"/>
      <c r="S719" s="50"/>
      <c r="T719" s="50"/>
      <c r="U719" s="11"/>
      <c r="V719" s="50"/>
      <c r="W719" s="50"/>
      <c r="X719" s="50"/>
      <c r="Y719" s="50"/>
      <c r="Z719" s="50"/>
      <c r="AA719" s="11"/>
      <c r="AB719" s="50"/>
      <c r="AC719" s="50"/>
      <c r="AD719" s="50"/>
      <c r="AE719" s="11"/>
      <c r="AF719" s="50"/>
      <c r="AG719" s="50"/>
      <c r="AH719" s="50"/>
      <c r="AI719" s="11"/>
      <c r="AJ719" s="50"/>
      <c r="AK719" s="50"/>
      <c r="AL719" s="50"/>
      <c r="AM719" s="11"/>
      <c r="AN719" s="50"/>
      <c r="AO719" s="50"/>
      <c r="AP719" s="50"/>
      <c r="AQ719" s="11"/>
      <c r="AR719" s="50"/>
      <c r="AS719" s="50"/>
      <c r="AT719" s="50"/>
      <c r="AU719" s="11"/>
      <c r="AV719" s="50"/>
      <c r="AW719" s="50"/>
      <c r="AX719" s="50"/>
      <c r="AY719" s="50"/>
      <c r="AZ719" s="50"/>
      <c r="BA719" s="50"/>
      <c r="BB719" s="50"/>
      <c r="BC719" s="50"/>
      <c r="BD719" s="50"/>
      <c r="BE719" s="20"/>
      <c r="BF719" s="518"/>
      <c r="BG719" s="484"/>
      <c r="BH719" s="484"/>
      <c r="BI719" s="527"/>
      <c r="BJ719" s="484"/>
      <c r="BK719" s="484"/>
      <c r="BL719" s="484"/>
      <c r="BM719" s="484"/>
    </row>
    <row r="720" spans="1:65" s="22" customFormat="1" x14ac:dyDescent="0.25">
      <c r="A720" s="20"/>
      <c r="B720" s="515"/>
      <c r="C720" s="11"/>
      <c r="D720" s="11"/>
      <c r="E720" s="11"/>
      <c r="F720" s="21"/>
      <c r="G720" s="11"/>
      <c r="H720" s="50"/>
      <c r="I720" s="50"/>
      <c r="J720" s="50"/>
      <c r="K720" s="11"/>
      <c r="L720" s="50"/>
      <c r="M720" s="50"/>
      <c r="N720" s="50"/>
      <c r="O720" s="50"/>
      <c r="P720" s="50"/>
      <c r="Q720" s="11"/>
      <c r="R720" s="50"/>
      <c r="S720" s="50"/>
      <c r="T720" s="50"/>
      <c r="U720" s="11"/>
      <c r="V720" s="50"/>
      <c r="W720" s="50"/>
      <c r="X720" s="50"/>
      <c r="Y720" s="50"/>
      <c r="Z720" s="50"/>
      <c r="AA720" s="11"/>
      <c r="AB720" s="50"/>
      <c r="AC720" s="50"/>
      <c r="AD720" s="50"/>
      <c r="AE720" s="11"/>
      <c r="AF720" s="50"/>
      <c r="AG720" s="50"/>
      <c r="AH720" s="50"/>
      <c r="AI720" s="11"/>
      <c r="AJ720" s="50"/>
      <c r="AK720" s="50"/>
      <c r="AL720" s="50"/>
      <c r="AM720" s="11"/>
      <c r="AN720" s="50"/>
      <c r="AO720" s="50"/>
      <c r="AP720" s="50"/>
      <c r="AQ720" s="11"/>
      <c r="AR720" s="50"/>
      <c r="AS720" s="50"/>
      <c r="AT720" s="50"/>
      <c r="AU720" s="11"/>
      <c r="AV720" s="50"/>
      <c r="AW720" s="50"/>
      <c r="AX720" s="50"/>
      <c r="AY720" s="50"/>
      <c r="AZ720" s="50"/>
      <c r="BA720" s="50"/>
      <c r="BB720" s="50"/>
      <c r="BC720" s="50"/>
      <c r="BD720" s="50"/>
      <c r="BE720" s="20"/>
      <c r="BF720" s="518"/>
      <c r="BG720" s="484"/>
      <c r="BH720" s="484"/>
      <c r="BI720" s="527"/>
      <c r="BJ720" s="484"/>
      <c r="BK720" s="484"/>
      <c r="BL720" s="484"/>
      <c r="BM720" s="484"/>
    </row>
    <row r="721" spans="1:65" s="22" customFormat="1" x14ac:dyDescent="0.25">
      <c r="A721" s="20"/>
      <c r="B721" s="515"/>
      <c r="C721" s="11"/>
      <c r="D721" s="11"/>
      <c r="E721" s="11"/>
      <c r="F721" s="21"/>
      <c r="G721" s="11"/>
      <c r="H721" s="50"/>
      <c r="I721" s="50"/>
      <c r="J721" s="50"/>
      <c r="K721" s="11"/>
      <c r="L721" s="50"/>
      <c r="M721" s="50"/>
      <c r="N721" s="50"/>
      <c r="O721" s="50"/>
      <c r="P721" s="50"/>
      <c r="Q721" s="11"/>
      <c r="R721" s="50"/>
      <c r="S721" s="50"/>
      <c r="T721" s="50"/>
      <c r="U721" s="11"/>
      <c r="V721" s="50"/>
      <c r="W721" s="50"/>
      <c r="X721" s="50"/>
      <c r="Y721" s="50"/>
      <c r="Z721" s="50"/>
      <c r="AA721" s="11"/>
      <c r="AB721" s="50"/>
      <c r="AC721" s="50"/>
      <c r="AD721" s="50"/>
      <c r="AE721" s="11"/>
      <c r="AF721" s="50"/>
      <c r="AG721" s="50"/>
      <c r="AH721" s="50"/>
      <c r="AI721" s="11"/>
      <c r="AJ721" s="50"/>
      <c r="AK721" s="50"/>
      <c r="AL721" s="50"/>
      <c r="AM721" s="11"/>
      <c r="AN721" s="50"/>
      <c r="AO721" s="50"/>
      <c r="AP721" s="50"/>
      <c r="AQ721" s="11"/>
      <c r="AR721" s="50"/>
      <c r="AS721" s="50"/>
      <c r="AT721" s="50"/>
      <c r="AU721" s="11"/>
      <c r="AV721" s="50"/>
      <c r="AW721" s="50"/>
      <c r="AX721" s="50"/>
      <c r="AY721" s="50"/>
      <c r="AZ721" s="50"/>
      <c r="BA721" s="50"/>
      <c r="BB721" s="50"/>
      <c r="BC721" s="50"/>
      <c r="BD721" s="50"/>
      <c r="BE721" s="20"/>
      <c r="BF721" s="518"/>
      <c r="BG721" s="484"/>
      <c r="BH721" s="484"/>
      <c r="BI721" s="527"/>
      <c r="BJ721" s="484"/>
      <c r="BK721" s="484"/>
      <c r="BL721" s="484"/>
      <c r="BM721" s="484"/>
    </row>
    <row r="722" spans="1:65" s="22" customFormat="1" x14ac:dyDescent="0.25">
      <c r="A722" s="20"/>
      <c r="B722" s="515"/>
      <c r="C722" s="11"/>
      <c r="D722" s="11"/>
      <c r="E722" s="11"/>
      <c r="F722" s="21"/>
      <c r="G722" s="11"/>
      <c r="H722" s="50"/>
      <c r="I722" s="50"/>
      <c r="J722" s="50"/>
      <c r="K722" s="11"/>
      <c r="L722" s="50"/>
      <c r="M722" s="50"/>
      <c r="N722" s="50"/>
      <c r="O722" s="50"/>
      <c r="P722" s="50"/>
      <c r="Q722" s="11"/>
      <c r="R722" s="50"/>
      <c r="S722" s="50"/>
      <c r="T722" s="50"/>
      <c r="U722" s="11"/>
      <c r="V722" s="50"/>
      <c r="W722" s="50"/>
      <c r="X722" s="50"/>
      <c r="Y722" s="50"/>
      <c r="Z722" s="50"/>
      <c r="AA722" s="11"/>
      <c r="AB722" s="50"/>
      <c r="AC722" s="50"/>
      <c r="AD722" s="50"/>
      <c r="AE722" s="11"/>
      <c r="AF722" s="50"/>
      <c r="AG722" s="50"/>
      <c r="AH722" s="50"/>
      <c r="AI722" s="11"/>
      <c r="AJ722" s="50"/>
      <c r="AK722" s="50"/>
      <c r="AL722" s="50"/>
      <c r="AM722" s="11"/>
      <c r="AN722" s="50"/>
      <c r="AO722" s="50"/>
      <c r="AP722" s="50"/>
      <c r="AQ722" s="11"/>
      <c r="AR722" s="50"/>
      <c r="AS722" s="50"/>
      <c r="AT722" s="50"/>
      <c r="AU722" s="11"/>
      <c r="AV722" s="50"/>
      <c r="AW722" s="50"/>
      <c r="AX722" s="50"/>
      <c r="AY722" s="50"/>
      <c r="AZ722" s="50"/>
      <c r="BA722" s="50"/>
      <c r="BB722" s="50"/>
      <c r="BC722" s="50"/>
      <c r="BD722" s="50"/>
      <c r="BE722" s="20"/>
      <c r="BF722" s="518"/>
      <c r="BG722" s="484"/>
      <c r="BH722" s="484"/>
      <c r="BI722" s="527"/>
      <c r="BJ722" s="484"/>
      <c r="BK722" s="484"/>
      <c r="BL722" s="484"/>
      <c r="BM722" s="484"/>
    </row>
    <row r="723" spans="1:65" s="22" customFormat="1" x14ac:dyDescent="0.25">
      <c r="A723" s="20"/>
      <c r="B723" s="515"/>
      <c r="C723" s="11"/>
      <c r="D723" s="11"/>
      <c r="E723" s="11"/>
      <c r="F723" s="21"/>
      <c r="G723" s="11"/>
      <c r="H723" s="50"/>
      <c r="I723" s="50"/>
      <c r="J723" s="50"/>
      <c r="K723" s="11"/>
      <c r="L723" s="50"/>
      <c r="M723" s="50"/>
      <c r="N723" s="50"/>
      <c r="O723" s="50"/>
      <c r="P723" s="50"/>
      <c r="Q723" s="11"/>
      <c r="R723" s="50"/>
      <c r="S723" s="50"/>
      <c r="T723" s="50"/>
      <c r="U723" s="11"/>
      <c r="V723" s="50"/>
      <c r="W723" s="50"/>
      <c r="X723" s="50"/>
      <c r="Y723" s="50"/>
      <c r="Z723" s="50"/>
      <c r="AA723" s="11"/>
      <c r="AB723" s="50"/>
      <c r="AC723" s="50"/>
      <c r="AD723" s="50"/>
      <c r="AE723" s="11"/>
      <c r="AF723" s="50"/>
      <c r="AG723" s="50"/>
      <c r="AH723" s="50"/>
      <c r="AI723" s="11"/>
      <c r="AJ723" s="50"/>
      <c r="AK723" s="50"/>
      <c r="AL723" s="50"/>
      <c r="AM723" s="11"/>
      <c r="AN723" s="50"/>
      <c r="AO723" s="50"/>
      <c r="AP723" s="50"/>
      <c r="AQ723" s="11"/>
      <c r="AR723" s="50"/>
      <c r="AS723" s="50"/>
      <c r="AT723" s="50"/>
      <c r="AU723" s="11"/>
      <c r="AV723" s="50"/>
      <c r="AW723" s="50"/>
      <c r="AX723" s="50"/>
      <c r="AY723" s="50"/>
      <c r="AZ723" s="50"/>
      <c r="BA723" s="50"/>
      <c r="BB723" s="50"/>
      <c r="BC723" s="50"/>
      <c r="BD723" s="50"/>
      <c r="BE723" s="20"/>
      <c r="BF723" s="518"/>
      <c r="BG723" s="484"/>
      <c r="BH723" s="484"/>
      <c r="BI723" s="527"/>
      <c r="BJ723" s="484"/>
      <c r="BK723" s="484"/>
      <c r="BL723" s="484"/>
      <c r="BM723" s="484"/>
    </row>
    <row r="724" spans="1:65" s="22" customFormat="1" x14ac:dyDescent="0.25">
      <c r="A724" s="20"/>
      <c r="B724" s="515"/>
      <c r="C724" s="11"/>
      <c r="D724" s="11"/>
      <c r="E724" s="11"/>
      <c r="F724" s="21"/>
      <c r="G724" s="11"/>
      <c r="H724" s="50"/>
      <c r="I724" s="50"/>
      <c r="J724" s="50"/>
      <c r="K724" s="11"/>
      <c r="L724" s="50"/>
      <c r="M724" s="50"/>
      <c r="N724" s="50"/>
      <c r="O724" s="50"/>
      <c r="P724" s="50"/>
      <c r="Q724" s="11"/>
      <c r="R724" s="50"/>
      <c r="S724" s="50"/>
      <c r="T724" s="50"/>
      <c r="U724" s="11"/>
      <c r="V724" s="50"/>
      <c r="W724" s="50"/>
      <c r="X724" s="50"/>
      <c r="Y724" s="50"/>
      <c r="Z724" s="50"/>
      <c r="AA724" s="11"/>
      <c r="AB724" s="50"/>
      <c r="AC724" s="50"/>
      <c r="AD724" s="50"/>
      <c r="AE724" s="11"/>
      <c r="AF724" s="50"/>
      <c r="AG724" s="50"/>
      <c r="AH724" s="50"/>
      <c r="AI724" s="11"/>
      <c r="AJ724" s="50"/>
      <c r="AK724" s="50"/>
      <c r="AL724" s="50"/>
      <c r="AM724" s="11"/>
      <c r="AN724" s="50"/>
      <c r="AO724" s="50"/>
      <c r="AP724" s="50"/>
      <c r="AQ724" s="11"/>
      <c r="AR724" s="50"/>
      <c r="AS724" s="50"/>
      <c r="AT724" s="50"/>
      <c r="AU724" s="11"/>
      <c r="AV724" s="50"/>
      <c r="AW724" s="50"/>
      <c r="AX724" s="50"/>
      <c r="AY724" s="50"/>
      <c r="AZ724" s="50"/>
      <c r="BA724" s="50"/>
      <c r="BB724" s="50"/>
      <c r="BC724" s="50"/>
      <c r="BD724" s="50"/>
      <c r="BE724" s="20"/>
      <c r="BF724" s="518"/>
      <c r="BG724" s="484"/>
      <c r="BH724" s="484"/>
      <c r="BI724" s="527"/>
      <c r="BJ724" s="484"/>
      <c r="BK724" s="484"/>
      <c r="BL724" s="484"/>
      <c r="BM724" s="484"/>
    </row>
    <row r="725" spans="1:65" s="22" customFormat="1" x14ac:dyDescent="0.25">
      <c r="A725" s="20"/>
      <c r="B725" s="515"/>
      <c r="C725" s="11"/>
      <c r="D725" s="11"/>
      <c r="E725" s="11"/>
      <c r="F725" s="21"/>
      <c r="G725" s="11"/>
      <c r="H725" s="50"/>
      <c r="I725" s="50"/>
      <c r="J725" s="50"/>
      <c r="K725" s="11"/>
      <c r="L725" s="50"/>
      <c r="M725" s="50"/>
      <c r="N725" s="50"/>
      <c r="O725" s="50"/>
      <c r="P725" s="50"/>
      <c r="Q725" s="11"/>
      <c r="R725" s="50"/>
      <c r="S725" s="50"/>
      <c r="T725" s="50"/>
      <c r="U725" s="11"/>
      <c r="V725" s="50"/>
      <c r="W725" s="50"/>
      <c r="X725" s="50"/>
      <c r="Y725" s="50"/>
      <c r="Z725" s="50"/>
      <c r="AA725" s="11"/>
      <c r="AB725" s="50"/>
      <c r="AC725" s="50"/>
      <c r="AD725" s="50"/>
      <c r="AE725" s="11"/>
      <c r="AF725" s="50"/>
      <c r="AG725" s="50"/>
      <c r="AH725" s="50"/>
      <c r="AI725" s="11"/>
      <c r="AJ725" s="50"/>
      <c r="AK725" s="50"/>
      <c r="AL725" s="50"/>
      <c r="AM725" s="11"/>
      <c r="AN725" s="50"/>
      <c r="AO725" s="50"/>
      <c r="AP725" s="50"/>
      <c r="AQ725" s="11"/>
      <c r="AR725" s="50"/>
      <c r="AS725" s="50"/>
      <c r="AT725" s="50"/>
      <c r="AU725" s="11"/>
      <c r="AV725" s="50"/>
      <c r="AW725" s="50"/>
      <c r="AX725" s="50"/>
      <c r="AY725" s="50"/>
      <c r="AZ725" s="50"/>
      <c r="BA725" s="50"/>
      <c r="BB725" s="50"/>
      <c r="BC725" s="50"/>
      <c r="BD725" s="50"/>
      <c r="BE725" s="20"/>
      <c r="BF725" s="518"/>
      <c r="BG725" s="484"/>
      <c r="BH725" s="484"/>
      <c r="BI725" s="527"/>
      <c r="BJ725" s="484"/>
      <c r="BK725" s="484"/>
      <c r="BL725" s="484"/>
      <c r="BM725" s="484"/>
    </row>
    <row r="726" spans="1:65" s="22" customFormat="1" x14ac:dyDescent="0.25">
      <c r="A726" s="20"/>
      <c r="B726" s="515"/>
      <c r="C726" s="11"/>
      <c r="D726" s="11"/>
      <c r="E726" s="11"/>
      <c r="F726" s="21"/>
      <c r="G726" s="11"/>
      <c r="H726" s="50"/>
      <c r="I726" s="50"/>
      <c r="J726" s="50"/>
      <c r="K726" s="11"/>
      <c r="L726" s="50"/>
      <c r="M726" s="50"/>
      <c r="N726" s="50"/>
      <c r="O726" s="50"/>
      <c r="P726" s="50"/>
      <c r="Q726" s="11"/>
      <c r="R726" s="50"/>
      <c r="S726" s="50"/>
      <c r="T726" s="50"/>
      <c r="U726" s="11"/>
      <c r="V726" s="50"/>
      <c r="W726" s="50"/>
      <c r="X726" s="50"/>
      <c r="Y726" s="50"/>
      <c r="Z726" s="50"/>
      <c r="AA726" s="11"/>
      <c r="AB726" s="50"/>
      <c r="AC726" s="50"/>
      <c r="AD726" s="50"/>
      <c r="AE726" s="11"/>
      <c r="AF726" s="50"/>
      <c r="AG726" s="50"/>
      <c r="AH726" s="50"/>
      <c r="AI726" s="11"/>
      <c r="AJ726" s="50"/>
      <c r="AK726" s="50"/>
      <c r="AL726" s="50"/>
      <c r="AM726" s="11"/>
      <c r="AN726" s="50"/>
      <c r="AO726" s="50"/>
      <c r="AP726" s="50"/>
      <c r="AQ726" s="11"/>
      <c r="AR726" s="50"/>
      <c r="AS726" s="50"/>
      <c r="AT726" s="50"/>
      <c r="AU726" s="11"/>
      <c r="AV726" s="50"/>
      <c r="AW726" s="50"/>
      <c r="AX726" s="50"/>
      <c r="AY726" s="50"/>
      <c r="AZ726" s="50"/>
      <c r="BA726" s="50"/>
      <c r="BB726" s="50"/>
      <c r="BC726" s="50"/>
      <c r="BD726" s="50"/>
      <c r="BE726" s="20"/>
      <c r="BF726" s="518"/>
      <c r="BG726" s="484"/>
      <c r="BH726" s="484"/>
      <c r="BI726" s="527"/>
      <c r="BJ726" s="484"/>
      <c r="BK726" s="484"/>
      <c r="BL726" s="484"/>
      <c r="BM726" s="484"/>
    </row>
    <row r="727" spans="1:65" s="22" customFormat="1" x14ac:dyDescent="0.25">
      <c r="A727" s="20"/>
      <c r="B727" s="515"/>
      <c r="C727" s="11"/>
      <c r="D727" s="11"/>
      <c r="E727" s="11"/>
      <c r="F727" s="21"/>
      <c r="G727" s="11"/>
      <c r="H727" s="50"/>
      <c r="I727" s="50"/>
      <c r="J727" s="50"/>
      <c r="K727" s="11"/>
      <c r="L727" s="50"/>
      <c r="M727" s="50"/>
      <c r="N727" s="50"/>
      <c r="O727" s="50"/>
      <c r="P727" s="50"/>
      <c r="Q727" s="11"/>
      <c r="R727" s="50"/>
      <c r="S727" s="50"/>
      <c r="T727" s="50"/>
      <c r="U727" s="11"/>
      <c r="V727" s="50"/>
      <c r="W727" s="50"/>
      <c r="X727" s="50"/>
      <c r="Y727" s="50"/>
      <c r="Z727" s="50"/>
      <c r="AA727" s="11"/>
      <c r="AB727" s="50"/>
      <c r="AC727" s="50"/>
      <c r="AD727" s="50"/>
      <c r="AE727" s="11"/>
      <c r="AF727" s="50"/>
      <c r="AG727" s="50"/>
      <c r="AH727" s="50"/>
      <c r="AI727" s="11"/>
      <c r="AJ727" s="50"/>
      <c r="AK727" s="50"/>
      <c r="AL727" s="50"/>
      <c r="AM727" s="11"/>
      <c r="AN727" s="50"/>
      <c r="AO727" s="50"/>
      <c r="AP727" s="50"/>
      <c r="AQ727" s="11"/>
      <c r="AR727" s="50"/>
      <c r="AS727" s="50"/>
      <c r="AT727" s="50"/>
      <c r="AU727" s="11"/>
      <c r="AV727" s="50"/>
      <c r="AW727" s="50"/>
      <c r="AX727" s="50"/>
      <c r="AY727" s="50"/>
      <c r="AZ727" s="50"/>
      <c r="BA727" s="50"/>
      <c r="BB727" s="50"/>
      <c r="BC727" s="50"/>
      <c r="BD727" s="50"/>
      <c r="BE727" s="20"/>
      <c r="BF727" s="518"/>
      <c r="BG727" s="484"/>
      <c r="BH727" s="484"/>
      <c r="BI727" s="527"/>
      <c r="BJ727" s="484"/>
      <c r="BK727" s="484"/>
      <c r="BL727" s="484"/>
      <c r="BM727" s="484"/>
    </row>
    <row r="728" spans="1:65" s="22" customFormat="1" x14ac:dyDescent="0.25">
      <c r="A728" s="20"/>
      <c r="B728" s="515"/>
      <c r="C728" s="11"/>
      <c r="D728" s="11"/>
      <c r="E728" s="11"/>
      <c r="F728" s="21"/>
      <c r="G728" s="11"/>
      <c r="H728" s="50"/>
      <c r="I728" s="50"/>
      <c r="J728" s="50"/>
      <c r="K728" s="11"/>
      <c r="L728" s="50"/>
      <c r="M728" s="50"/>
      <c r="N728" s="50"/>
      <c r="O728" s="50"/>
      <c r="P728" s="50"/>
      <c r="Q728" s="11"/>
      <c r="R728" s="50"/>
      <c r="S728" s="50"/>
      <c r="T728" s="50"/>
      <c r="U728" s="11"/>
      <c r="V728" s="50"/>
      <c r="W728" s="50"/>
      <c r="X728" s="50"/>
      <c r="Y728" s="50"/>
      <c r="Z728" s="50"/>
      <c r="AA728" s="11"/>
      <c r="AB728" s="50"/>
      <c r="AC728" s="50"/>
      <c r="AD728" s="50"/>
      <c r="AE728" s="11"/>
      <c r="AF728" s="50"/>
      <c r="AG728" s="50"/>
      <c r="AH728" s="50"/>
      <c r="AI728" s="11"/>
      <c r="AJ728" s="50"/>
      <c r="AK728" s="50"/>
      <c r="AL728" s="50"/>
      <c r="AM728" s="11"/>
      <c r="AN728" s="50"/>
      <c r="AO728" s="50"/>
      <c r="AP728" s="50"/>
      <c r="AQ728" s="11"/>
      <c r="AR728" s="50"/>
      <c r="AS728" s="50"/>
      <c r="AT728" s="50"/>
      <c r="AU728" s="11"/>
      <c r="AV728" s="50"/>
      <c r="AW728" s="50"/>
      <c r="AX728" s="50"/>
      <c r="AY728" s="50"/>
      <c r="AZ728" s="50"/>
      <c r="BA728" s="50"/>
      <c r="BB728" s="50"/>
      <c r="BC728" s="50"/>
      <c r="BD728" s="50"/>
      <c r="BE728" s="20"/>
      <c r="BF728" s="518"/>
      <c r="BG728" s="484"/>
      <c r="BH728" s="484"/>
      <c r="BI728" s="527"/>
      <c r="BJ728" s="484"/>
      <c r="BK728" s="484"/>
      <c r="BL728" s="484"/>
      <c r="BM728" s="484"/>
    </row>
    <row r="729" spans="1:65" s="22" customFormat="1" x14ac:dyDescent="0.25">
      <c r="A729" s="20"/>
      <c r="B729" s="515"/>
      <c r="C729" s="11"/>
      <c r="D729" s="11"/>
      <c r="E729" s="11"/>
      <c r="F729" s="21"/>
      <c r="G729" s="11"/>
      <c r="H729" s="50"/>
      <c r="I729" s="50"/>
      <c r="J729" s="50"/>
      <c r="K729" s="11"/>
      <c r="L729" s="50"/>
      <c r="M729" s="50"/>
      <c r="N729" s="50"/>
      <c r="O729" s="50"/>
      <c r="P729" s="50"/>
      <c r="Q729" s="11"/>
      <c r="R729" s="50"/>
      <c r="S729" s="50"/>
      <c r="T729" s="50"/>
      <c r="U729" s="11"/>
      <c r="V729" s="50"/>
      <c r="W729" s="50"/>
      <c r="X729" s="50"/>
      <c r="Y729" s="50"/>
      <c r="Z729" s="50"/>
      <c r="AA729" s="11"/>
      <c r="AB729" s="50"/>
      <c r="AC729" s="50"/>
      <c r="AD729" s="50"/>
      <c r="AE729" s="11"/>
      <c r="AF729" s="50"/>
      <c r="AG729" s="50"/>
      <c r="AH729" s="50"/>
      <c r="AI729" s="11"/>
      <c r="AJ729" s="50"/>
      <c r="AK729" s="50"/>
      <c r="AL729" s="50"/>
      <c r="AM729" s="11"/>
      <c r="AN729" s="50"/>
      <c r="AO729" s="50"/>
      <c r="AP729" s="50"/>
      <c r="AQ729" s="11"/>
      <c r="AR729" s="50"/>
      <c r="AS729" s="50"/>
      <c r="AT729" s="50"/>
      <c r="AU729" s="11"/>
      <c r="AV729" s="50"/>
      <c r="AW729" s="50"/>
      <c r="AX729" s="50"/>
      <c r="AY729" s="50"/>
      <c r="AZ729" s="50"/>
      <c r="BA729" s="50"/>
      <c r="BB729" s="50"/>
      <c r="BC729" s="50"/>
      <c r="BD729" s="50"/>
      <c r="BE729" s="20"/>
      <c r="BF729" s="518"/>
      <c r="BG729" s="484"/>
      <c r="BH729" s="484"/>
      <c r="BI729" s="527"/>
      <c r="BJ729" s="484"/>
      <c r="BK729" s="484"/>
      <c r="BL729" s="484"/>
      <c r="BM729" s="484"/>
    </row>
    <row r="730" spans="1:65" s="22" customFormat="1" x14ac:dyDescent="0.25">
      <c r="A730" s="20"/>
      <c r="B730" s="515"/>
      <c r="C730" s="11"/>
      <c r="D730" s="11"/>
      <c r="E730" s="11"/>
      <c r="F730" s="21"/>
      <c r="G730" s="11"/>
      <c r="H730" s="50"/>
      <c r="I730" s="50"/>
      <c r="J730" s="50"/>
      <c r="K730" s="11"/>
      <c r="L730" s="50"/>
      <c r="M730" s="50"/>
      <c r="N730" s="50"/>
      <c r="O730" s="50"/>
      <c r="P730" s="50"/>
      <c r="Q730" s="11"/>
      <c r="R730" s="50"/>
      <c r="S730" s="50"/>
      <c r="T730" s="50"/>
      <c r="U730" s="11"/>
      <c r="V730" s="50"/>
      <c r="W730" s="50"/>
      <c r="X730" s="50"/>
      <c r="Y730" s="50"/>
      <c r="Z730" s="50"/>
      <c r="AA730" s="11"/>
      <c r="AB730" s="50"/>
      <c r="AC730" s="50"/>
      <c r="AD730" s="50"/>
      <c r="AE730" s="11"/>
      <c r="AF730" s="50"/>
      <c r="AG730" s="50"/>
      <c r="AH730" s="50"/>
      <c r="AI730" s="11"/>
      <c r="AJ730" s="50"/>
      <c r="AK730" s="50"/>
      <c r="AL730" s="50"/>
      <c r="AM730" s="11"/>
      <c r="AN730" s="50"/>
      <c r="AO730" s="50"/>
      <c r="AP730" s="50"/>
      <c r="AQ730" s="11"/>
      <c r="AR730" s="50"/>
      <c r="AS730" s="50"/>
      <c r="AT730" s="50"/>
      <c r="AU730" s="11"/>
      <c r="AV730" s="50"/>
      <c r="AW730" s="50"/>
      <c r="AX730" s="50"/>
      <c r="AY730" s="50"/>
      <c r="AZ730" s="50"/>
      <c r="BA730" s="50"/>
      <c r="BB730" s="50"/>
      <c r="BC730" s="50"/>
      <c r="BD730" s="50"/>
      <c r="BE730" s="20"/>
      <c r="BF730" s="518"/>
      <c r="BG730" s="484"/>
      <c r="BH730" s="484"/>
      <c r="BI730" s="527"/>
      <c r="BJ730" s="484"/>
      <c r="BK730" s="484"/>
      <c r="BL730" s="484"/>
      <c r="BM730" s="484"/>
    </row>
    <row r="731" spans="1:65" s="22" customFormat="1" x14ac:dyDescent="0.25">
      <c r="A731" s="20"/>
      <c r="B731" s="515"/>
      <c r="C731" s="11"/>
      <c r="D731" s="11"/>
      <c r="E731" s="11"/>
      <c r="F731" s="21"/>
      <c r="G731" s="11"/>
      <c r="H731" s="50"/>
      <c r="I731" s="50"/>
      <c r="J731" s="50"/>
      <c r="K731" s="11"/>
      <c r="L731" s="50"/>
      <c r="M731" s="50"/>
      <c r="N731" s="50"/>
      <c r="O731" s="50"/>
      <c r="P731" s="50"/>
      <c r="Q731" s="11"/>
      <c r="R731" s="50"/>
      <c r="S731" s="50"/>
      <c r="T731" s="50"/>
      <c r="U731" s="11"/>
      <c r="V731" s="50"/>
      <c r="W731" s="50"/>
      <c r="X731" s="50"/>
      <c r="Y731" s="50"/>
      <c r="Z731" s="50"/>
      <c r="AA731" s="11"/>
      <c r="AB731" s="50"/>
      <c r="AC731" s="50"/>
      <c r="AD731" s="50"/>
      <c r="AE731" s="11"/>
      <c r="AF731" s="50"/>
      <c r="AG731" s="50"/>
      <c r="AH731" s="50"/>
      <c r="AI731" s="11"/>
      <c r="AJ731" s="50"/>
      <c r="AK731" s="50"/>
      <c r="AL731" s="50"/>
      <c r="AM731" s="11"/>
      <c r="AN731" s="50"/>
      <c r="AO731" s="50"/>
      <c r="AP731" s="50"/>
      <c r="AQ731" s="11"/>
      <c r="AR731" s="50"/>
      <c r="AS731" s="50"/>
      <c r="AT731" s="50"/>
      <c r="AU731" s="11"/>
      <c r="AV731" s="50"/>
      <c r="AW731" s="50"/>
      <c r="AX731" s="50"/>
      <c r="AY731" s="50"/>
      <c r="AZ731" s="50"/>
      <c r="BA731" s="50"/>
      <c r="BB731" s="50"/>
      <c r="BC731" s="50"/>
      <c r="BD731" s="50"/>
      <c r="BE731" s="20"/>
      <c r="BF731" s="518"/>
      <c r="BG731" s="484"/>
      <c r="BH731" s="484"/>
      <c r="BI731" s="527"/>
      <c r="BJ731" s="484"/>
      <c r="BK731" s="484"/>
      <c r="BL731" s="484"/>
      <c r="BM731" s="484"/>
    </row>
    <row r="732" spans="1:65" s="22" customFormat="1" x14ac:dyDescent="0.25">
      <c r="A732" s="20"/>
      <c r="B732" s="515"/>
      <c r="C732" s="11"/>
      <c r="D732" s="11"/>
      <c r="E732" s="11"/>
      <c r="F732" s="21"/>
      <c r="G732" s="11"/>
      <c r="H732" s="50"/>
      <c r="I732" s="50"/>
      <c r="J732" s="50"/>
      <c r="K732" s="11"/>
      <c r="L732" s="50"/>
      <c r="M732" s="50"/>
      <c r="N732" s="50"/>
      <c r="O732" s="50"/>
      <c r="P732" s="50"/>
      <c r="Q732" s="11"/>
      <c r="R732" s="50"/>
      <c r="S732" s="50"/>
      <c r="T732" s="50"/>
      <c r="U732" s="11"/>
      <c r="V732" s="50"/>
      <c r="W732" s="50"/>
      <c r="X732" s="50"/>
      <c r="Y732" s="50"/>
      <c r="Z732" s="50"/>
      <c r="AA732" s="11"/>
      <c r="AB732" s="50"/>
      <c r="AC732" s="50"/>
      <c r="AD732" s="50"/>
      <c r="AE732" s="11"/>
      <c r="AF732" s="50"/>
      <c r="AG732" s="50"/>
      <c r="AH732" s="50"/>
      <c r="AI732" s="11"/>
      <c r="AJ732" s="50"/>
      <c r="AK732" s="50"/>
      <c r="AL732" s="50"/>
      <c r="AM732" s="11"/>
      <c r="AN732" s="50"/>
      <c r="AO732" s="50"/>
      <c r="AP732" s="50"/>
      <c r="AQ732" s="11"/>
      <c r="AR732" s="50"/>
      <c r="AS732" s="50"/>
      <c r="AT732" s="50"/>
      <c r="AU732" s="11"/>
      <c r="AV732" s="50"/>
      <c r="AW732" s="50"/>
      <c r="AX732" s="50"/>
      <c r="AY732" s="50"/>
      <c r="AZ732" s="50"/>
      <c r="BA732" s="50"/>
      <c r="BB732" s="50"/>
      <c r="BC732" s="50"/>
      <c r="BD732" s="50"/>
      <c r="BE732" s="20"/>
      <c r="BF732" s="518"/>
      <c r="BG732" s="484"/>
      <c r="BH732" s="484"/>
      <c r="BI732" s="527"/>
      <c r="BJ732" s="484"/>
      <c r="BK732" s="484"/>
      <c r="BL732" s="484"/>
      <c r="BM732" s="484"/>
    </row>
    <row r="733" spans="1:65" s="22" customFormat="1" x14ac:dyDescent="0.25">
      <c r="A733" s="20"/>
      <c r="B733" s="515"/>
      <c r="C733" s="11"/>
      <c r="D733" s="11"/>
      <c r="E733" s="11"/>
      <c r="F733" s="21"/>
      <c r="G733" s="11"/>
      <c r="H733" s="50"/>
      <c r="I733" s="50"/>
      <c r="J733" s="50"/>
      <c r="K733" s="11"/>
      <c r="L733" s="50"/>
      <c r="M733" s="50"/>
      <c r="N733" s="50"/>
      <c r="O733" s="50"/>
      <c r="P733" s="50"/>
      <c r="Q733" s="11"/>
      <c r="R733" s="50"/>
      <c r="S733" s="50"/>
      <c r="T733" s="50"/>
      <c r="U733" s="11"/>
      <c r="V733" s="50"/>
      <c r="W733" s="50"/>
      <c r="X733" s="50"/>
      <c r="Y733" s="50"/>
      <c r="Z733" s="50"/>
      <c r="AA733" s="11"/>
      <c r="AB733" s="50"/>
      <c r="AC733" s="50"/>
      <c r="AD733" s="50"/>
      <c r="AE733" s="11"/>
      <c r="AF733" s="50"/>
      <c r="AG733" s="50"/>
      <c r="AH733" s="50"/>
      <c r="AI733" s="11"/>
      <c r="AJ733" s="50"/>
      <c r="AK733" s="50"/>
      <c r="AL733" s="50"/>
      <c r="AM733" s="11"/>
      <c r="AN733" s="50"/>
      <c r="AO733" s="50"/>
      <c r="AP733" s="50"/>
      <c r="AQ733" s="11"/>
      <c r="AR733" s="50"/>
      <c r="AS733" s="50"/>
      <c r="AT733" s="50"/>
      <c r="AU733" s="11"/>
      <c r="AV733" s="50"/>
      <c r="AW733" s="50"/>
      <c r="AX733" s="50"/>
      <c r="AY733" s="50"/>
      <c r="AZ733" s="50"/>
      <c r="BA733" s="50"/>
      <c r="BB733" s="50"/>
      <c r="BC733" s="50"/>
      <c r="BD733" s="50"/>
      <c r="BE733" s="20"/>
      <c r="BF733" s="518"/>
      <c r="BG733" s="484"/>
      <c r="BH733" s="484"/>
      <c r="BI733" s="527"/>
      <c r="BJ733" s="484"/>
      <c r="BK733" s="484"/>
      <c r="BL733" s="484"/>
      <c r="BM733" s="484"/>
    </row>
    <row r="734" spans="1:65" s="22" customFormat="1" x14ac:dyDescent="0.25">
      <c r="A734" s="20"/>
      <c r="B734" s="515"/>
      <c r="C734" s="11"/>
      <c r="D734" s="11"/>
      <c r="E734" s="11"/>
      <c r="F734" s="21"/>
      <c r="G734" s="11"/>
      <c r="H734" s="50"/>
      <c r="I734" s="50"/>
      <c r="J734" s="50"/>
      <c r="K734" s="11"/>
      <c r="L734" s="50"/>
      <c r="M734" s="50"/>
      <c r="N734" s="50"/>
      <c r="O734" s="50"/>
      <c r="P734" s="50"/>
      <c r="Q734" s="11"/>
      <c r="R734" s="50"/>
      <c r="S734" s="50"/>
      <c r="T734" s="50"/>
      <c r="U734" s="11"/>
      <c r="V734" s="50"/>
      <c r="W734" s="50"/>
      <c r="X734" s="50"/>
      <c r="Y734" s="50"/>
      <c r="Z734" s="50"/>
      <c r="AA734" s="11"/>
      <c r="AB734" s="50"/>
      <c r="AC734" s="50"/>
      <c r="AD734" s="50"/>
      <c r="AE734" s="11"/>
      <c r="AF734" s="50"/>
      <c r="AG734" s="50"/>
      <c r="AH734" s="50"/>
      <c r="AI734" s="11"/>
      <c r="AJ734" s="50"/>
      <c r="AK734" s="50"/>
      <c r="AL734" s="50"/>
      <c r="AM734" s="11"/>
      <c r="AN734" s="50"/>
      <c r="AO734" s="50"/>
      <c r="AP734" s="50"/>
      <c r="AQ734" s="11"/>
      <c r="AR734" s="50"/>
      <c r="AS734" s="50"/>
      <c r="AT734" s="50"/>
      <c r="AU734" s="11"/>
      <c r="AV734" s="50"/>
      <c r="AW734" s="50"/>
      <c r="AX734" s="50"/>
      <c r="AY734" s="50"/>
      <c r="AZ734" s="50"/>
      <c r="BA734" s="50"/>
      <c r="BB734" s="50"/>
      <c r="BC734" s="50"/>
      <c r="BD734" s="50"/>
      <c r="BE734" s="20"/>
      <c r="BF734" s="518"/>
      <c r="BG734" s="484"/>
      <c r="BH734" s="484"/>
      <c r="BI734" s="527"/>
      <c r="BJ734" s="484"/>
      <c r="BK734" s="484"/>
      <c r="BL734" s="484"/>
      <c r="BM734" s="484"/>
    </row>
    <row r="735" spans="1:65" s="22" customFormat="1" x14ac:dyDescent="0.25">
      <c r="A735" s="20"/>
      <c r="B735" s="515"/>
      <c r="C735" s="11"/>
      <c r="D735" s="11"/>
      <c r="E735" s="11"/>
      <c r="F735" s="21"/>
      <c r="G735" s="11"/>
      <c r="H735" s="50"/>
      <c r="I735" s="50"/>
      <c r="J735" s="50"/>
      <c r="K735" s="11"/>
      <c r="L735" s="50"/>
      <c r="M735" s="50"/>
      <c r="N735" s="50"/>
      <c r="O735" s="50"/>
      <c r="P735" s="50"/>
      <c r="Q735" s="11"/>
      <c r="R735" s="50"/>
      <c r="S735" s="50"/>
      <c r="T735" s="50"/>
      <c r="U735" s="11"/>
      <c r="V735" s="50"/>
      <c r="W735" s="50"/>
      <c r="X735" s="50"/>
      <c r="Y735" s="50"/>
      <c r="Z735" s="50"/>
      <c r="AA735" s="11"/>
      <c r="AB735" s="50"/>
      <c r="AC735" s="50"/>
      <c r="AD735" s="50"/>
      <c r="AE735" s="11"/>
      <c r="AF735" s="50"/>
      <c r="AG735" s="50"/>
      <c r="AH735" s="50"/>
      <c r="AI735" s="11"/>
      <c r="AJ735" s="50"/>
      <c r="AK735" s="50"/>
      <c r="AL735" s="50"/>
      <c r="AM735" s="11"/>
      <c r="AN735" s="50"/>
      <c r="AO735" s="50"/>
      <c r="AP735" s="50"/>
      <c r="AQ735" s="11"/>
      <c r="AR735" s="50"/>
      <c r="AS735" s="50"/>
      <c r="AT735" s="50"/>
      <c r="AU735" s="11"/>
      <c r="AV735" s="50"/>
      <c r="AW735" s="50"/>
      <c r="AX735" s="50"/>
      <c r="AY735" s="50"/>
      <c r="AZ735" s="50"/>
      <c r="BA735" s="50"/>
      <c r="BB735" s="50"/>
      <c r="BC735" s="50"/>
      <c r="BD735" s="50"/>
      <c r="BE735" s="20"/>
      <c r="BF735" s="518"/>
      <c r="BG735" s="484"/>
      <c r="BH735" s="484"/>
      <c r="BI735" s="527"/>
      <c r="BJ735" s="484"/>
      <c r="BK735" s="484"/>
      <c r="BL735" s="484"/>
      <c r="BM735" s="484"/>
    </row>
    <row r="736" spans="1:65" s="22" customFormat="1" x14ac:dyDescent="0.25">
      <c r="A736" s="20"/>
      <c r="B736" s="515"/>
      <c r="C736" s="11"/>
      <c r="D736" s="11"/>
      <c r="E736" s="11"/>
      <c r="F736" s="21"/>
      <c r="G736" s="11"/>
      <c r="H736" s="50"/>
      <c r="I736" s="50"/>
      <c r="J736" s="50"/>
      <c r="K736" s="11"/>
      <c r="L736" s="50"/>
      <c r="M736" s="50"/>
      <c r="N736" s="50"/>
      <c r="O736" s="50"/>
      <c r="P736" s="50"/>
      <c r="Q736" s="11"/>
      <c r="R736" s="50"/>
      <c r="S736" s="50"/>
      <c r="T736" s="50"/>
      <c r="U736" s="11"/>
      <c r="V736" s="50"/>
      <c r="W736" s="50"/>
      <c r="X736" s="50"/>
      <c r="Y736" s="50"/>
      <c r="Z736" s="50"/>
      <c r="AA736" s="11"/>
      <c r="AB736" s="50"/>
      <c r="AC736" s="50"/>
      <c r="AD736" s="50"/>
      <c r="AE736" s="11"/>
      <c r="AF736" s="50"/>
      <c r="AG736" s="50"/>
      <c r="AH736" s="50"/>
      <c r="AI736" s="11"/>
      <c r="AJ736" s="50"/>
      <c r="AK736" s="50"/>
      <c r="AL736" s="50"/>
      <c r="AM736" s="11"/>
      <c r="AN736" s="50"/>
      <c r="AO736" s="50"/>
      <c r="AP736" s="50"/>
      <c r="AQ736" s="11"/>
      <c r="AR736" s="50"/>
      <c r="AS736" s="50"/>
      <c r="AT736" s="50"/>
      <c r="AU736" s="11"/>
      <c r="AV736" s="50"/>
      <c r="AW736" s="50"/>
      <c r="AX736" s="50"/>
      <c r="AY736" s="50"/>
      <c r="AZ736" s="50"/>
      <c r="BA736" s="50"/>
      <c r="BB736" s="50"/>
      <c r="BC736" s="50"/>
      <c r="BD736" s="50"/>
      <c r="BE736" s="20"/>
      <c r="BF736" s="518"/>
      <c r="BG736" s="484"/>
      <c r="BH736" s="484"/>
      <c r="BI736" s="527"/>
      <c r="BJ736" s="484"/>
      <c r="BK736" s="484"/>
      <c r="BL736" s="484"/>
      <c r="BM736" s="484"/>
    </row>
    <row r="737" spans="1:65" s="22" customFormat="1" x14ac:dyDescent="0.25">
      <c r="A737" s="20"/>
      <c r="B737" s="515"/>
      <c r="C737" s="11"/>
      <c r="D737" s="11"/>
      <c r="E737" s="11"/>
      <c r="F737" s="21"/>
      <c r="G737" s="11"/>
      <c r="H737" s="50"/>
      <c r="I737" s="50"/>
      <c r="J737" s="50"/>
      <c r="K737" s="11"/>
      <c r="L737" s="50"/>
      <c r="M737" s="50"/>
      <c r="N737" s="50"/>
      <c r="O737" s="50"/>
      <c r="P737" s="50"/>
      <c r="Q737" s="11"/>
      <c r="R737" s="50"/>
      <c r="S737" s="50"/>
      <c r="T737" s="50"/>
      <c r="U737" s="11"/>
      <c r="V737" s="50"/>
      <c r="W737" s="50"/>
      <c r="X737" s="50"/>
      <c r="Y737" s="50"/>
      <c r="Z737" s="50"/>
      <c r="AA737" s="11"/>
      <c r="AB737" s="50"/>
      <c r="AC737" s="50"/>
      <c r="AD737" s="50"/>
      <c r="AE737" s="11"/>
      <c r="AF737" s="50"/>
      <c r="AG737" s="50"/>
      <c r="AH737" s="50"/>
      <c r="AI737" s="11"/>
      <c r="AJ737" s="50"/>
      <c r="AK737" s="50"/>
      <c r="AL737" s="50"/>
      <c r="AM737" s="11"/>
      <c r="AN737" s="50"/>
      <c r="AO737" s="50"/>
      <c r="AP737" s="50"/>
      <c r="AQ737" s="11"/>
      <c r="AR737" s="50"/>
      <c r="AS737" s="50"/>
      <c r="AT737" s="50"/>
      <c r="AU737" s="11"/>
      <c r="AV737" s="50"/>
      <c r="AW737" s="50"/>
      <c r="AX737" s="50"/>
      <c r="AY737" s="50"/>
      <c r="AZ737" s="50"/>
      <c r="BA737" s="50"/>
      <c r="BB737" s="50"/>
      <c r="BC737" s="50"/>
      <c r="BD737" s="50"/>
      <c r="BE737" s="20"/>
      <c r="BF737" s="518"/>
      <c r="BG737" s="484"/>
      <c r="BH737" s="484"/>
      <c r="BI737" s="527"/>
      <c r="BJ737" s="484"/>
      <c r="BK737" s="484"/>
      <c r="BL737" s="484"/>
      <c r="BM737" s="484"/>
    </row>
    <row r="738" spans="1:65" s="22" customFormat="1" x14ac:dyDescent="0.25">
      <c r="A738" s="20"/>
      <c r="B738" s="515"/>
      <c r="C738" s="11"/>
      <c r="D738" s="11"/>
      <c r="E738" s="11"/>
      <c r="F738" s="21"/>
      <c r="G738" s="11"/>
      <c r="H738" s="50"/>
      <c r="I738" s="50"/>
      <c r="J738" s="50"/>
      <c r="K738" s="11"/>
      <c r="L738" s="50"/>
      <c r="M738" s="50"/>
      <c r="N738" s="50"/>
      <c r="O738" s="50"/>
      <c r="P738" s="50"/>
      <c r="Q738" s="11"/>
      <c r="R738" s="50"/>
      <c r="S738" s="50"/>
      <c r="T738" s="50"/>
      <c r="U738" s="11"/>
      <c r="V738" s="50"/>
      <c r="W738" s="50"/>
      <c r="X738" s="50"/>
      <c r="Y738" s="50"/>
      <c r="Z738" s="50"/>
      <c r="AA738" s="11"/>
      <c r="AB738" s="50"/>
      <c r="AC738" s="50"/>
      <c r="AD738" s="50"/>
      <c r="AE738" s="11"/>
      <c r="AF738" s="50"/>
      <c r="AG738" s="50"/>
      <c r="AH738" s="50"/>
      <c r="AI738" s="11"/>
      <c r="AJ738" s="50"/>
      <c r="AK738" s="50"/>
      <c r="AL738" s="50"/>
      <c r="AM738" s="11"/>
      <c r="AN738" s="50"/>
      <c r="AO738" s="50"/>
      <c r="AP738" s="50"/>
      <c r="AQ738" s="11"/>
      <c r="AR738" s="50"/>
      <c r="AS738" s="50"/>
      <c r="AT738" s="50"/>
      <c r="AU738" s="11"/>
      <c r="AV738" s="50"/>
      <c r="AW738" s="50"/>
      <c r="AX738" s="50"/>
      <c r="AY738" s="50"/>
      <c r="AZ738" s="50"/>
      <c r="BA738" s="50"/>
      <c r="BB738" s="50"/>
      <c r="BC738" s="50"/>
      <c r="BD738" s="50"/>
      <c r="BE738" s="20"/>
      <c r="BF738" s="518"/>
      <c r="BG738" s="484"/>
      <c r="BH738" s="484"/>
      <c r="BI738" s="527"/>
      <c r="BJ738" s="484"/>
      <c r="BK738" s="484"/>
      <c r="BL738" s="484"/>
      <c r="BM738" s="484"/>
    </row>
    <row r="739" spans="1:65" s="22" customFormat="1" x14ac:dyDescent="0.25">
      <c r="A739" s="20"/>
      <c r="B739" s="515"/>
      <c r="C739" s="11"/>
      <c r="D739" s="11"/>
      <c r="E739" s="11"/>
      <c r="F739" s="21"/>
      <c r="G739" s="11"/>
      <c r="H739" s="50"/>
      <c r="I739" s="50"/>
      <c r="J739" s="50"/>
      <c r="K739" s="11"/>
      <c r="L739" s="50"/>
      <c r="M739" s="50"/>
      <c r="N739" s="50"/>
      <c r="O739" s="50"/>
      <c r="P739" s="50"/>
      <c r="Q739" s="11"/>
      <c r="R739" s="50"/>
      <c r="S739" s="50"/>
      <c r="T739" s="50"/>
      <c r="U739" s="11"/>
      <c r="V739" s="50"/>
      <c r="W739" s="50"/>
      <c r="X739" s="50"/>
      <c r="Y739" s="50"/>
      <c r="Z739" s="50"/>
      <c r="AA739" s="11"/>
      <c r="AB739" s="50"/>
      <c r="AC739" s="50"/>
      <c r="AD739" s="50"/>
      <c r="AE739" s="11"/>
      <c r="AF739" s="50"/>
      <c r="AG739" s="50"/>
      <c r="AH739" s="50"/>
      <c r="AI739" s="11"/>
      <c r="AJ739" s="50"/>
      <c r="AK739" s="50"/>
      <c r="AL739" s="50"/>
      <c r="AM739" s="11"/>
      <c r="AN739" s="50"/>
      <c r="AO739" s="50"/>
      <c r="AP739" s="50"/>
      <c r="AQ739" s="11"/>
      <c r="AR739" s="50"/>
      <c r="AS739" s="50"/>
      <c r="AT739" s="50"/>
      <c r="AU739" s="11"/>
      <c r="AV739" s="50"/>
      <c r="AW739" s="50"/>
      <c r="AX739" s="50"/>
      <c r="AY739" s="50"/>
      <c r="AZ739" s="50"/>
      <c r="BA739" s="50"/>
      <c r="BB739" s="50"/>
      <c r="BC739" s="50"/>
      <c r="BD739" s="50"/>
      <c r="BE739" s="20"/>
      <c r="BF739" s="518"/>
      <c r="BG739" s="484"/>
      <c r="BH739" s="484"/>
      <c r="BI739" s="527"/>
      <c r="BJ739" s="484"/>
      <c r="BK739" s="484"/>
      <c r="BL739" s="484"/>
      <c r="BM739" s="484"/>
    </row>
    <row r="740" spans="1:65" s="22" customFormat="1" x14ac:dyDescent="0.25">
      <c r="A740" s="20"/>
      <c r="B740" s="515"/>
      <c r="C740" s="11"/>
      <c r="D740" s="11"/>
      <c r="E740" s="11"/>
      <c r="F740" s="21"/>
      <c r="G740" s="11"/>
      <c r="H740" s="50"/>
      <c r="I740" s="50"/>
      <c r="J740" s="50"/>
      <c r="K740" s="11"/>
      <c r="L740" s="50"/>
      <c r="M740" s="50"/>
      <c r="N740" s="50"/>
      <c r="O740" s="50"/>
      <c r="P740" s="50"/>
      <c r="Q740" s="11"/>
      <c r="R740" s="50"/>
      <c r="S740" s="50"/>
      <c r="T740" s="50"/>
      <c r="U740" s="11"/>
      <c r="V740" s="50"/>
      <c r="W740" s="50"/>
      <c r="X740" s="50"/>
      <c r="Y740" s="50"/>
      <c r="Z740" s="50"/>
      <c r="AA740" s="11"/>
      <c r="AB740" s="50"/>
      <c r="AC740" s="50"/>
      <c r="AD740" s="50"/>
      <c r="AE740" s="11"/>
      <c r="AF740" s="50"/>
      <c r="AG740" s="50"/>
      <c r="AH740" s="50"/>
      <c r="AI740" s="11"/>
      <c r="AJ740" s="50"/>
      <c r="AK740" s="50"/>
      <c r="AL740" s="50"/>
      <c r="AM740" s="11"/>
      <c r="AN740" s="50"/>
      <c r="AO740" s="50"/>
      <c r="AP740" s="50"/>
      <c r="AQ740" s="11"/>
      <c r="AR740" s="50"/>
      <c r="AS740" s="50"/>
      <c r="AT740" s="50"/>
      <c r="AU740" s="11"/>
      <c r="AV740" s="50"/>
      <c r="AW740" s="50"/>
      <c r="AX740" s="50"/>
      <c r="AY740" s="50"/>
      <c r="AZ740" s="50"/>
      <c r="BA740" s="50"/>
      <c r="BB740" s="50"/>
      <c r="BC740" s="50"/>
      <c r="BD740" s="50"/>
      <c r="BE740" s="20"/>
      <c r="BF740" s="518"/>
      <c r="BG740" s="484"/>
      <c r="BH740" s="484"/>
      <c r="BI740" s="527"/>
      <c r="BJ740" s="484"/>
      <c r="BK740" s="484"/>
      <c r="BL740" s="484"/>
      <c r="BM740" s="484"/>
    </row>
    <row r="741" spans="1:65" s="22" customFormat="1" x14ac:dyDescent="0.25">
      <c r="A741" s="20"/>
      <c r="B741" s="515"/>
      <c r="C741" s="11"/>
      <c r="D741" s="11"/>
      <c r="E741" s="11"/>
      <c r="F741" s="21"/>
      <c r="G741" s="11"/>
      <c r="H741" s="50"/>
      <c r="I741" s="50"/>
      <c r="J741" s="50"/>
      <c r="K741" s="11"/>
      <c r="L741" s="50"/>
      <c r="M741" s="50"/>
      <c r="N741" s="50"/>
      <c r="O741" s="50"/>
      <c r="P741" s="50"/>
      <c r="Q741" s="11"/>
      <c r="R741" s="50"/>
      <c r="S741" s="50"/>
      <c r="T741" s="50"/>
      <c r="U741" s="11"/>
      <c r="V741" s="50"/>
      <c r="W741" s="50"/>
      <c r="X741" s="50"/>
      <c r="Y741" s="50"/>
      <c r="Z741" s="50"/>
      <c r="AA741" s="11"/>
      <c r="AB741" s="50"/>
      <c r="AC741" s="50"/>
      <c r="AD741" s="50"/>
      <c r="AE741" s="11"/>
      <c r="AF741" s="50"/>
      <c r="AG741" s="50"/>
      <c r="AH741" s="50"/>
      <c r="AI741" s="11"/>
      <c r="AJ741" s="50"/>
      <c r="AK741" s="50"/>
      <c r="AL741" s="50"/>
      <c r="AM741" s="11"/>
      <c r="AN741" s="50"/>
      <c r="AO741" s="50"/>
      <c r="AP741" s="50"/>
      <c r="AQ741" s="11"/>
      <c r="AR741" s="50"/>
      <c r="AS741" s="50"/>
      <c r="AT741" s="50"/>
      <c r="AU741" s="11"/>
      <c r="AV741" s="50"/>
      <c r="AW741" s="50"/>
      <c r="AX741" s="50"/>
      <c r="AY741" s="50"/>
      <c r="AZ741" s="50"/>
      <c r="BA741" s="50"/>
      <c r="BB741" s="50"/>
      <c r="BC741" s="50"/>
      <c r="BD741" s="50"/>
      <c r="BE741" s="20"/>
      <c r="BF741" s="518"/>
      <c r="BG741" s="484"/>
      <c r="BH741" s="484"/>
      <c r="BI741" s="527"/>
      <c r="BJ741" s="484"/>
      <c r="BK741" s="484"/>
      <c r="BL741" s="484"/>
      <c r="BM741" s="484"/>
    </row>
    <row r="742" spans="1:65" s="22" customFormat="1" x14ac:dyDescent="0.25">
      <c r="A742" s="20"/>
      <c r="B742" s="515"/>
      <c r="C742" s="11"/>
      <c r="D742" s="11"/>
      <c r="E742" s="11"/>
      <c r="F742" s="21"/>
      <c r="G742" s="11"/>
      <c r="H742" s="50"/>
      <c r="I742" s="50"/>
      <c r="J742" s="50"/>
      <c r="K742" s="11"/>
      <c r="L742" s="50"/>
      <c r="M742" s="50"/>
      <c r="N742" s="50"/>
      <c r="O742" s="50"/>
      <c r="P742" s="50"/>
      <c r="Q742" s="11"/>
      <c r="R742" s="50"/>
      <c r="S742" s="50"/>
      <c r="T742" s="50"/>
      <c r="U742" s="11"/>
      <c r="V742" s="50"/>
      <c r="W742" s="50"/>
      <c r="X742" s="50"/>
      <c r="Y742" s="50"/>
      <c r="Z742" s="50"/>
      <c r="AA742" s="11"/>
      <c r="AB742" s="50"/>
      <c r="AC742" s="50"/>
      <c r="AD742" s="50"/>
      <c r="AE742" s="11"/>
      <c r="AF742" s="50"/>
      <c r="AG742" s="50"/>
      <c r="AH742" s="50"/>
      <c r="AI742" s="11"/>
      <c r="AJ742" s="50"/>
      <c r="AK742" s="50"/>
      <c r="AL742" s="50"/>
      <c r="AM742" s="11"/>
      <c r="AN742" s="50"/>
      <c r="AO742" s="50"/>
      <c r="AP742" s="50"/>
      <c r="AQ742" s="11"/>
      <c r="AR742" s="50"/>
      <c r="AS742" s="50"/>
      <c r="AT742" s="50"/>
      <c r="AU742" s="11"/>
      <c r="AV742" s="50"/>
      <c r="AW742" s="50"/>
      <c r="AX742" s="50"/>
      <c r="AY742" s="50"/>
      <c r="AZ742" s="50"/>
      <c r="BA742" s="50"/>
      <c r="BB742" s="50"/>
      <c r="BC742" s="50"/>
      <c r="BD742" s="50"/>
      <c r="BE742" s="20"/>
      <c r="BF742" s="518"/>
      <c r="BG742" s="484"/>
      <c r="BH742" s="484"/>
      <c r="BI742" s="527"/>
      <c r="BJ742" s="484"/>
      <c r="BK742" s="484"/>
      <c r="BL742" s="484"/>
      <c r="BM742" s="484"/>
    </row>
    <row r="743" spans="1:65" s="22" customFormat="1" x14ac:dyDescent="0.25">
      <c r="A743" s="20"/>
      <c r="B743" s="515"/>
      <c r="C743" s="11"/>
      <c r="D743" s="11"/>
      <c r="E743" s="11"/>
      <c r="F743" s="21"/>
      <c r="G743" s="11"/>
      <c r="H743" s="50"/>
      <c r="I743" s="50"/>
      <c r="J743" s="50"/>
      <c r="K743" s="11"/>
      <c r="L743" s="50"/>
      <c r="M743" s="50"/>
      <c r="N743" s="50"/>
      <c r="O743" s="50"/>
      <c r="P743" s="50"/>
      <c r="Q743" s="11"/>
      <c r="R743" s="50"/>
      <c r="S743" s="50"/>
      <c r="T743" s="50"/>
      <c r="U743" s="11"/>
      <c r="V743" s="50"/>
      <c r="W743" s="50"/>
      <c r="X743" s="50"/>
      <c r="Y743" s="50"/>
      <c r="Z743" s="50"/>
      <c r="AA743" s="11"/>
      <c r="AB743" s="50"/>
      <c r="AC743" s="50"/>
      <c r="AD743" s="50"/>
      <c r="AE743" s="11"/>
      <c r="AF743" s="50"/>
      <c r="AG743" s="50"/>
      <c r="AH743" s="50"/>
      <c r="AI743" s="11"/>
      <c r="AJ743" s="50"/>
      <c r="AK743" s="50"/>
      <c r="AL743" s="50"/>
      <c r="AM743" s="11"/>
      <c r="AN743" s="50"/>
      <c r="AO743" s="50"/>
      <c r="AP743" s="50"/>
      <c r="AQ743" s="11"/>
      <c r="AR743" s="50"/>
      <c r="AS743" s="50"/>
      <c r="AT743" s="50"/>
      <c r="AU743" s="11"/>
      <c r="AV743" s="50"/>
      <c r="AW743" s="50"/>
      <c r="AX743" s="50"/>
      <c r="AY743" s="50"/>
      <c r="AZ743" s="50"/>
      <c r="BA743" s="50"/>
      <c r="BB743" s="50"/>
      <c r="BC743" s="50"/>
      <c r="BD743" s="50"/>
      <c r="BE743" s="20"/>
      <c r="BF743" s="518"/>
      <c r="BG743" s="484"/>
      <c r="BH743" s="484"/>
      <c r="BI743" s="527"/>
      <c r="BJ743" s="484"/>
      <c r="BK743" s="484"/>
      <c r="BL743" s="484"/>
      <c r="BM743" s="484"/>
    </row>
    <row r="744" spans="1:65" s="22" customFormat="1" x14ac:dyDescent="0.25">
      <c r="A744" s="20"/>
      <c r="B744" s="515"/>
      <c r="C744" s="11"/>
      <c r="D744" s="11"/>
      <c r="E744" s="11"/>
      <c r="F744" s="21"/>
      <c r="G744" s="11"/>
      <c r="H744" s="50"/>
      <c r="I744" s="50"/>
      <c r="J744" s="50"/>
      <c r="K744" s="11"/>
      <c r="L744" s="50"/>
      <c r="M744" s="50"/>
      <c r="N744" s="50"/>
      <c r="O744" s="50"/>
      <c r="P744" s="50"/>
      <c r="Q744" s="11"/>
      <c r="R744" s="50"/>
      <c r="S744" s="50"/>
      <c r="T744" s="50"/>
      <c r="U744" s="11"/>
      <c r="V744" s="50"/>
      <c r="W744" s="50"/>
      <c r="X744" s="50"/>
      <c r="Y744" s="50"/>
      <c r="Z744" s="50"/>
      <c r="AA744" s="11"/>
      <c r="AB744" s="50"/>
      <c r="AC744" s="50"/>
      <c r="AD744" s="50"/>
      <c r="AE744" s="11"/>
      <c r="AF744" s="50"/>
      <c r="AG744" s="50"/>
      <c r="AH744" s="50"/>
      <c r="AI744" s="11"/>
      <c r="AJ744" s="50"/>
      <c r="AK744" s="50"/>
      <c r="AL744" s="50"/>
      <c r="AM744" s="11"/>
      <c r="AN744" s="50"/>
      <c r="AO744" s="50"/>
      <c r="AP744" s="50"/>
      <c r="AQ744" s="11"/>
      <c r="AR744" s="50"/>
      <c r="AS744" s="50"/>
      <c r="AT744" s="50"/>
      <c r="AU744" s="11"/>
      <c r="AV744" s="50"/>
      <c r="AW744" s="50"/>
      <c r="AX744" s="50"/>
      <c r="AY744" s="50"/>
      <c r="AZ744" s="50"/>
      <c r="BA744" s="50"/>
      <c r="BB744" s="50"/>
      <c r="BC744" s="50"/>
      <c r="BD744" s="50"/>
      <c r="BE744" s="20"/>
      <c r="BF744" s="518"/>
      <c r="BG744" s="484"/>
      <c r="BH744" s="484"/>
      <c r="BI744" s="527"/>
      <c r="BJ744" s="484"/>
      <c r="BK744" s="484"/>
      <c r="BL744" s="484"/>
      <c r="BM744" s="484"/>
    </row>
    <row r="745" spans="1:65" s="22" customFormat="1" x14ac:dyDescent="0.25">
      <c r="A745" s="20"/>
      <c r="B745" s="515"/>
      <c r="C745" s="11"/>
      <c r="D745" s="11"/>
      <c r="E745" s="11"/>
      <c r="F745" s="21"/>
      <c r="G745" s="11"/>
      <c r="H745" s="50"/>
      <c r="I745" s="50"/>
      <c r="J745" s="50"/>
      <c r="K745" s="11"/>
      <c r="L745" s="50"/>
      <c r="M745" s="50"/>
      <c r="N745" s="50"/>
      <c r="O745" s="50"/>
      <c r="P745" s="50"/>
      <c r="Q745" s="11"/>
      <c r="R745" s="50"/>
      <c r="S745" s="50"/>
      <c r="T745" s="50"/>
      <c r="U745" s="11"/>
      <c r="V745" s="50"/>
      <c r="W745" s="50"/>
      <c r="X745" s="50"/>
      <c r="Y745" s="50"/>
      <c r="Z745" s="50"/>
      <c r="AA745" s="11"/>
      <c r="AB745" s="50"/>
      <c r="AC745" s="50"/>
      <c r="AD745" s="50"/>
      <c r="AE745" s="11"/>
      <c r="AF745" s="50"/>
      <c r="AG745" s="50"/>
      <c r="AH745" s="50"/>
      <c r="AI745" s="11"/>
      <c r="AJ745" s="50"/>
      <c r="AK745" s="50"/>
      <c r="AL745" s="50"/>
      <c r="AM745" s="11"/>
      <c r="AN745" s="50"/>
      <c r="AO745" s="50"/>
      <c r="AP745" s="50"/>
      <c r="AQ745" s="11"/>
      <c r="AR745" s="50"/>
      <c r="AS745" s="50"/>
      <c r="AT745" s="50"/>
      <c r="AU745" s="11"/>
      <c r="AV745" s="50"/>
      <c r="AW745" s="50"/>
      <c r="AX745" s="50"/>
      <c r="AY745" s="50"/>
      <c r="AZ745" s="50"/>
      <c r="BA745" s="50"/>
      <c r="BB745" s="50"/>
      <c r="BC745" s="50"/>
      <c r="BD745" s="50"/>
      <c r="BE745" s="20"/>
      <c r="BF745" s="518"/>
      <c r="BG745" s="484"/>
      <c r="BH745" s="484"/>
      <c r="BI745" s="527"/>
      <c r="BJ745" s="484"/>
      <c r="BK745" s="484"/>
      <c r="BL745" s="484"/>
      <c r="BM745" s="484"/>
    </row>
    <row r="746" spans="1:65" s="22" customFormat="1" x14ac:dyDescent="0.25">
      <c r="A746" s="20"/>
      <c r="B746" s="515"/>
      <c r="C746" s="11"/>
      <c r="D746" s="11"/>
      <c r="E746" s="11"/>
      <c r="F746" s="21"/>
      <c r="G746" s="11"/>
      <c r="H746" s="50"/>
      <c r="I746" s="50"/>
      <c r="J746" s="50"/>
      <c r="K746" s="11"/>
      <c r="L746" s="50"/>
      <c r="M746" s="50"/>
      <c r="N746" s="50"/>
      <c r="O746" s="50"/>
      <c r="P746" s="50"/>
      <c r="Q746" s="11"/>
      <c r="R746" s="50"/>
      <c r="S746" s="50"/>
      <c r="T746" s="50"/>
      <c r="U746" s="11"/>
      <c r="V746" s="50"/>
      <c r="W746" s="50"/>
      <c r="X746" s="50"/>
      <c r="Y746" s="50"/>
      <c r="Z746" s="50"/>
      <c r="AA746" s="11"/>
      <c r="AB746" s="50"/>
      <c r="AC746" s="50"/>
      <c r="AD746" s="50"/>
      <c r="AE746" s="11"/>
      <c r="AF746" s="50"/>
      <c r="AG746" s="50"/>
      <c r="AH746" s="50"/>
      <c r="AI746" s="11"/>
      <c r="AJ746" s="50"/>
      <c r="AK746" s="50"/>
      <c r="AL746" s="50"/>
      <c r="AM746" s="11"/>
      <c r="AN746" s="50"/>
      <c r="AO746" s="50"/>
      <c r="AP746" s="50"/>
      <c r="AQ746" s="11"/>
      <c r="AR746" s="50"/>
      <c r="AS746" s="50"/>
      <c r="AT746" s="50"/>
      <c r="AU746" s="11"/>
      <c r="AV746" s="50"/>
      <c r="AW746" s="50"/>
      <c r="AX746" s="50"/>
      <c r="AY746" s="50"/>
      <c r="AZ746" s="50"/>
      <c r="BA746" s="50"/>
      <c r="BB746" s="50"/>
      <c r="BC746" s="50"/>
      <c r="BD746" s="50"/>
      <c r="BE746" s="20"/>
      <c r="BF746" s="518"/>
      <c r="BG746" s="484"/>
      <c r="BH746" s="484"/>
      <c r="BI746" s="527"/>
      <c r="BJ746" s="484"/>
      <c r="BK746" s="484"/>
      <c r="BL746" s="484"/>
      <c r="BM746" s="484"/>
    </row>
    <row r="747" spans="1:65" s="22" customFormat="1" x14ac:dyDescent="0.25">
      <c r="A747" s="20"/>
      <c r="B747" s="515"/>
      <c r="C747" s="11"/>
      <c r="D747" s="11"/>
      <c r="E747" s="11"/>
      <c r="F747" s="21"/>
      <c r="G747" s="11"/>
      <c r="H747" s="50"/>
      <c r="I747" s="50"/>
      <c r="J747" s="50"/>
      <c r="K747" s="11"/>
      <c r="L747" s="50"/>
      <c r="M747" s="50"/>
      <c r="N747" s="50"/>
      <c r="O747" s="50"/>
      <c r="P747" s="50"/>
      <c r="Q747" s="11"/>
      <c r="R747" s="50"/>
      <c r="S747" s="50"/>
      <c r="T747" s="50"/>
      <c r="U747" s="11"/>
      <c r="V747" s="50"/>
      <c r="W747" s="50"/>
      <c r="X747" s="50"/>
      <c r="Y747" s="50"/>
      <c r="Z747" s="50"/>
      <c r="AA747" s="11"/>
      <c r="AB747" s="50"/>
      <c r="AC747" s="50"/>
      <c r="AD747" s="50"/>
      <c r="AE747" s="11"/>
      <c r="AF747" s="50"/>
      <c r="AG747" s="50"/>
      <c r="AH747" s="50"/>
      <c r="AI747" s="11"/>
      <c r="AJ747" s="50"/>
      <c r="AK747" s="50"/>
      <c r="AL747" s="50"/>
      <c r="AM747" s="11"/>
      <c r="AN747" s="50"/>
      <c r="AO747" s="50"/>
      <c r="AP747" s="50"/>
      <c r="AQ747" s="11"/>
      <c r="AR747" s="50"/>
      <c r="AS747" s="50"/>
      <c r="AT747" s="50"/>
      <c r="AU747" s="11"/>
      <c r="AV747" s="50"/>
      <c r="AW747" s="50"/>
      <c r="AX747" s="50"/>
      <c r="AY747" s="50"/>
      <c r="AZ747" s="50"/>
      <c r="BA747" s="50"/>
      <c r="BB747" s="50"/>
      <c r="BC747" s="50"/>
      <c r="BD747" s="50"/>
      <c r="BE747" s="20"/>
      <c r="BF747" s="518"/>
      <c r="BG747" s="484"/>
      <c r="BH747" s="484"/>
      <c r="BI747" s="527"/>
      <c r="BJ747" s="484"/>
      <c r="BK747" s="484"/>
      <c r="BL747" s="484"/>
      <c r="BM747" s="484"/>
    </row>
    <row r="748" spans="1:65" s="22" customFormat="1" x14ac:dyDescent="0.25">
      <c r="A748" s="20"/>
      <c r="B748" s="515"/>
      <c r="C748" s="11"/>
      <c r="D748" s="11"/>
      <c r="E748" s="11"/>
      <c r="F748" s="21"/>
      <c r="G748" s="11"/>
      <c r="H748" s="50"/>
      <c r="I748" s="50"/>
      <c r="J748" s="50"/>
      <c r="K748" s="11"/>
      <c r="L748" s="50"/>
      <c r="M748" s="50"/>
      <c r="N748" s="50"/>
      <c r="O748" s="50"/>
      <c r="P748" s="50"/>
      <c r="Q748" s="11"/>
      <c r="R748" s="50"/>
      <c r="S748" s="50"/>
      <c r="T748" s="50"/>
      <c r="U748" s="11"/>
      <c r="V748" s="50"/>
      <c r="W748" s="50"/>
      <c r="X748" s="50"/>
      <c r="Y748" s="50"/>
      <c r="Z748" s="50"/>
      <c r="AA748" s="11"/>
      <c r="AB748" s="50"/>
      <c r="AC748" s="50"/>
      <c r="AD748" s="50"/>
      <c r="AE748" s="11"/>
      <c r="AF748" s="50"/>
      <c r="AG748" s="50"/>
      <c r="AH748" s="50"/>
      <c r="AI748" s="11"/>
      <c r="AJ748" s="50"/>
      <c r="AK748" s="50"/>
      <c r="AL748" s="50"/>
      <c r="AM748" s="11"/>
      <c r="AN748" s="50"/>
      <c r="AO748" s="50"/>
      <c r="AP748" s="50"/>
      <c r="AQ748" s="11"/>
      <c r="AR748" s="50"/>
      <c r="AS748" s="50"/>
      <c r="AT748" s="50"/>
      <c r="AU748" s="11"/>
      <c r="AV748" s="50"/>
      <c r="AW748" s="50"/>
      <c r="AX748" s="50"/>
      <c r="AY748" s="50"/>
      <c r="AZ748" s="50"/>
      <c r="BA748" s="50"/>
      <c r="BB748" s="50"/>
      <c r="BC748" s="50"/>
      <c r="BD748" s="50"/>
      <c r="BE748" s="20"/>
      <c r="BF748" s="518"/>
      <c r="BG748" s="484"/>
      <c r="BH748" s="484"/>
      <c r="BI748" s="527"/>
      <c r="BJ748" s="484"/>
      <c r="BK748" s="484"/>
      <c r="BL748" s="484"/>
      <c r="BM748" s="484"/>
    </row>
    <row r="749" spans="1:65" s="22" customFormat="1" x14ac:dyDescent="0.25">
      <c r="A749" s="20"/>
      <c r="B749" s="515"/>
      <c r="C749" s="11"/>
      <c r="D749" s="11"/>
      <c r="E749" s="11"/>
      <c r="F749" s="21"/>
      <c r="G749" s="11"/>
      <c r="H749" s="50"/>
      <c r="I749" s="50"/>
      <c r="J749" s="50"/>
      <c r="K749" s="11"/>
      <c r="L749" s="50"/>
      <c r="M749" s="50"/>
      <c r="N749" s="50"/>
      <c r="O749" s="50"/>
      <c r="P749" s="50"/>
      <c r="Q749" s="11"/>
      <c r="R749" s="50"/>
      <c r="S749" s="50"/>
      <c r="T749" s="50"/>
      <c r="U749" s="11"/>
      <c r="V749" s="50"/>
      <c r="W749" s="50"/>
      <c r="X749" s="50"/>
      <c r="Y749" s="50"/>
      <c r="Z749" s="50"/>
      <c r="AA749" s="11"/>
      <c r="AB749" s="50"/>
      <c r="AC749" s="50"/>
      <c r="AD749" s="50"/>
      <c r="AE749" s="11"/>
      <c r="AF749" s="50"/>
      <c r="AG749" s="50"/>
      <c r="AH749" s="50"/>
      <c r="AI749" s="11"/>
      <c r="AJ749" s="50"/>
      <c r="AK749" s="50"/>
      <c r="AL749" s="50"/>
      <c r="AM749" s="11"/>
      <c r="AN749" s="50"/>
      <c r="AO749" s="50"/>
      <c r="AP749" s="50"/>
      <c r="AQ749" s="11"/>
      <c r="AR749" s="50"/>
      <c r="AS749" s="50"/>
      <c r="AT749" s="50"/>
      <c r="AU749" s="11"/>
      <c r="AV749" s="50"/>
      <c r="AW749" s="50"/>
      <c r="AX749" s="50"/>
      <c r="AY749" s="50"/>
      <c r="AZ749" s="50"/>
      <c r="BA749" s="50"/>
      <c r="BB749" s="50"/>
      <c r="BC749" s="50"/>
      <c r="BD749" s="50"/>
      <c r="BE749" s="20"/>
      <c r="BF749" s="518"/>
      <c r="BG749" s="484"/>
      <c r="BH749" s="484"/>
      <c r="BI749" s="527"/>
      <c r="BJ749" s="484"/>
      <c r="BK749" s="484"/>
      <c r="BL749" s="484"/>
      <c r="BM749" s="484"/>
    </row>
    <row r="750" spans="1:65" s="22" customFormat="1" x14ac:dyDescent="0.25">
      <c r="A750" s="20"/>
      <c r="B750" s="515"/>
      <c r="C750" s="11"/>
      <c r="D750" s="11"/>
      <c r="E750" s="11"/>
      <c r="F750" s="21"/>
      <c r="G750" s="11"/>
      <c r="H750" s="50"/>
      <c r="I750" s="50"/>
      <c r="J750" s="50"/>
      <c r="K750" s="11"/>
      <c r="L750" s="50"/>
      <c r="M750" s="50"/>
      <c r="N750" s="50"/>
      <c r="O750" s="50"/>
      <c r="P750" s="50"/>
      <c r="Q750" s="11"/>
      <c r="R750" s="50"/>
      <c r="S750" s="50"/>
      <c r="T750" s="50"/>
      <c r="U750" s="11"/>
      <c r="V750" s="50"/>
      <c r="W750" s="50"/>
      <c r="X750" s="50"/>
      <c r="Y750" s="50"/>
      <c r="Z750" s="50"/>
      <c r="AA750" s="11"/>
      <c r="AB750" s="50"/>
      <c r="AC750" s="50"/>
      <c r="AD750" s="50"/>
      <c r="AE750" s="11"/>
      <c r="AF750" s="50"/>
      <c r="AG750" s="50"/>
      <c r="AH750" s="50"/>
      <c r="AI750" s="11"/>
      <c r="AJ750" s="50"/>
      <c r="AK750" s="50"/>
      <c r="AL750" s="50"/>
      <c r="AM750" s="11"/>
      <c r="AN750" s="50"/>
      <c r="AO750" s="50"/>
      <c r="AP750" s="50"/>
      <c r="AQ750" s="11"/>
      <c r="AR750" s="50"/>
      <c r="AS750" s="50"/>
      <c r="AT750" s="50"/>
      <c r="AU750" s="11"/>
      <c r="AV750" s="50"/>
      <c r="AW750" s="50"/>
      <c r="AX750" s="50"/>
      <c r="AY750" s="50"/>
      <c r="AZ750" s="50"/>
      <c r="BA750" s="50"/>
      <c r="BB750" s="50"/>
      <c r="BC750" s="50"/>
      <c r="BD750" s="50"/>
      <c r="BE750" s="20"/>
      <c r="BF750" s="518"/>
      <c r="BG750" s="484"/>
      <c r="BH750" s="484"/>
      <c r="BI750" s="527"/>
      <c r="BJ750" s="484"/>
      <c r="BK750" s="484"/>
      <c r="BL750" s="484"/>
      <c r="BM750" s="484"/>
    </row>
    <row r="751" spans="1:65" s="22" customFormat="1" x14ac:dyDescent="0.25">
      <c r="A751" s="20"/>
      <c r="B751" s="515"/>
      <c r="C751" s="11"/>
      <c r="D751" s="11"/>
      <c r="E751" s="11"/>
      <c r="F751" s="21"/>
      <c r="G751" s="11"/>
      <c r="H751" s="50"/>
      <c r="I751" s="50"/>
      <c r="J751" s="50"/>
      <c r="K751" s="11"/>
      <c r="L751" s="50"/>
      <c r="M751" s="50"/>
      <c r="N751" s="50"/>
      <c r="O751" s="50"/>
      <c r="P751" s="50"/>
      <c r="Q751" s="11"/>
      <c r="R751" s="50"/>
      <c r="S751" s="50"/>
      <c r="T751" s="50"/>
      <c r="U751" s="11"/>
      <c r="V751" s="50"/>
      <c r="W751" s="50"/>
      <c r="X751" s="50"/>
      <c r="Y751" s="50"/>
      <c r="Z751" s="50"/>
      <c r="AA751" s="11"/>
      <c r="AB751" s="50"/>
      <c r="AC751" s="50"/>
      <c r="AD751" s="50"/>
      <c r="AE751" s="11"/>
      <c r="AF751" s="50"/>
      <c r="AG751" s="50"/>
      <c r="AH751" s="50"/>
      <c r="AI751" s="11"/>
      <c r="AJ751" s="50"/>
      <c r="AK751" s="50"/>
      <c r="AL751" s="50"/>
      <c r="AM751" s="11"/>
      <c r="AN751" s="50"/>
      <c r="AO751" s="50"/>
      <c r="AP751" s="50"/>
      <c r="AQ751" s="11"/>
      <c r="AR751" s="50"/>
      <c r="AS751" s="50"/>
      <c r="AT751" s="50"/>
      <c r="AU751" s="11"/>
      <c r="AV751" s="50"/>
      <c r="AW751" s="50"/>
      <c r="AX751" s="50"/>
      <c r="AY751" s="50"/>
      <c r="AZ751" s="50"/>
      <c r="BA751" s="50"/>
      <c r="BB751" s="50"/>
      <c r="BC751" s="50"/>
      <c r="BD751" s="50"/>
      <c r="BE751" s="20"/>
      <c r="BF751" s="518"/>
      <c r="BG751" s="484"/>
      <c r="BH751" s="484"/>
      <c r="BI751" s="527"/>
      <c r="BJ751" s="484"/>
      <c r="BK751" s="484"/>
      <c r="BL751" s="484"/>
      <c r="BM751" s="484"/>
    </row>
    <row r="752" spans="1:65" s="22" customFormat="1" x14ac:dyDescent="0.25">
      <c r="A752" s="20"/>
      <c r="B752" s="515"/>
      <c r="C752" s="11"/>
      <c r="D752" s="11"/>
      <c r="E752" s="11"/>
      <c r="F752" s="21"/>
      <c r="G752" s="11"/>
      <c r="H752" s="50"/>
      <c r="I752" s="50"/>
      <c r="J752" s="50"/>
      <c r="K752" s="11"/>
      <c r="L752" s="50"/>
      <c r="M752" s="50"/>
      <c r="N752" s="50"/>
      <c r="O752" s="50"/>
      <c r="P752" s="50"/>
      <c r="Q752" s="11"/>
      <c r="R752" s="50"/>
      <c r="S752" s="50"/>
      <c r="T752" s="50"/>
      <c r="U752" s="11"/>
      <c r="V752" s="50"/>
      <c r="W752" s="50"/>
      <c r="X752" s="50"/>
      <c r="Y752" s="50"/>
      <c r="Z752" s="50"/>
      <c r="AA752" s="11"/>
      <c r="AB752" s="50"/>
      <c r="AC752" s="50"/>
      <c r="AD752" s="50"/>
      <c r="AE752" s="11"/>
      <c r="AF752" s="50"/>
      <c r="AG752" s="50"/>
      <c r="AH752" s="50"/>
      <c r="AI752" s="11"/>
      <c r="AJ752" s="50"/>
      <c r="AK752" s="50"/>
      <c r="AL752" s="50"/>
      <c r="AM752" s="11"/>
      <c r="AN752" s="50"/>
      <c r="AO752" s="50"/>
      <c r="AP752" s="50"/>
      <c r="AQ752" s="11"/>
      <c r="AR752" s="50"/>
      <c r="AS752" s="50"/>
      <c r="AT752" s="50"/>
      <c r="AU752" s="11"/>
      <c r="AV752" s="50"/>
      <c r="AW752" s="50"/>
      <c r="AX752" s="50"/>
      <c r="AY752" s="50"/>
      <c r="AZ752" s="50"/>
      <c r="BA752" s="50"/>
      <c r="BB752" s="50"/>
      <c r="BC752" s="50"/>
      <c r="BD752" s="50"/>
      <c r="BE752" s="20"/>
      <c r="BF752" s="518"/>
      <c r="BG752" s="484"/>
      <c r="BH752" s="484"/>
      <c r="BI752" s="527"/>
      <c r="BJ752" s="484"/>
      <c r="BK752" s="484"/>
      <c r="BL752" s="484"/>
      <c r="BM752" s="484"/>
    </row>
    <row r="753" spans="1:65" s="22" customFormat="1" x14ac:dyDescent="0.25">
      <c r="A753" s="20"/>
      <c r="B753" s="515"/>
      <c r="C753" s="11"/>
      <c r="D753" s="11"/>
      <c r="E753" s="11"/>
      <c r="F753" s="21"/>
      <c r="G753" s="11"/>
      <c r="H753" s="50"/>
      <c r="I753" s="50"/>
      <c r="J753" s="50"/>
      <c r="K753" s="11"/>
      <c r="L753" s="50"/>
      <c r="M753" s="50"/>
      <c r="N753" s="50"/>
      <c r="O753" s="50"/>
      <c r="P753" s="50"/>
      <c r="Q753" s="11"/>
      <c r="R753" s="50"/>
      <c r="S753" s="50"/>
      <c r="T753" s="50"/>
      <c r="U753" s="11"/>
      <c r="V753" s="50"/>
      <c r="W753" s="50"/>
      <c r="X753" s="50"/>
      <c r="Y753" s="50"/>
      <c r="Z753" s="50"/>
      <c r="AA753" s="11"/>
      <c r="AB753" s="50"/>
      <c r="AC753" s="50"/>
      <c r="AD753" s="50"/>
      <c r="AE753" s="11"/>
      <c r="AF753" s="50"/>
      <c r="AG753" s="50"/>
      <c r="AH753" s="50"/>
      <c r="AI753" s="11"/>
      <c r="AJ753" s="50"/>
      <c r="AK753" s="50"/>
      <c r="AL753" s="50"/>
      <c r="AM753" s="11"/>
      <c r="AN753" s="50"/>
      <c r="AO753" s="50"/>
      <c r="AP753" s="50"/>
      <c r="AQ753" s="11"/>
      <c r="AR753" s="50"/>
      <c r="AS753" s="50"/>
      <c r="AT753" s="50"/>
      <c r="AU753" s="11"/>
      <c r="AV753" s="50"/>
      <c r="AW753" s="50"/>
      <c r="AX753" s="50"/>
      <c r="AY753" s="50"/>
      <c r="AZ753" s="50"/>
      <c r="BA753" s="50"/>
      <c r="BB753" s="50"/>
      <c r="BC753" s="50"/>
      <c r="BD753" s="50"/>
      <c r="BE753" s="20"/>
      <c r="BF753" s="518"/>
      <c r="BG753" s="484"/>
      <c r="BH753" s="484"/>
      <c r="BI753" s="527"/>
      <c r="BJ753" s="484"/>
      <c r="BK753" s="484"/>
      <c r="BL753" s="484"/>
      <c r="BM753" s="484"/>
    </row>
    <row r="754" spans="1:65" s="22" customFormat="1" x14ac:dyDescent="0.25">
      <c r="A754" s="20"/>
      <c r="B754" s="515"/>
      <c r="C754" s="11"/>
      <c r="D754" s="11"/>
      <c r="E754" s="11"/>
      <c r="F754" s="21"/>
      <c r="G754" s="11"/>
      <c r="H754" s="50"/>
      <c r="I754" s="50"/>
      <c r="J754" s="50"/>
      <c r="K754" s="11"/>
      <c r="L754" s="50"/>
      <c r="M754" s="50"/>
      <c r="N754" s="50"/>
      <c r="O754" s="50"/>
      <c r="P754" s="50"/>
      <c r="Q754" s="11"/>
      <c r="R754" s="50"/>
      <c r="S754" s="50"/>
      <c r="T754" s="50"/>
      <c r="U754" s="11"/>
      <c r="V754" s="50"/>
      <c r="W754" s="50"/>
      <c r="X754" s="50"/>
      <c r="Y754" s="50"/>
      <c r="Z754" s="50"/>
      <c r="AA754" s="11"/>
      <c r="AB754" s="50"/>
      <c r="AC754" s="50"/>
      <c r="AD754" s="50"/>
      <c r="AE754" s="11"/>
      <c r="AF754" s="50"/>
      <c r="AG754" s="50"/>
      <c r="AH754" s="50"/>
      <c r="AI754" s="11"/>
      <c r="AJ754" s="50"/>
      <c r="AK754" s="50"/>
      <c r="AL754" s="50"/>
      <c r="AM754" s="11"/>
      <c r="AN754" s="50"/>
      <c r="AO754" s="50"/>
      <c r="AP754" s="50"/>
      <c r="AQ754" s="11"/>
      <c r="AR754" s="50"/>
      <c r="AS754" s="50"/>
      <c r="AT754" s="50"/>
      <c r="AU754" s="11"/>
      <c r="AV754" s="50"/>
      <c r="AW754" s="50"/>
      <c r="AX754" s="50"/>
      <c r="AY754" s="50"/>
      <c r="AZ754" s="50"/>
      <c r="BA754" s="50"/>
      <c r="BB754" s="50"/>
      <c r="BC754" s="50"/>
      <c r="BD754" s="50"/>
      <c r="BE754" s="20"/>
      <c r="BF754" s="518"/>
      <c r="BG754" s="484"/>
      <c r="BH754" s="484"/>
      <c r="BI754" s="527"/>
      <c r="BJ754" s="484"/>
      <c r="BK754" s="484"/>
      <c r="BL754" s="484"/>
      <c r="BM754" s="484"/>
    </row>
    <row r="755" spans="1:65" s="22" customFormat="1" x14ac:dyDescent="0.25">
      <c r="A755" s="20"/>
      <c r="B755" s="515"/>
      <c r="C755" s="11"/>
      <c r="D755" s="11"/>
      <c r="E755" s="11"/>
      <c r="F755" s="21"/>
      <c r="G755" s="11"/>
      <c r="H755" s="50"/>
      <c r="I755" s="50"/>
      <c r="J755" s="50"/>
      <c r="K755" s="11"/>
      <c r="L755" s="50"/>
      <c r="M755" s="50"/>
      <c r="N755" s="50"/>
      <c r="O755" s="50"/>
      <c r="P755" s="50"/>
      <c r="Q755" s="11"/>
      <c r="R755" s="50"/>
      <c r="S755" s="50"/>
      <c r="T755" s="50"/>
      <c r="U755" s="11"/>
      <c r="V755" s="50"/>
      <c r="W755" s="50"/>
      <c r="X755" s="50"/>
      <c r="Y755" s="50"/>
      <c r="Z755" s="50"/>
      <c r="AA755" s="11"/>
      <c r="AB755" s="50"/>
      <c r="AC755" s="50"/>
      <c r="AD755" s="50"/>
      <c r="AE755" s="11"/>
      <c r="AF755" s="50"/>
      <c r="AG755" s="50"/>
      <c r="AH755" s="50"/>
      <c r="AI755" s="11"/>
      <c r="AJ755" s="50"/>
      <c r="AK755" s="50"/>
      <c r="AL755" s="50"/>
      <c r="AM755" s="11"/>
      <c r="AN755" s="50"/>
      <c r="AO755" s="50"/>
      <c r="AP755" s="50"/>
      <c r="AQ755" s="11"/>
      <c r="AR755" s="50"/>
      <c r="AS755" s="50"/>
      <c r="AT755" s="50"/>
      <c r="AU755" s="11"/>
      <c r="AV755" s="50"/>
      <c r="AW755" s="50"/>
      <c r="AX755" s="50"/>
      <c r="AY755" s="50"/>
      <c r="AZ755" s="50"/>
      <c r="BA755" s="50"/>
      <c r="BB755" s="50"/>
      <c r="BC755" s="50"/>
      <c r="BD755" s="50"/>
      <c r="BE755" s="20"/>
      <c r="BF755" s="518"/>
      <c r="BG755" s="484"/>
      <c r="BH755" s="484"/>
      <c r="BI755" s="527"/>
      <c r="BJ755" s="484"/>
      <c r="BK755" s="484"/>
      <c r="BL755" s="484"/>
      <c r="BM755" s="484"/>
    </row>
    <row r="756" spans="1:65" s="22" customFormat="1" x14ac:dyDescent="0.25">
      <c r="A756" s="20"/>
      <c r="B756" s="515"/>
      <c r="C756" s="11"/>
      <c r="D756" s="11"/>
      <c r="E756" s="11"/>
      <c r="F756" s="21"/>
      <c r="G756" s="11"/>
      <c r="H756" s="50"/>
      <c r="I756" s="50"/>
      <c r="J756" s="50"/>
      <c r="K756" s="11"/>
      <c r="L756" s="50"/>
      <c r="M756" s="50"/>
      <c r="N756" s="50"/>
      <c r="O756" s="50"/>
      <c r="P756" s="50"/>
      <c r="Q756" s="11"/>
      <c r="R756" s="50"/>
      <c r="S756" s="50"/>
      <c r="T756" s="50"/>
      <c r="U756" s="11"/>
      <c r="V756" s="50"/>
      <c r="W756" s="50"/>
      <c r="X756" s="50"/>
      <c r="Y756" s="50"/>
      <c r="Z756" s="50"/>
      <c r="AA756" s="11"/>
      <c r="AB756" s="50"/>
      <c r="AC756" s="50"/>
      <c r="AD756" s="50"/>
      <c r="AE756" s="11"/>
      <c r="AF756" s="50"/>
      <c r="AG756" s="50"/>
      <c r="AH756" s="50"/>
      <c r="AI756" s="11"/>
      <c r="AJ756" s="50"/>
      <c r="AK756" s="50"/>
      <c r="AL756" s="50"/>
      <c r="AM756" s="11"/>
      <c r="AN756" s="50"/>
      <c r="AO756" s="50"/>
      <c r="AP756" s="50"/>
      <c r="AQ756" s="11"/>
      <c r="AR756" s="50"/>
      <c r="AS756" s="50"/>
      <c r="AT756" s="50"/>
      <c r="AU756" s="11"/>
      <c r="AV756" s="50"/>
      <c r="AW756" s="50"/>
      <c r="AX756" s="50"/>
      <c r="AY756" s="50"/>
      <c r="AZ756" s="50"/>
      <c r="BA756" s="50"/>
      <c r="BB756" s="50"/>
      <c r="BC756" s="50"/>
      <c r="BD756" s="50"/>
      <c r="BE756" s="20"/>
      <c r="BF756" s="518"/>
      <c r="BG756" s="484"/>
      <c r="BH756" s="484"/>
      <c r="BI756" s="527"/>
      <c r="BJ756" s="484"/>
      <c r="BK756" s="484"/>
      <c r="BL756" s="484"/>
      <c r="BM756" s="484"/>
    </row>
    <row r="757" spans="1:65" s="22" customFormat="1" x14ac:dyDescent="0.25">
      <c r="A757" s="20"/>
      <c r="B757" s="515"/>
      <c r="C757" s="11"/>
      <c r="D757" s="11"/>
      <c r="E757" s="11"/>
      <c r="F757" s="21"/>
      <c r="G757" s="11"/>
      <c r="H757" s="50"/>
      <c r="I757" s="50"/>
      <c r="J757" s="50"/>
      <c r="K757" s="11"/>
      <c r="L757" s="50"/>
      <c r="M757" s="50"/>
      <c r="N757" s="50"/>
      <c r="O757" s="50"/>
      <c r="P757" s="50"/>
      <c r="Q757" s="11"/>
      <c r="R757" s="50"/>
      <c r="S757" s="50"/>
      <c r="T757" s="50"/>
      <c r="U757" s="11"/>
      <c r="V757" s="50"/>
      <c r="W757" s="50"/>
      <c r="X757" s="50"/>
      <c r="Y757" s="50"/>
      <c r="Z757" s="50"/>
      <c r="AA757" s="11"/>
      <c r="AB757" s="50"/>
      <c r="AC757" s="50"/>
      <c r="AD757" s="50"/>
      <c r="AE757" s="11"/>
      <c r="AF757" s="50"/>
      <c r="AG757" s="50"/>
      <c r="AH757" s="50"/>
      <c r="AI757" s="11"/>
      <c r="AJ757" s="50"/>
      <c r="AK757" s="50"/>
      <c r="AL757" s="50"/>
      <c r="AM757" s="11"/>
      <c r="AN757" s="50"/>
      <c r="AO757" s="50"/>
      <c r="AP757" s="50"/>
      <c r="AQ757" s="11"/>
      <c r="AR757" s="50"/>
      <c r="AS757" s="50"/>
      <c r="AT757" s="50"/>
      <c r="AU757" s="11"/>
      <c r="AV757" s="50"/>
      <c r="AW757" s="50"/>
      <c r="AX757" s="50"/>
      <c r="AY757" s="50"/>
      <c r="AZ757" s="50"/>
      <c r="BA757" s="50"/>
      <c r="BB757" s="50"/>
      <c r="BC757" s="50"/>
      <c r="BD757" s="50"/>
      <c r="BE757" s="20"/>
      <c r="BF757" s="518"/>
      <c r="BG757" s="484"/>
      <c r="BH757" s="484"/>
      <c r="BI757" s="527"/>
      <c r="BJ757" s="484"/>
      <c r="BK757" s="484"/>
      <c r="BL757" s="484"/>
      <c r="BM757" s="484"/>
    </row>
    <row r="758" spans="1:65" s="22" customFormat="1" x14ac:dyDescent="0.25">
      <c r="A758" s="20"/>
      <c r="B758" s="515"/>
      <c r="C758" s="11"/>
      <c r="D758" s="11"/>
      <c r="E758" s="11"/>
      <c r="F758" s="21"/>
      <c r="G758" s="11"/>
      <c r="H758" s="50"/>
      <c r="I758" s="50"/>
      <c r="J758" s="50"/>
      <c r="K758" s="11"/>
      <c r="L758" s="50"/>
      <c r="M758" s="50"/>
      <c r="N758" s="50"/>
      <c r="O758" s="50"/>
      <c r="P758" s="50"/>
      <c r="Q758" s="11"/>
      <c r="R758" s="50"/>
      <c r="S758" s="50"/>
      <c r="T758" s="50"/>
      <c r="U758" s="11"/>
      <c r="V758" s="50"/>
      <c r="W758" s="50"/>
      <c r="X758" s="50"/>
      <c r="Y758" s="50"/>
      <c r="Z758" s="50"/>
      <c r="AA758" s="11"/>
      <c r="AB758" s="50"/>
      <c r="AC758" s="50"/>
      <c r="AD758" s="50"/>
      <c r="AE758" s="11"/>
      <c r="AF758" s="50"/>
      <c r="AG758" s="50"/>
      <c r="AH758" s="50"/>
      <c r="AI758" s="11"/>
      <c r="AJ758" s="50"/>
      <c r="AK758" s="50"/>
      <c r="AL758" s="50"/>
      <c r="AM758" s="11"/>
      <c r="AN758" s="50"/>
      <c r="AO758" s="50"/>
      <c r="AP758" s="50"/>
      <c r="AQ758" s="11"/>
      <c r="AR758" s="50"/>
      <c r="AS758" s="50"/>
      <c r="AT758" s="50"/>
      <c r="AU758" s="11"/>
      <c r="AV758" s="50"/>
      <c r="AW758" s="50"/>
      <c r="AX758" s="50"/>
      <c r="AY758" s="50"/>
      <c r="AZ758" s="50"/>
      <c r="BA758" s="50"/>
      <c r="BB758" s="50"/>
      <c r="BC758" s="50"/>
      <c r="BD758" s="50"/>
      <c r="BE758" s="20"/>
      <c r="BF758" s="518"/>
      <c r="BG758" s="484"/>
      <c r="BH758" s="484"/>
      <c r="BI758" s="527"/>
      <c r="BJ758" s="484"/>
      <c r="BK758" s="484"/>
      <c r="BL758" s="484"/>
      <c r="BM758" s="484"/>
    </row>
    <row r="759" spans="1:65" s="22" customFormat="1" x14ac:dyDescent="0.25">
      <c r="A759" s="20"/>
      <c r="B759" s="515"/>
      <c r="C759" s="11"/>
      <c r="D759" s="11"/>
      <c r="E759" s="11"/>
      <c r="F759" s="21"/>
      <c r="G759" s="11"/>
      <c r="H759" s="50"/>
      <c r="I759" s="50"/>
      <c r="J759" s="50"/>
      <c r="K759" s="11"/>
      <c r="L759" s="50"/>
      <c r="M759" s="50"/>
      <c r="N759" s="50"/>
      <c r="O759" s="50"/>
      <c r="P759" s="50"/>
      <c r="Q759" s="11"/>
      <c r="R759" s="50"/>
      <c r="S759" s="50"/>
      <c r="T759" s="50"/>
      <c r="U759" s="11"/>
      <c r="V759" s="50"/>
      <c r="W759" s="50"/>
      <c r="X759" s="50"/>
      <c r="Y759" s="50"/>
      <c r="Z759" s="50"/>
      <c r="AA759" s="11"/>
      <c r="AB759" s="50"/>
      <c r="AC759" s="50"/>
      <c r="AD759" s="50"/>
      <c r="AE759" s="11"/>
      <c r="AF759" s="50"/>
      <c r="AG759" s="50"/>
      <c r="AH759" s="50"/>
      <c r="AI759" s="11"/>
      <c r="AJ759" s="50"/>
      <c r="AK759" s="50"/>
      <c r="AL759" s="50"/>
      <c r="AM759" s="11"/>
      <c r="AN759" s="50"/>
      <c r="AO759" s="50"/>
      <c r="AP759" s="50"/>
      <c r="AQ759" s="11"/>
      <c r="AR759" s="50"/>
      <c r="AS759" s="50"/>
      <c r="AT759" s="50"/>
      <c r="AU759" s="11"/>
      <c r="AV759" s="50"/>
      <c r="AW759" s="50"/>
      <c r="AX759" s="50"/>
      <c r="AY759" s="50"/>
      <c r="AZ759" s="50"/>
      <c r="BA759" s="50"/>
      <c r="BB759" s="50"/>
      <c r="BC759" s="50"/>
      <c r="BD759" s="50"/>
      <c r="BE759" s="20"/>
      <c r="BF759" s="518"/>
      <c r="BG759" s="484"/>
      <c r="BH759" s="484"/>
      <c r="BI759" s="527"/>
      <c r="BJ759" s="484"/>
      <c r="BK759" s="484"/>
      <c r="BL759" s="484"/>
      <c r="BM759" s="484"/>
    </row>
    <row r="760" spans="1:65" s="22" customFormat="1" x14ac:dyDescent="0.25">
      <c r="A760" s="20"/>
      <c r="B760" s="515"/>
      <c r="C760" s="11"/>
      <c r="D760" s="11"/>
      <c r="E760" s="11"/>
      <c r="F760" s="21"/>
      <c r="G760" s="11"/>
      <c r="H760" s="50"/>
      <c r="I760" s="50"/>
      <c r="J760" s="50"/>
      <c r="K760" s="11"/>
      <c r="L760" s="50"/>
      <c r="M760" s="50"/>
      <c r="N760" s="50"/>
      <c r="O760" s="50"/>
      <c r="P760" s="50"/>
      <c r="Q760" s="11"/>
      <c r="R760" s="50"/>
      <c r="S760" s="50"/>
      <c r="T760" s="50"/>
      <c r="U760" s="11"/>
      <c r="V760" s="50"/>
      <c r="W760" s="50"/>
      <c r="X760" s="50"/>
      <c r="Y760" s="50"/>
      <c r="Z760" s="50"/>
      <c r="AA760" s="11"/>
      <c r="AB760" s="50"/>
      <c r="AC760" s="50"/>
      <c r="AD760" s="50"/>
      <c r="AE760" s="11"/>
      <c r="AF760" s="50"/>
      <c r="AG760" s="50"/>
      <c r="AH760" s="50"/>
      <c r="AI760" s="11"/>
      <c r="AJ760" s="50"/>
      <c r="AK760" s="50"/>
      <c r="AL760" s="50"/>
      <c r="AM760" s="11"/>
      <c r="AN760" s="50"/>
      <c r="AO760" s="50"/>
      <c r="AP760" s="50"/>
      <c r="AQ760" s="11"/>
      <c r="AR760" s="50"/>
      <c r="AS760" s="50"/>
      <c r="AT760" s="50"/>
      <c r="AU760" s="11"/>
      <c r="AV760" s="50"/>
      <c r="AW760" s="50"/>
      <c r="AX760" s="50"/>
      <c r="AY760" s="50"/>
      <c r="AZ760" s="50"/>
      <c r="BA760" s="50"/>
      <c r="BB760" s="50"/>
      <c r="BC760" s="50"/>
      <c r="BD760" s="50"/>
      <c r="BE760" s="20"/>
      <c r="BF760" s="518"/>
      <c r="BG760" s="484"/>
      <c r="BH760" s="484"/>
      <c r="BI760" s="527"/>
      <c r="BJ760" s="484"/>
      <c r="BK760" s="484"/>
      <c r="BL760" s="484"/>
      <c r="BM760" s="484"/>
    </row>
    <row r="761" spans="1:65" s="22" customFormat="1" x14ac:dyDescent="0.25">
      <c r="A761" s="20"/>
      <c r="B761" s="515"/>
      <c r="C761" s="11"/>
      <c r="D761" s="11"/>
      <c r="E761" s="11"/>
      <c r="F761" s="21"/>
      <c r="G761" s="11"/>
      <c r="H761" s="50"/>
      <c r="I761" s="50"/>
      <c r="J761" s="50"/>
      <c r="K761" s="11"/>
      <c r="L761" s="50"/>
      <c r="M761" s="50"/>
      <c r="N761" s="50"/>
      <c r="O761" s="50"/>
      <c r="P761" s="50"/>
      <c r="Q761" s="11"/>
      <c r="R761" s="50"/>
      <c r="S761" s="50"/>
      <c r="T761" s="50"/>
      <c r="U761" s="11"/>
      <c r="V761" s="50"/>
      <c r="W761" s="50"/>
      <c r="X761" s="50"/>
      <c r="Y761" s="50"/>
      <c r="Z761" s="50"/>
      <c r="AA761" s="11"/>
      <c r="AB761" s="50"/>
      <c r="AC761" s="50"/>
      <c r="AD761" s="50"/>
      <c r="AE761" s="11"/>
      <c r="AF761" s="50"/>
      <c r="AG761" s="50"/>
      <c r="AH761" s="50"/>
      <c r="AI761" s="11"/>
      <c r="AJ761" s="50"/>
      <c r="AK761" s="50"/>
      <c r="AL761" s="50"/>
      <c r="AM761" s="11"/>
      <c r="AN761" s="50"/>
      <c r="AO761" s="50"/>
      <c r="AP761" s="50"/>
      <c r="AQ761" s="11"/>
      <c r="AR761" s="50"/>
      <c r="AS761" s="50"/>
      <c r="AT761" s="50"/>
      <c r="AU761" s="11"/>
      <c r="AV761" s="50"/>
      <c r="AW761" s="50"/>
      <c r="AX761" s="50"/>
      <c r="AY761" s="50"/>
      <c r="AZ761" s="50"/>
      <c r="BA761" s="50"/>
      <c r="BB761" s="50"/>
      <c r="BC761" s="50"/>
      <c r="BD761" s="50"/>
      <c r="BE761" s="20"/>
      <c r="BF761" s="518"/>
      <c r="BG761" s="484"/>
      <c r="BH761" s="484"/>
      <c r="BI761" s="527"/>
      <c r="BJ761" s="484"/>
      <c r="BK761" s="484"/>
      <c r="BL761" s="484"/>
      <c r="BM761" s="484"/>
    </row>
    <row r="762" spans="1:65" s="22" customFormat="1" x14ac:dyDescent="0.25">
      <c r="A762" s="20"/>
      <c r="B762" s="515"/>
      <c r="C762" s="11"/>
      <c r="D762" s="11"/>
      <c r="E762" s="11"/>
      <c r="F762" s="21"/>
      <c r="G762" s="11"/>
      <c r="H762" s="50"/>
      <c r="I762" s="50"/>
      <c r="J762" s="50"/>
      <c r="K762" s="11"/>
      <c r="L762" s="50"/>
      <c r="M762" s="50"/>
      <c r="N762" s="50"/>
      <c r="O762" s="50"/>
      <c r="P762" s="50"/>
      <c r="Q762" s="11"/>
      <c r="R762" s="50"/>
      <c r="S762" s="50"/>
      <c r="T762" s="50"/>
      <c r="U762" s="11"/>
      <c r="V762" s="50"/>
      <c r="W762" s="50"/>
      <c r="X762" s="50"/>
      <c r="Y762" s="50"/>
      <c r="Z762" s="50"/>
      <c r="AA762" s="11"/>
      <c r="AB762" s="50"/>
      <c r="AC762" s="50"/>
      <c r="AD762" s="50"/>
      <c r="AE762" s="11"/>
      <c r="AF762" s="50"/>
      <c r="AG762" s="50"/>
      <c r="AH762" s="50"/>
      <c r="AI762" s="11"/>
      <c r="AJ762" s="50"/>
      <c r="AK762" s="50"/>
      <c r="AL762" s="50"/>
      <c r="AM762" s="11"/>
      <c r="AN762" s="50"/>
      <c r="AO762" s="50"/>
      <c r="AP762" s="50"/>
      <c r="AQ762" s="11"/>
      <c r="AR762" s="50"/>
      <c r="AS762" s="50"/>
      <c r="AT762" s="50"/>
      <c r="AU762" s="11"/>
      <c r="AV762" s="50"/>
      <c r="AW762" s="50"/>
      <c r="AX762" s="50"/>
      <c r="AY762" s="50"/>
      <c r="AZ762" s="50"/>
      <c r="BA762" s="50"/>
      <c r="BB762" s="50"/>
      <c r="BC762" s="50"/>
      <c r="BD762" s="50"/>
      <c r="BE762" s="20"/>
      <c r="BF762" s="518"/>
      <c r="BG762" s="484"/>
      <c r="BH762" s="484"/>
      <c r="BI762" s="527"/>
      <c r="BJ762" s="484"/>
      <c r="BK762" s="484"/>
      <c r="BL762" s="484"/>
      <c r="BM762" s="484"/>
    </row>
    <row r="763" spans="1:65" s="22" customFormat="1" x14ac:dyDescent="0.25">
      <c r="A763" s="20"/>
      <c r="B763" s="515"/>
      <c r="C763" s="11"/>
      <c r="D763" s="11"/>
      <c r="E763" s="11"/>
      <c r="F763" s="21"/>
      <c r="G763" s="11"/>
      <c r="H763" s="50"/>
      <c r="I763" s="50"/>
      <c r="J763" s="50"/>
      <c r="K763" s="11"/>
      <c r="L763" s="50"/>
      <c r="M763" s="50"/>
      <c r="N763" s="50"/>
      <c r="O763" s="50"/>
      <c r="P763" s="50"/>
      <c r="Q763" s="11"/>
      <c r="R763" s="50"/>
      <c r="S763" s="50"/>
      <c r="T763" s="50"/>
      <c r="U763" s="11"/>
      <c r="V763" s="50"/>
      <c r="W763" s="50"/>
      <c r="X763" s="50"/>
      <c r="Y763" s="50"/>
      <c r="Z763" s="50"/>
      <c r="AA763" s="11"/>
      <c r="AB763" s="50"/>
      <c r="AC763" s="50"/>
      <c r="AD763" s="50"/>
      <c r="AE763" s="11"/>
      <c r="AF763" s="50"/>
      <c r="AG763" s="50"/>
      <c r="AH763" s="50"/>
      <c r="AI763" s="11"/>
      <c r="AJ763" s="50"/>
      <c r="AK763" s="50"/>
      <c r="AL763" s="50"/>
      <c r="AM763" s="11"/>
      <c r="AN763" s="50"/>
      <c r="AO763" s="50"/>
      <c r="AP763" s="50"/>
      <c r="AQ763" s="11"/>
      <c r="AR763" s="50"/>
      <c r="AS763" s="50"/>
      <c r="AT763" s="50"/>
      <c r="AU763" s="11"/>
      <c r="AV763" s="50"/>
      <c r="AW763" s="50"/>
      <c r="AX763" s="50"/>
      <c r="AY763" s="50"/>
      <c r="AZ763" s="50"/>
      <c r="BA763" s="50"/>
      <c r="BB763" s="50"/>
      <c r="BC763" s="50"/>
      <c r="BD763" s="50"/>
      <c r="BE763" s="20"/>
      <c r="BF763" s="518"/>
      <c r="BG763" s="484"/>
      <c r="BH763" s="484"/>
      <c r="BI763" s="527"/>
      <c r="BJ763" s="484"/>
      <c r="BK763" s="484"/>
      <c r="BL763" s="484"/>
      <c r="BM763" s="484"/>
    </row>
    <row r="764" spans="1:65" s="22" customFormat="1" x14ac:dyDescent="0.25">
      <c r="A764" s="20"/>
      <c r="B764" s="515"/>
      <c r="C764" s="11"/>
      <c r="D764" s="11"/>
      <c r="E764" s="11"/>
      <c r="F764" s="21"/>
      <c r="G764" s="11"/>
      <c r="H764" s="50"/>
      <c r="I764" s="50"/>
      <c r="J764" s="50"/>
      <c r="K764" s="11"/>
      <c r="L764" s="50"/>
      <c r="M764" s="50"/>
      <c r="N764" s="50"/>
      <c r="O764" s="50"/>
      <c r="P764" s="50"/>
      <c r="Q764" s="11"/>
      <c r="R764" s="50"/>
      <c r="S764" s="50"/>
      <c r="T764" s="50"/>
      <c r="U764" s="11"/>
      <c r="V764" s="50"/>
      <c r="W764" s="50"/>
      <c r="X764" s="50"/>
      <c r="Y764" s="50"/>
      <c r="Z764" s="50"/>
      <c r="AA764" s="11"/>
      <c r="AB764" s="50"/>
      <c r="AC764" s="50"/>
      <c r="AD764" s="50"/>
      <c r="AE764" s="11"/>
      <c r="AF764" s="50"/>
      <c r="AG764" s="50"/>
      <c r="AH764" s="50"/>
      <c r="AI764" s="11"/>
      <c r="AJ764" s="50"/>
      <c r="AK764" s="50"/>
      <c r="AL764" s="50"/>
      <c r="AM764" s="11"/>
      <c r="AN764" s="50"/>
      <c r="AO764" s="50"/>
      <c r="AP764" s="50"/>
      <c r="AQ764" s="11"/>
      <c r="AR764" s="50"/>
      <c r="AS764" s="50"/>
      <c r="AT764" s="50"/>
      <c r="AU764" s="11"/>
      <c r="AV764" s="50"/>
      <c r="AW764" s="50"/>
      <c r="AX764" s="50"/>
      <c r="AY764" s="50"/>
      <c r="AZ764" s="50"/>
      <c r="BA764" s="50"/>
      <c r="BB764" s="50"/>
      <c r="BC764" s="50"/>
      <c r="BD764" s="50"/>
      <c r="BE764" s="20"/>
      <c r="BF764" s="518"/>
      <c r="BG764" s="484"/>
      <c r="BH764" s="484"/>
      <c r="BI764" s="527"/>
      <c r="BJ764" s="484"/>
      <c r="BK764" s="484"/>
      <c r="BL764" s="484"/>
      <c r="BM764" s="484"/>
    </row>
    <row r="765" spans="1:65" s="22" customFormat="1" x14ac:dyDescent="0.25">
      <c r="A765" s="20"/>
      <c r="B765" s="515"/>
      <c r="C765" s="11"/>
      <c r="D765" s="11"/>
      <c r="E765" s="11"/>
      <c r="F765" s="21"/>
      <c r="G765" s="11"/>
      <c r="H765" s="50"/>
      <c r="I765" s="50"/>
      <c r="J765" s="50"/>
      <c r="K765" s="11"/>
      <c r="L765" s="50"/>
      <c r="M765" s="50"/>
      <c r="N765" s="50"/>
      <c r="O765" s="50"/>
      <c r="P765" s="50"/>
      <c r="Q765" s="11"/>
      <c r="R765" s="50"/>
      <c r="S765" s="50"/>
      <c r="T765" s="50"/>
      <c r="U765" s="11"/>
      <c r="V765" s="50"/>
      <c r="W765" s="50"/>
      <c r="X765" s="50"/>
      <c r="Y765" s="50"/>
      <c r="Z765" s="50"/>
      <c r="AA765" s="11"/>
      <c r="AB765" s="50"/>
      <c r="AC765" s="50"/>
      <c r="AD765" s="50"/>
      <c r="AE765" s="11"/>
      <c r="AF765" s="50"/>
      <c r="AG765" s="50"/>
      <c r="AH765" s="50"/>
      <c r="AI765" s="11"/>
      <c r="AJ765" s="50"/>
      <c r="AK765" s="50"/>
      <c r="AL765" s="50"/>
      <c r="AM765" s="11"/>
      <c r="AN765" s="50"/>
      <c r="AO765" s="50"/>
      <c r="AP765" s="50"/>
      <c r="AQ765" s="11"/>
      <c r="AR765" s="50"/>
      <c r="AS765" s="50"/>
      <c r="AT765" s="50"/>
      <c r="AU765" s="11"/>
      <c r="AV765" s="50"/>
      <c r="AW765" s="50"/>
      <c r="AX765" s="50"/>
      <c r="AY765" s="50"/>
      <c r="AZ765" s="50"/>
      <c r="BA765" s="50"/>
      <c r="BB765" s="50"/>
      <c r="BC765" s="50"/>
      <c r="BD765" s="50"/>
      <c r="BE765" s="20"/>
      <c r="BF765" s="518"/>
      <c r="BG765" s="484"/>
      <c r="BH765" s="484"/>
      <c r="BI765" s="527"/>
      <c r="BJ765" s="484"/>
      <c r="BK765" s="484"/>
      <c r="BL765" s="484"/>
      <c r="BM765" s="484"/>
    </row>
    <row r="766" spans="1:65" s="22" customFormat="1" x14ac:dyDescent="0.25">
      <c r="A766" s="20"/>
      <c r="B766" s="515"/>
      <c r="C766" s="11"/>
      <c r="D766" s="11"/>
      <c r="E766" s="11"/>
      <c r="F766" s="21"/>
      <c r="G766" s="11"/>
      <c r="H766" s="50"/>
      <c r="I766" s="50"/>
      <c r="J766" s="50"/>
      <c r="K766" s="11"/>
      <c r="L766" s="50"/>
      <c r="M766" s="50"/>
      <c r="N766" s="50"/>
      <c r="O766" s="50"/>
      <c r="P766" s="50"/>
      <c r="Q766" s="11"/>
      <c r="R766" s="50"/>
      <c r="S766" s="50"/>
      <c r="T766" s="50"/>
      <c r="U766" s="11"/>
      <c r="V766" s="50"/>
      <c r="W766" s="50"/>
      <c r="X766" s="50"/>
      <c r="Y766" s="50"/>
      <c r="Z766" s="50"/>
      <c r="AA766" s="11"/>
      <c r="AB766" s="50"/>
      <c r="AC766" s="50"/>
      <c r="AD766" s="50"/>
      <c r="AE766" s="11"/>
      <c r="AF766" s="50"/>
      <c r="AG766" s="50"/>
      <c r="AH766" s="50"/>
      <c r="AI766" s="11"/>
      <c r="AJ766" s="50"/>
      <c r="AK766" s="50"/>
      <c r="AL766" s="50"/>
      <c r="AM766" s="11"/>
      <c r="AN766" s="50"/>
      <c r="AO766" s="50"/>
      <c r="AP766" s="50"/>
      <c r="AQ766" s="11"/>
      <c r="AR766" s="50"/>
      <c r="AS766" s="50"/>
      <c r="AT766" s="50"/>
      <c r="AU766" s="11"/>
      <c r="AV766" s="50"/>
      <c r="AW766" s="50"/>
      <c r="AX766" s="50"/>
      <c r="AY766" s="50"/>
      <c r="AZ766" s="50"/>
      <c r="BA766" s="50"/>
      <c r="BB766" s="50"/>
      <c r="BC766" s="50"/>
      <c r="BD766" s="50"/>
      <c r="BE766" s="20"/>
      <c r="BF766" s="518"/>
      <c r="BG766" s="484"/>
      <c r="BH766" s="484"/>
      <c r="BI766" s="527"/>
      <c r="BJ766" s="484"/>
      <c r="BK766" s="484"/>
      <c r="BL766" s="484"/>
      <c r="BM766" s="484"/>
    </row>
    <row r="767" spans="1:65" s="22" customFormat="1" x14ac:dyDescent="0.25">
      <c r="A767" s="20"/>
      <c r="B767" s="515"/>
      <c r="C767" s="11"/>
      <c r="D767" s="11"/>
      <c r="E767" s="11"/>
      <c r="F767" s="21"/>
      <c r="G767" s="11"/>
      <c r="H767" s="50"/>
      <c r="I767" s="50"/>
      <c r="J767" s="50"/>
      <c r="K767" s="11"/>
      <c r="L767" s="50"/>
      <c r="M767" s="50"/>
      <c r="N767" s="50"/>
      <c r="O767" s="50"/>
      <c r="P767" s="50"/>
      <c r="Q767" s="11"/>
      <c r="R767" s="50"/>
      <c r="S767" s="50"/>
      <c r="T767" s="50"/>
      <c r="U767" s="11"/>
      <c r="V767" s="50"/>
      <c r="W767" s="50"/>
      <c r="X767" s="50"/>
      <c r="Y767" s="50"/>
      <c r="Z767" s="50"/>
      <c r="AA767" s="11"/>
      <c r="AB767" s="50"/>
      <c r="AC767" s="50"/>
      <c r="AD767" s="50"/>
      <c r="AE767" s="11"/>
      <c r="AF767" s="50"/>
      <c r="AG767" s="50"/>
      <c r="AH767" s="50"/>
      <c r="AI767" s="11"/>
      <c r="AJ767" s="50"/>
      <c r="AK767" s="50"/>
      <c r="AL767" s="50"/>
      <c r="AM767" s="11"/>
      <c r="AN767" s="50"/>
      <c r="AO767" s="50"/>
      <c r="AP767" s="50"/>
      <c r="AQ767" s="11"/>
      <c r="AR767" s="50"/>
      <c r="AS767" s="50"/>
      <c r="AT767" s="50"/>
      <c r="AU767" s="11"/>
      <c r="AV767" s="50"/>
      <c r="AW767" s="50"/>
      <c r="AX767" s="50"/>
      <c r="AY767" s="50"/>
      <c r="AZ767" s="50"/>
      <c r="BA767" s="50"/>
      <c r="BB767" s="50"/>
      <c r="BC767" s="50"/>
      <c r="BD767" s="50"/>
      <c r="BE767" s="20"/>
      <c r="BF767" s="518"/>
      <c r="BG767" s="484"/>
      <c r="BH767" s="484"/>
      <c r="BI767" s="527"/>
      <c r="BJ767" s="484"/>
      <c r="BK767" s="484"/>
      <c r="BL767" s="484"/>
      <c r="BM767" s="484"/>
    </row>
    <row r="768" spans="1:65" s="22" customFormat="1" x14ac:dyDescent="0.25">
      <c r="A768" s="20"/>
      <c r="B768" s="515"/>
      <c r="C768" s="11"/>
      <c r="D768" s="11"/>
      <c r="E768" s="11"/>
      <c r="F768" s="21"/>
      <c r="G768" s="11"/>
      <c r="H768" s="50"/>
      <c r="I768" s="50"/>
      <c r="J768" s="50"/>
      <c r="K768" s="11"/>
      <c r="L768" s="50"/>
      <c r="M768" s="50"/>
      <c r="N768" s="50"/>
      <c r="O768" s="50"/>
      <c r="P768" s="50"/>
      <c r="Q768" s="11"/>
      <c r="R768" s="50"/>
      <c r="S768" s="50"/>
      <c r="T768" s="50"/>
      <c r="U768" s="11"/>
      <c r="V768" s="50"/>
      <c r="W768" s="50"/>
      <c r="X768" s="50"/>
      <c r="Y768" s="50"/>
      <c r="Z768" s="50"/>
      <c r="AA768" s="11"/>
      <c r="AB768" s="50"/>
      <c r="AC768" s="50"/>
      <c r="AD768" s="50"/>
      <c r="AE768" s="11"/>
      <c r="AF768" s="50"/>
      <c r="AG768" s="50"/>
      <c r="AH768" s="50"/>
      <c r="AI768" s="11"/>
      <c r="AJ768" s="50"/>
      <c r="AK768" s="50"/>
      <c r="AL768" s="50"/>
      <c r="AM768" s="11"/>
      <c r="AN768" s="50"/>
      <c r="AO768" s="50"/>
      <c r="AP768" s="50"/>
      <c r="AQ768" s="11"/>
      <c r="AR768" s="50"/>
      <c r="AS768" s="50"/>
      <c r="AT768" s="50"/>
      <c r="AU768" s="11"/>
      <c r="AV768" s="50"/>
      <c r="AW768" s="50"/>
      <c r="AX768" s="50"/>
      <c r="AY768" s="50"/>
      <c r="AZ768" s="50"/>
      <c r="BA768" s="50"/>
      <c r="BB768" s="50"/>
      <c r="BC768" s="50"/>
      <c r="BD768" s="50"/>
      <c r="BE768" s="20"/>
      <c r="BF768" s="518"/>
      <c r="BG768" s="484"/>
      <c r="BH768" s="484"/>
      <c r="BI768" s="527"/>
      <c r="BJ768" s="484"/>
      <c r="BK768" s="484"/>
      <c r="BL768" s="484"/>
      <c r="BM768" s="484"/>
    </row>
    <row r="769" spans="1:65" s="22" customFormat="1" x14ac:dyDescent="0.25">
      <c r="A769" s="20"/>
      <c r="B769" s="515"/>
      <c r="C769" s="11"/>
      <c r="D769" s="11"/>
      <c r="E769" s="11"/>
      <c r="F769" s="21"/>
      <c r="G769" s="11"/>
      <c r="H769" s="50"/>
      <c r="I769" s="50"/>
      <c r="J769" s="50"/>
      <c r="K769" s="11"/>
      <c r="L769" s="50"/>
      <c r="M769" s="50"/>
      <c r="N769" s="50"/>
      <c r="O769" s="50"/>
      <c r="P769" s="50"/>
      <c r="Q769" s="11"/>
      <c r="R769" s="50"/>
      <c r="S769" s="50"/>
      <c r="T769" s="50"/>
      <c r="U769" s="11"/>
      <c r="V769" s="50"/>
      <c r="W769" s="50"/>
      <c r="X769" s="50"/>
      <c r="Y769" s="50"/>
      <c r="Z769" s="50"/>
      <c r="AA769" s="11"/>
      <c r="AB769" s="50"/>
      <c r="AC769" s="50"/>
      <c r="AD769" s="50"/>
      <c r="AE769" s="11"/>
      <c r="AF769" s="50"/>
      <c r="AG769" s="50"/>
      <c r="AH769" s="50"/>
      <c r="AI769" s="11"/>
      <c r="AJ769" s="50"/>
      <c r="AK769" s="50"/>
      <c r="AL769" s="50"/>
      <c r="AM769" s="11"/>
      <c r="AN769" s="50"/>
      <c r="AO769" s="50"/>
      <c r="AP769" s="50"/>
      <c r="AQ769" s="11"/>
      <c r="AR769" s="50"/>
      <c r="AS769" s="50"/>
      <c r="AT769" s="50"/>
      <c r="AU769" s="11"/>
      <c r="AV769" s="50"/>
      <c r="AW769" s="50"/>
      <c r="AX769" s="50"/>
      <c r="AY769" s="50"/>
      <c r="AZ769" s="50"/>
      <c r="BA769" s="50"/>
      <c r="BB769" s="50"/>
      <c r="BC769" s="50"/>
      <c r="BD769" s="50"/>
      <c r="BE769" s="20"/>
      <c r="BF769" s="518"/>
      <c r="BG769" s="484"/>
      <c r="BH769" s="484"/>
      <c r="BI769" s="527"/>
      <c r="BJ769" s="484"/>
      <c r="BK769" s="484"/>
      <c r="BL769" s="484"/>
      <c r="BM769" s="484"/>
    </row>
    <row r="770" spans="1:65" s="22" customFormat="1" x14ac:dyDescent="0.25">
      <c r="A770" s="20"/>
      <c r="B770" s="515"/>
      <c r="C770" s="11"/>
      <c r="D770" s="11"/>
      <c r="E770" s="11"/>
      <c r="F770" s="21"/>
      <c r="G770" s="11"/>
      <c r="H770" s="50"/>
      <c r="I770" s="50"/>
      <c r="J770" s="50"/>
      <c r="K770" s="11"/>
      <c r="L770" s="50"/>
      <c r="M770" s="50"/>
      <c r="N770" s="50"/>
      <c r="O770" s="50"/>
      <c r="P770" s="50"/>
      <c r="Q770" s="11"/>
      <c r="R770" s="50"/>
      <c r="S770" s="50"/>
      <c r="T770" s="50"/>
      <c r="U770" s="11"/>
      <c r="V770" s="50"/>
      <c r="W770" s="50"/>
      <c r="X770" s="50"/>
      <c r="Y770" s="50"/>
      <c r="Z770" s="50"/>
      <c r="AA770" s="11"/>
      <c r="AB770" s="50"/>
      <c r="AC770" s="50"/>
      <c r="AD770" s="50"/>
      <c r="AE770" s="11"/>
      <c r="AF770" s="50"/>
      <c r="AG770" s="50"/>
      <c r="AH770" s="50"/>
      <c r="AI770" s="11"/>
      <c r="AJ770" s="50"/>
      <c r="AK770" s="50"/>
      <c r="AL770" s="50"/>
      <c r="AM770" s="11"/>
      <c r="AN770" s="50"/>
      <c r="AO770" s="50"/>
      <c r="AP770" s="50"/>
      <c r="AQ770" s="11"/>
      <c r="AR770" s="50"/>
      <c r="AS770" s="50"/>
      <c r="AT770" s="50"/>
      <c r="AU770" s="11"/>
      <c r="AV770" s="50"/>
      <c r="AW770" s="50"/>
      <c r="AX770" s="50"/>
      <c r="AY770" s="50"/>
      <c r="AZ770" s="50"/>
      <c r="BA770" s="50"/>
      <c r="BB770" s="50"/>
      <c r="BC770" s="50"/>
      <c r="BD770" s="50"/>
      <c r="BE770" s="20"/>
      <c r="BF770" s="518"/>
      <c r="BG770" s="484"/>
      <c r="BH770" s="484"/>
      <c r="BI770" s="527"/>
      <c r="BJ770" s="484"/>
      <c r="BK770" s="484"/>
      <c r="BL770" s="484"/>
      <c r="BM770" s="484"/>
    </row>
    <row r="771" spans="1:65" s="22" customFormat="1" x14ac:dyDescent="0.25">
      <c r="A771" s="20"/>
      <c r="B771" s="515"/>
      <c r="C771" s="11"/>
      <c r="D771" s="11"/>
      <c r="E771" s="11"/>
      <c r="F771" s="21"/>
      <c r="G771" s="11"/>
      <c r="H771" s="50"/>
      <c r="I771" s="50"/>
      <c r="J771" s="50"/>
      <c r="K771" s="11"/>
      <c r="L771" s="50"/>
      <c r="M771" s="50"/>
      <c r="N771" s="50"/>
      <c r="O771" s="50"/>
      <c r="P771" s="50"/>
      <c r="Q771" s="11"/>
      <c r="R771" s="50"/>
      <c r="S771" s="50"/>
      <c r="T771" s="50"/>
      <c r="U771" s="11"/>
      <c r="V771" s="50"/>
      <c r="W771" s="50"/>
      <c r="X771" s="50"/>
      <c r="Y771" s="50"/>
      <c r="Z771" s="50"/>
      <c r="AA771" s="11"/>
      <c r="AB771" s="50"/>
      <c r="AC771" s="50"/>
      <c r="AD771" s="50"/>
      <c r="AE771" s="11"/>
      <c r="AF771" s="50"/>
      <c r="AG771" s="50"/>
      <c r="AH771" s="50"/>
      <c r="AI771" s="11"/>
      <c r="AJ771" s="50"/>
      <c r="AK771" s="50"/>
      <c r="AL771" s="50"/>
      <c r="AM771" s="11"/>
      <c r="AN771" s="50"/>
      <c r="AO771" s="50"/>
      <c r="AP771" s="50"/>
      <c r="AQ771" s="11"/>
      <c r="AR771" s="50"/>
      <c r="AS771" s="50"/>
      <c r="AT771" s="50"/>
      <c r="AU771" s="11"/>
      <c r="AV771" s="50"/>
      <c r="AW771" s="50"/>
      <c r="AX771" s="50"/>
      <c r="AY771" s="50"/>
      <c r="AZ771" s="50"/>
      <c r="BA771" s="50"/>
      <c r="BB771" s="50"/>
      <c r="BC771" s="50"/>
      <c r="BD771" s="50"/>
      <c r="BE771" s="20"/>
      <c r="BF771" s="518"/>
      <c r="BG771" s="484"/>
      <c r="BH771" s="484"/>
      <c r="BI771" s="527"/>
      <c r="BJ771" s="484"/>
      <c r="BK771" s="484"/>
      <c r="BL771" s="484"/>
      <c r="BM771" s="484"/>
    </row>
    <row r="772" spans="1:65" s="22" customFormat="1" x14ac:dyDescent="0.25">
      <c r="A772" s="20"/>
      <c r="B772" s="515"/>
      <c r="C772" s="11"/>
      <c r="D772" s="11"/>
      <c r="E772" s="11"/>
      <c r="F772" s="21"/>
      <c r="G772" s="11"/>
      <c r="H772" s="50"/>
      <c r="I772" s="50"/>
      <c r="J772" s="50"/>
      <c r="K772" s="11"/>
      <c r="L772" s="50"/>
      <c r="M772" s="50"/>
      <c r="N772" s="50"/>
      <c r="O772" s="50"/>
      <c r="P772" s="50"/>
      <c r="Q772" s="11"/>
      <c r="R772" s="50"/>
      <c r="S772" s="50"/>
      <c r="T772" s="50"/>
      <c r="U772" s="11"/>
      <c r="V772" s="50"/>
      <c r="W772" s="50"/>
      <c r="X772" s="50"/>
      <c r="Y772" s="50"/>
      <c r="Z772" s="50"/>
      <c r="AA772" s="11"/>
      <c r="AB772" s="50"/>
      <c r="AC772" s="50"/>
      <c r="AD772" s="50"/>
      <c r="AE772" s="11"/>
      <c r="AF772" s="50"/>
      <c r="AG772" s="50"/>
      <c r="AH772" s="50"/>
      <c r="AI772" s="11"/>
      <c r="AJ772" s="50"/>
      <c r="AK772" s="50"/>
      <c r="AL772" s="50"/>
      <c r="AM772" s="11"/>
      <c r="AN772" s="50"/>
      <c r="AO772" s="50"/>
      <c r="AP772" s="50"/>
      <c r="AQ772" s="11"/>
      <c r="AR772" s="50"/>
      <c r="AS772" s="50"/>
      <c r="AT772" s="50"/>
      <c r="AU772" s="11"/>
      <c r="AV772" s="50"/>
      <c r="AW772" s="50"/>
      <c r="AX772" s="50"/>
      <c r="AY772" s="50"/>
      <c r="AZ772" s="50"/>
      <c r="BA772" s="50"/>
      <c r="BB772" s="50"/>
      <c r="BC772" s="50"/>
      <c r="BD772" s="50"/>
      <c r="BE772" s="20"/>
      <c r="BF772" s="518"/>
      <c r="BG772" s="484"/>
      <c r="BH772" s="484"/>
      <c r="BI772" s="527"/>
      <c r="BJ772" s="484"/>
      <c r="BK772" s="484"/>
      <c r="BL772" s="484"/>
      <c r="BM772" s="484"/>
    </row>
    <row r="773" spans="1:65" s="22" customFormat="1" x14ac:dyDescent="0.25">
      <c r="A773" s="20"/>
      <c r="B773" s="515"/>
      <c r="C773" s="11"/>
      <c r="D773" s="11"/>
      <c r="E773" s="11"/>
      <c r="F773" s="21"/>
      <c r="G773" s="11"/>
      <c r="H773" s="50"/>
      <c r="I773" s="50"/>
      <c r="J773" s="50"/>
      <c r="K773" s="11"/>
      <c r="L773" s="50"/>
      <c r="M773" s="50"/>
      <c r="N773" s="50"/>
      <c r="O773" s="50"/>
      <c r="P773" s="50"/>
      <c r="Q773" s="11"/>
      <c r="R773" s="50"/>
      <c r="S773" s="50"/>
      <c r="T773" s="50"/>
      <c r="U773" s="11"/>
      <c r="V773" s="50"/>
      <c r="W773" s="50"/>
      <c r="X773" s="50"/>
      <c r="Y773" s="50"/>
      <c r="Z773" s="50"/>
      <c r="AA773" s="11"/>
      <c r="AB773" s="50"/>
      <c r="AC773" s="50"/>
      <c r="AD773" s="50"/>
      <c r="AE773" s="11"/>
      <c r="AF773" s="50"/>
      <c r="AG773" s="50"/>
      <c r="AH773" s="50"/>
      <c r="AI773" s="11"/>
      <c r="AJ773" s="50"/>
      <c r="AK773" s="50"/>
      <c r="AL773" s="50"/>
      <c r="AM773" s="11"/>
      <c r="AN773" s="50"/>
      <c r="AO773" s="50"/>
      <c r="AP773" s="50"/>
      <c r="AQ773" s="11"/>
      <c r="AR773" s="50"/>
      <c r="AS773" s="50"/>
      <c r="AT773" s="50"/>
      <c r="AU773" s="11"/>
      <c r="AV773" s="50"/>
      <c r="AW773" s="50"/>
      <c r="AX773" s="50"/>
      <c r="AY773" s="50"/>
      <c r="AZ773" s="50"/>
      <c r="BA773" s="50"/>
      <c r="BB773" s="50"/>
      <c r="BC773" s="50"/>
      <c r="BD773" s="50"/>
      <c r="BE773" s="20"/>
      <c r="BF773" s="518"/>
      <c r="BG773" s="484"/>
      <c r="BH773" s="484"/>
      <c r="BI773" s="527"/>
      <c r="BJ773" s="484"/>
      <c r="BK773" s="484"/>
      <c r="BL773" s="484"/>
      <c r="BM773" s="484"/>
    </row>
    <row r="774" spans="1:65" s="22" customFormat="1" x14ac:dyDescent="0.25">
      <c r="A774" s="20"/>
      <c r="B774" s="515"/>
      <c r="C774" s="11"/>
      <c r="D774" s="11"/>
      <c r="E774" s="11"/>
      <c r="F774" s="21"/>
      <c r="G774" s="11"/>
      <c r="H774" s="50"/>
      <c r="I774" s="50"/>
      <c r="J774" s="50"/>
      <c r="K774" s="11"/>
      <c r="L774" s="50"/>
      <c r="M774" s="50"/>
      <c r="N774" s="50"/>
      <c r="O774" s="50"/>
      <c r="P774" s="50"/>
      <c r="Q774" s="11"/>
      <c r="R774" s="50"/>
      <c r="S774" s="50"/>
      <c r="T774" s="50"/>
      <c r="U774" s="11"/>
      <c r="V774" s="50"/>
      <c r="W774" s="50"/>
      <c r="X774" s="50"/>
      <c r="Y774" s="50"/>
      <c r="Z774" s="50"/>
      <c r="AA774" s="11"/>
      <c r="AB774" s="50"/>
      <c r="AC774" s="50"/>
      <c r="AD774" s="50"/>
      <c r="AE774" s="11"/>
      <c r="AF774" s="50"/>
      <c r="AG774" s="50"/>
      <c r="AH774" s="50"/>
      <c r="AI774" s="11"/>
      <c r="AJ774" s="50"/>
      <c r="AK774" s="50"/>
      <c r="AL774" s="50"/>
      <c r="AM774" s="11"/>
      <c r="AN774" s="50"/>
      <c r="AO774" s="50"/>
      <c r="AP774" s="50"/>
      <c r="AQ774" s="11"/>
      <c r="AR774" s="50"/>
      <c r="AS774" s="50"/>
      <c r="AT774" s="50"/>
      <c r="AU774" s="11"/>
      <c r="AV774" s="50"/>
      <c r="AW774" s="50"/>
      <c r="AX774" s="50"/>
      <c r="AY774" s="50"/>
      <c r="AZ774" s="50"/>
      <c r="BA774" s="50"/>
      <c r="BB774" s="50"/>
      <c r="BC774" s="50"/>
      <c r="BD774" s="50"/>
      <c r="BE774" s="20"/>
      <c r="BF774" s="518"/>
      <c r="BG774" s="484"/>
      <c r="BH774" s="484"/>
      <c r="BI774" s="527"/>
      <c r="BJ774" s="484"/>
      <c r="BK774" s="484"/>
      <c r="BL774" s="484"/>
      <c r="BM774" s="484"/>
    </row>
    <row r="775" spans="1:65" s="22" customFormat="1" x14ac:dyDescent="0.25">
      <c r="A775" s="20"/>
      <c r="B775" s="515"/>
      <c r="C775" s="11"/>
      <c r="D775" s="11"/>
      <c r="E775" s="11"/>
      <c r="F775" s="21"/>
      <c r="G775" s="11"/>
      <c r="H775" s="50"/>
      <c r="I775" s="50"/>
      <c r="J775" s="50"/>
      <c r="K775" s="11"/>
      <c r="L775" s="50"/>
      <c r="M775" s="50"/>
      <c r="N775" s="50"/>
      <c r="O775" s="50"/>
      <c r="P775" s="50"/>
      <c r="Q775" s="11"/>
      <c r="R775" s="50"/>
      <c r="S775" s="50"/>
      <c r="T775" s="50"/>
      <c r="U775" s="11"/>
      <c r="V775" s="50"/>
      <c r="W775" s="50"/>
      <c r="X775" s="50"/>
      <c r="Y775" s="50"/>
      <c r="Z775" s="50"/>
      <c r="AA775" s="11"/>
      <c r="AB775" s="50"/>
      <c r="AC775" s="50"/>
      <c r="AD775" s="50"/>
      <c r="AE775" s="11"/>
      <c r="AF775" s="50"/>
      <c r="AG775" s="50"/>
      <c r="AH775" s="50"/>
      <c r="AI775" s="11"/>
      <c r="AJ775" s="50"/>
      <c r="AK775" s="50"/>
      <c r="AL775" s="50"/>
      <c r="AM775" s="11"/>
      <c r="AN775" s="50"/>
      <c r="AO775" s="50"/>
      <c r="AP775" s="50"/>
      <c r="AQ775" s="11"/>
      <c r="AR775" s="50"/>
      <c r="AS775" s="50"/>
      <c r="AT775" s="50"/>
      <c r="AU775" s="11"/>
      <c r="AV775" s="50"/>
      <c r="AW775" s="50"/>
      <c r="AX775" s="50"/>
      <c r="AY775" s="50"/>
      <c r="AZ775" s="50"/>
      <c r="BA775" s="50"/>
      <c r="BB775" s="50"/>
      <c r="BC775" s="50"/>
      <c r="BD775" s="50"/>
      <c r="BE775" s="20"/>
      <c r="BF775" s="518"/>
      <c r="BG775" s="484"/>
      <c r="BH775" s="484"/>
      <c r="BI775" s="527"/>
      <c r="BJ775" s="484"/>
      <c r="BK775" s="484"/>
      <c r="BL775" s="484"/>
      <c r="BM775" s="484"/>
    </row>
    <row r="776" spans="1:65" s="22" customFormat="1" x14ac:dyDescent="0.25">
      <c r="A776" s="20"/>
      <c r="B776" s="515"/>
      <c r="C776" s="11"/>
      <c r="D776" s="11"/>
      <c r="E776" s="11"/>
      <c r="F776" s="21"/>
      <c r="G776" s="11"/>
      <c r="H776" s="50"/>
      <c r="I776" s="50"/>
      <c r="J776" s="50"/>
      <c r="K776" s="11"/>
      <c r="L776" s="50"/>
      <c r="M776" s="50"/>
      <c r="N776" s="50"/>
      <c r="O776" s="50"/>
      <c r="P776" s="50"/>
      <c r="Q776" s="11"/>
      <c r="R776" s="50"/>
      <c r="S776" s="50"/>
      <c r="T776" s="50"/>
      <c r="U776" s="11"/>
      <c r="V776" s="50"/>
      <c r="W776" s="50"/>
      <c r="X776" s="50"/>
      <c r="Y776" s="50"/>
      <c r="Z776" s="50"/>
      <c r="AA776" s="11"/>
      <c r="AB776" s="50"/>
      <c r="AC776" s="50"/>
      <c r="AD776" s="50"/>
      <c r="AE776" s="11"/>
      <c r="AF776" s="50"/>
      <c r="AG776" s="50"/>
      <c r="AH776" s="50"/>
      <c r="AI776" s="11"/>
      <c r="AJ776" s="50"/>
      <c r="AK776" s="50"/>
      <c r="AL776" s="50"/>
      <c r="AM776" s="11"/>
      <c r="AN776" s="50"/>
      <c r="AO776" s="50"/>
      <c r="AP776" s="50"/>
      <c r="AQ776" s="11"/>
      <c r="AR776" s="50"/>
      <c r="AS776" s="50"/>
      <c r="AT776" s="50"/>
      <c r="AU776" s="11"/>
      <c r="AV776" s="50"/>
      <c r="AW776" s="50"/>
      <c r="AX776" s="50"/>
      <c r="AY776" s="50"/>
      <c r="AZ776" s="50"/>
      <c r="BA776" s="50"/>
      <c r="BB776" s="50"/>
      <c r="BC776" s="50"/>
      <c r="BD776" s="50"/>
      <c r="BE776" s="20"/>
      <c r="BF776" s="518"/>
      <c r="BG776" s="484"/>
      <c r="BH776" s="484"/>
      <c r="BI776" s="527"/>
      <c r="BJ776" s="484"/>
      <c r="BK776" s="484"/>
      <c r="BL776" s="484"/>
      <c r="BM776" s="484"/>
    </row>
    <row r="777" spans="1:65" s="22" customFormat="1" x14ac:dyDescent="0.25">
      <c r="A777" s="20"/>
      <c r="B777" s="515"/>
      <c r="C777" s="11"/>
      <c r="D777" s="11"/>
      <c r="E777" s="11"/>
      <c r="F777" s="21"/>
      <c r="G777" s="11"/>
      <c r="H777" s="50"/>
      <c r="I777" s="50"/>
      <c r="J777" s="50"/>
      <c r="K777" s="11"/>
      <c r="L777" s="50"/>
      <c r="M777" s="50"/>
      <c r="N777" s="50"/>
      <c r="O777" s="50"/>
      <c r="P777" s="50"/>
      <c r="Q777" s="11"/>
      <c r="R777" s="50"/>
      <c r="S777" s="50"/>
      <c r="T777" s="50"/>
      <c r="U777" s="11"/>
      <c r="V777" s="50"/>
      <c r="W777" s="50"/>
      <c r="X777" s="50"/>
      <c r="Y777" s="50"/>
      <c r="Z777" s="50"/>
      <c r="AA777" s="11"/>
      <c r="AB777" s="50"/>
      <c r="AC777" s="50"/>
      <c r="AD777" s="50"/>
      <c r="AE777" s="11"/>
      <c r="AF777" s="50"/>
      <c r="AG777" s="50"/>
      <c r="AH777" s="50"/>
      <c r="AI777" s="11"/>
      <c r="AJ777" s="50"/>
      <c r="AK777" s="50"/>
      <c r="AL777" s="50"/>
      <c r="AM777" s="11"/>
      <c r="AN777" s="50"/>
      <c r="AO777" s="50"/>
      <c r="AP777" s="50"/>
      <c r="AQ777" s="11"/>
      <c r="AR777" s="50"/>
      <c r="AS777" s="50"/>
      <c r="AT777" s="50"/>
      <c r="AU777" s="11"/>
      <c r="AV777" s="50"/>
      <c r="AW777" s="50"/>
      <c r="AX777" s="50"/>
      <c r="AY777" s="50"/>
      <c r="AZ777" s="50"/>
      <c r="BA777" s="50"/>
      <c r="BB777" s="50"/>
      <c r="BC777" s="50"/>
      <c r="BD777" s="50"/>
      <c r="BE777" s="20"/>
      <c r="BF777" s="518"/>
      <c r="BG777" s="484"/>
      <c r="BH777" s="484"/>
      <c r="BI777" s="527"/>
      <c r="BJ777" s="484"/>
      <c r="BK777" s="484"/>
      <c r="BL777" s="484"/>
      <c r="BM777" s="484"/>
    </row>
    <row r="778" spans="1:65" s="22" customFormat="1" x14ac:dyDescent="0.25">
      <c r="A778" s="20"/>
      <c r="B778" s="515"/>
      <c r="C778" s="11"/>
      <c r="D778" s="11"/>
      <c r="E778" s="11"/>
      <c r="F778" s="21"/>
      <c r="G778" s="11"/>
      <c r="H778" s="50"/>
      <c r="I778" s="50"/>
      <c r="J778" s="50"/>
      <c r="K778" s="11"/>
      <c r="L778" s="50"/>
      <c r="M778" s="50"/>
      <c r="N778" s="50"/>
      <c r="O778" s="50"/>
      <c r="P778" s="50"/>
      <c r="Q778" s="11"/>
      <c r="R778" s="50"/>
      <c r="S778" s="50"/>
      <c r="T778" s="50"/>
      <c r="U778" s="11"/>
      <c r="V778" s="50"/>
      <c r="W778" s="50"/>
      <c r="X778" s="50"/>
      <c r="Y778" s="50"/>
      <c r="Z778" s="50"/>
      <c r="AA778" s="11"/>
      <c r="AB778" s="50"/>
      <c r="AC778" s="50"/>
      <c r="AD778" s="50"/>
      <c r="AE778" s="11"/>
      <c r="AF778" s="50"/>
      <c r="AG778" s="50"/>
      <c r="AH778" s="50"/>
      <c r="AI778" s="11"/>
      <c r="AJ778" s="50"/>
      <c r="AK778" s="50"/>
      <c r="AL778" s="50"/>
      <c r="AM778" s="11"/>
      <c r="AN778" s="50"/>
      <c r="AO778" s="50"/>
      <c r="AP778" s="50"/>
      <c r="AQ778" s="11"/>
      <c r="AR778" s="50"/>
      <c r="AS778" s="50"/>
      <c r="AT778" s="50"/>
      <c r="AU778" s="11"/>
      <c r="AV778" s="50"/>
      <c r="AW778" s="50"/>
      <c r="AX778" s="50"/>
      <c r="AY778" s="50"/>
      <c r="AZ778" s="50"/>
      <c r="BA778" s="50"/>
      <c r="BB778" s="50"/>
      <c r="BC778" s="50"/>
      <c r="BD778" s="50"/>
      <c r="BE778" s="20"/>
      <c r="BF778" s="518"/>
      <c r="BG778" s="484"/>
      <c r="BH778" s="484"/>
      <c r="BI778" s="527"/>
      <c r="BJ778" s="484"/>
      <c r="BK778" s="484"/>
      <c r="BL778" s="484"/>
      <c r="BM778" s="484"/>
    </row>
    <row r="779" spans="1:65" s="22" customFormat="1" x14ac:dyDescent="0.25">
      <c r="A779" s="20"/>
      <c r="B779" s="515"/>
      <c r="C779" s="11"/>
      <c r="D779" s="11"/>
      <c r="E779" s="11"/>
      <c r="F779" s="21"/>
      <c r="G779" s="11"/>
      <c r="H779" s="50"/>
      <c r="I779" s="50"/>
      <c r="J779" s="50"/>
      <c r="K779" s="11"/>
      <c r="L779" s="50"/>
      <c r="M779" s="50"/>
      <c r="N779" s="50"/>
      <c r="O779" s="50"/>
      <c r="P779" s="50"/>
      <c r="Q779" s="11"/>
      <c r="R779" s="50"/>
      <c r="S779" s="50"/>
      <c r="T779" s="50"/>
      <c r="U779" s="11"/>
      <c r="V779" s="50"/>
      <c r="W779" s="50"/>
      <c r="X779" s="50"/>
      <c r="Y779" s="50"/>
      <c r="Z779" s="50"/>
      <c r="AA779" s="11"/>
      <c r="AB779" s="50"/>
      <c r="AC779" s="50"/>
      <c r="AD779" s="50"/>
      <c r="AE779" s="11"/>
      <c r="AF779" s="50"/>
      <c r="AG779" s="50"/>
      <c r="AH779" s="50"/>
      <c r="AI779" s="11"/>
      <c r="AJ779" s="50"/>
      <c r="AK779" s="50"/>
      <c r="AL779" s="50"/>
      <c r="AM779" s="11"/>
      <c r="AN779" s="50"/>
      <c r="AO779" s="50"/>
      <c r="AP779" s="50"/>
      <c r="AQ779" s="11"/>
      <c r="AR779" s="50"/>
      <c r="AS779" s="50"/>
      <c r="AT779" s="50"/>
      <c r="AU779" s="11"/>
      <c r="AV779" s="50"/>
      <c r="AW779" s="50"/>
      <c r="AX779" s="50"/>
      <c r="AY779" s="50"/>
      <c r="AZ779" s="50"/>
      <c r="BA779" s="50"/>
      <c r="BB779" s="50"/>
      <c r="BC779" s="50"/>
      <c r="BD779" s="50"/>
      <c r="BE779" s="20"/>
      <c r="BF779" s="518"/>
      <c r="BG779" s="484"/>
      <c r="BH779" s="484"/>
      <c r="BI779" s="527"/>
      <c r="BJ779" s="484"/>
      <c r="BK779" s="484"/>
      <c r="BL779" s="484"/>
      <c r="BM779" s="484"/>
    </row>
    <row r="780" spans="1:65" s="22" customFormat="1" x14ac:dyDescent="0.25">
      <c r="A780" s="20"/>
      <c r="B780" s="515"/>
      <c r="C780" s="11"/>
      <c r="D780" s="11"/>
      <c r="E780" s="11"/>
      <c r="F780" s="21"/>
      <c r="G780" s="11"/>
      <c r="H780" s="50"/>
      <c r="I780" s="50"/>
      <c r="J780" s="50"/>
      <c r="K780" s="11"/>
      <c r="L780" s="50"/>
      <c r="M780" s="50"/>
      <c r="N780" s="50"/>
      <c r="O780" s="50"/>
      <c r="P780" s="50"/>
      <c r="Q780" s="11"/>
      <c r="R780" s="50"/>
      <c r="S780" s="50"/>
      <c r="T780" s="50"/>
      <c r="U780" s="11"/>
      <c r="V780" s="50"/>
      <c r="W780" s="50"/>
      <c r="X780" s="50"/>
      <c r="Y780" s="50"/>
      <c r="Z780" s="50"/>
      <c r="AA780" s="11"/>
      <c r="AB780" s="50"/>
      <c r="AC780" s="50"/>
      <c r="AD780" s="50"/>
      <c r="AE780" s="11"/>
      <c r="AF780" s="50"/>
      <c r="AG780" s="50"/>
      <c r="AH780" s="50"/>
      <c r="AI780" s="11"/>
      <c r="AJ780" s="50"/>
      <c r="AK780" s="50"/>
      <c r="AL780" s="50"/>
      <c r="AM780" s="11"/>
      <c r="AN780" s="50"/>
      <c r="AO780" s="50"/>
      <c r="AP780" s="50"/>
      <c r="AQ780" s="11"/>
      <c r="AR780" s="50"/>
      <c r="AS780" s="50"/>
      <c r="AT780" s="50"/>
      <c r="AU780" s="11"/>
      <c r="AV780" s="50"/>
      <c r="AW780" s="50"/>
      <c r="AX780" s="50"/>
      <c r="AY780" s="50"/>
      <c r="AZ780" s="50"/>
      <c r="BA780" s="50"/>
      <c r="BB780" s="50"/>
      <c r="BC780" s="50"/>
      <c r="BD780" s="50"/>
      <c r="BE780" s="20"/>
      <c r="BF780" s="518"/>
      <c r="BG780" s="484"/>
      <c r="BH780" s="484"/>
      <c r="BI780" s="527"/>
      <c r="BJ780" s="484"/>
      <c r="BK780" s="484"/>
      <c r="BL780" s="484"/>
      <c r="BM780" s="484"/>
    </row>
    <row r="781" spans="1:65" s="22" customFormat="1" x14ac:dyDescent="0.25">
      <c r="A781" s="20"/>
      <c r="B781" s="515"/>
      <c r="C781" s="11"/>
      <c r="D781" s="11"/>
      <c r="E781" s="11"/>
      <c r="F781" s="21"/>
      <c r="G781" s="11"/>
      <c r="H781" s="50"/>
      <c r="I781" s="50"/>
      <c r="J781" s="50"/>
      <c r="K781" s="11"/>
      <c r="L781" s="50"/>
      <c r="M781" s="50"/>
      <c r="N781" s="50"/>
      <c r="O781" s="50"/>
      <c r="P781" s="50"/>
      <c r="Q781" s="11"/>
      <c r="R781" s="50"/>
      <c r="S781" s="50"/>
      <c r="T781" s="50"/>
      <c r="U781" s="11"/>
      <c r="V781" s="50"/>
      <c r="W781" s="50"/>
      <c r="X781" s="50"/>
      <c r="Y781" s="50"/>
      <c r="Z781" s="50"/>
      <c r="AA781" s="11"/>
      <c r="AB781" s="50"/>
      <c r="AC781" s="50"/>
      <c r="AD781" s="50"/>
      <c r="AE781" s="11"/>
      <c r="AF781" s="50"/>
      <c r="AG781" s="50"/>
      <c r="AH781" s="50"/>
      <c r="AI781" s="11"/>
      <c r="AJ781" s="50"/>
      <c r="AK781" s="50"/>
      <c r="AL781" s="50"/>
      <c r="AM781" s="11"/>
      <c r="AN781" s="50"/>
      <c r="AO781" s="50"/>
      <c r="AP781" s="50"/>
      <c r="AQ781" s="11"/>
      <c r="AR781" s="50"/>
      <c r="AS781" s="50"/>
      <c r="AT781" s="50"/>
      <c r="AU781" s="11"/>
      <c r="AV781" s="50"/>
      <c r="AW781" s="50"/>
      <c r="AX781" s="50"/>
      <c r="AY781" s="50"/>
      <c r="AZ781" s="50"/>
      <c r="BA781" s="50"/>
      <c r="BB781" s="50"/>
      <c r="BC781" s="50"/>
      <c r="BD781" s="50"/>
      <c r="BE781" s="20"/>
      <c r="BF781" s="518"/>
      <c r="BG781" s="484"/>
      <c r="BH781" s="484"/>
      <c r="BI781" s="527"/>
      <c r="BJ781" s="484"/>
      <c r="BK781" s="484"/>
      <c r="BL781" s="484"/>
      <c r="BM781" s="484"/>
    </row>
    <row r="782" spans="1:65" s="22" customFormat="1" x14ac:dyDescent="0.25">
      <c r="A782" s="20"/>
      <c r="B782" s="515"/>
      <c r="C782" s="11"/>
      <c r="D782" s="11"/>
      <c r="E782" s="11"/>
      <c r="F782" s="21"/>
      <c r="G782" s="11"/>
      <c r="H782" s="50"/>
      <c r="I782" s="50"/>
      <c r="J782" s="50"/>
      <c r="K782" s="11"/>
      <c r="L782" s="50"/>
      <c r="M782" s="50"/>
      <c r="N782" s="50"/>
      <c r="O782" s="50"/>
      <c r="P782" s="50"/>
      <c r="Q782" s="11"/>
      <c r="R782" s="50"/>
      <c r="S782" s="50"/>
      <c r="T782" s="50"/>
      <c r="U782" s="11"/>
      <c r="V782" s="50"/>
      <c r="W782" s="50"/>
      <c r="X782" s="50"/>
      <c r="Y782" s="50"/>
      <c r="Z782" s="50"/>
      <c r="AA782" s="11"/>
      <c r="AB782" s="50"/>
      <c r="AC782" s="50"/>
      <c r="AD782" s="50"/>
      <c r="AE782" s="11"/>
      <c r="AF782" s="50"/>
      <c r="AG782" s="50"/>
      <c r="AH782" s="50"/>
      <c r="AI782" s="11"/>
      <c r="AJ782" s="50"/>
      <c r="AK782" s="50"/>
      <c r="AL782" s="50"/>
      <c r="AM782" s="11"/>
      <c r="AN782" s="50"/>
      <c r="AO782" s="50"/>
      <c r="AP782" s="50"/>
      <c r="AQ782" s="11"/>
      <c r="AR782" s="50"/>
      <c r="AS782" s="50"/>
      <c r="AT782" s="50"/>
      <c r="AU782" s="11"/>
      <c r="AV782" s="50"/>
      <c r="AW782" s="50"/>
      <c r="AX782" s="50"/>
      <c r="AY782" s="50"/>
      <c r="AZ782" s="50"/>
      <c r="BA782" s="50"/>
      <c r="BB782" s="50"/>
      <c r="BC782" s="50"/>
      <c r="BD782" s="50"/>
      <c r="BE782" s="20"/>
      <c r="BF782" s="518"/>
      <c r="BG782" s="484"/>
      <c r="BH782" s="484"/>
      <c r="BI782" s="527"/>
      <c r="BJ782" s="484"/>
      <c r="BK782" s="484"/>
      <c r="BL782" s="484"/>
      <c r="BM782" s="484"/>
    </row>
    <row r="783" spans="1:65" s="22" customFormat="1" x14ac:dyDescent="0.25">
      <c r="A783" s="20"/>
      <c r="B783" s="515"/>
      <c r="C783" s="11"/>
      <c r="D783" s="11"/>
      <c r="E783" s="11"/>
      <c r="F783" s="21"/>
      <c r="G783" s="11"/>
      <c r="H783" s="50"/>
      <c r="I783" s="50"/>
      <c r="J783" s="50"/>
      <c r="K783" s="11"/>
      <c r="L783" s="50"/>
      <c r="M783" s="50"/>
      <c r="N783" s="50"/>
      <c r="O783" s="50"/>
      <c r="P783" s="50"/>
      <c r="Q783" s="11"/>
      <c r="R783" s="50"/>
      <c r="S783" s="50"/>
      <c r="T783" s="50"/>
      <c r="U783" s="11"/>
      <c r="V783" s="50"/>
      <c r="W783" s="50"/>
      <c r="X783" s="50"/>
      <c r="Y783" s="50"/>
      <c r="Z783" s="50"/>
      <c r="AA783" s="11"/>
      <c r="AB783" s="50"/>
      <c r="AC783" s="50"/>
      <c r="AD783" s="50"/>
      <c r="AE783" s="11"/>
      <c r="AF783" s="50"/>
      <c r="AG783" s="50"/>
      <c r="AH783" s="50"/>
      <c r="AI783" s="11"/>
      <c r="AJ783" s="50"/>
      <c r="AK783" s="50"/>
      <c r="AL783" s="50"/>
      <c r="AM783" s="11"/>
      <c r="AN783" s="50"/>
      <c r="AO783" s="50"/>
      <c r="AP783" s="50"/>
      <c r="AQ783" s="11"/>
      <c r="AR783" s="50"/>
      <c r="AS783" s="50"/>
      <c r="AT783" s="50"/>
      <c r="AU783" s="11"/>
      <c r="AV783" s="50"/>
      <c r="AW783" s="50"/>
      <c r="AX783" s="50"/>
      <c r="AY783" s="50"/>
      <c r="AZ783" s="50"/>
      <c r="BA783" s="50"/>
      <c r="BB783" s="50"/>
      <c r="BC783" s="50"/>
      <c r="BD783" s="50"/>
      <c r="BE783" s="20"/>
      <c r="BF783" s="518"/>
      <c r="BG783" s="484"/>
      <c r="BH783" s="484"/>
      <c r="BI783" s="527"/>
      <c r="BJ783" s="484"/>
      <c r="BK783" s="484"/>
      <c r="BL783" s="484"/>
      <c r="BM783" s="484"/>
    </row>
    <row r="784" spans="1:65" s="22" customFormat="1" x14ac:dyDescent="0.25">
      <c r="A784" s="20"/>
      <c r="B784" s="515"/>
      <c r="C784" s="11"/>
      <c r="D784" s="11"/>
      <c r="E784" s="11"/>
      <c r="F784" s="21"/>
      <c r="G784" s="11"/>
      <c r="H784" s="50"/>
      <c r="I784" s="50"/>
      <c r="J784" s="50"/>
      <c r="K784" s="11"/>
      <c r="L784" s="50"/>
      <c r="M784" s="50"/>
      <c r="N784" s="50"/>
      <c r="O784" s="50"/>
      <c r="P784" s="50"/>
      <c r="Q784" s="11"/>
      <c r="R784" s="50"/>
      <c r="S784" s="50"/>
      <c r="T784" s="50"/>
      <c r="U784" s="11"/>
      <c r="V784" s="50"/>
      <c r="W784" s="50"/>
      <c r="X784" s="50"/>
      <c r="Y784" s="50"/>
      <c r="Z784" s="50"/>
      <c r="AA784" s="11"/>
      <c r="AB784" s="50"/>
      <c r="AC784" s="50"/>
      <c r="AD784" s="50"/>
      <c r="AE784" s="11"/>
      <c r="AF784" s="50"/>
      <c r="AG784" s="50"/>
      <c r="AH784" s="50"/>
      <c r="AI784" s="11"/>
      <c r="AJ784" s="50"/>
      <c r="AK784" s="50"/>
      <c r="AL784" s="50"/>
      <c r="AM784" s="11"/>
      <c r="AN784" s="50"/>
      <c r="AO784" s="50"/>
      <c r="AP784" s="50"/>
      <c r="AQ784" s="11"/>
      <c r="AR784" s="50"/>
      <c r="AS784" s="50"/>
      <c r="AT784" s="50"/>
      <c r="AU784" s="11"/>
      <c r="AV784" s="50"/>
      <c r="AW784" s="50"/>
      <c r="AX784" s="50"/>
      <c r="AY784" s="50"/>
      <c r="AZ784" s="50"/>
      <c r="BA784" s="50"/>
      <c r="BB784" s="50"/>
      <c r="BC784" s="50"/>
      <c r="BD784" s="50"/>
      <c r="BE784" s="20"/>
      <c r="BF784" s="518"/>
      <c r="BG784" s="484"/>
      <c r="BH784" s="484"/>
      <c r="BI784" s="527"/>
      <c r="BJ784" s="484"/>
      <c r="BK784" s="484"/>
      <c r="BL784" s="484"/>
      <c r="BM784" s="484"/>
    </row>
    <row r="785" spans="1:65" s="22" customFormat="1" x14ac:dyDescent="0.25">
      <c r="A785" s="20"/>
      <c r="B785" s="515"/>
      <c r="C785" s="11"/>
      <c r="D785" s="11"/>
      <c r="E785" s="11"/>
      <c r="F785" s="21"/>
      <c r="G785" s="11"/>
      <c r="H785" s="50"/>
      <c r="I785" s="50"/>
      <c r="J785" s="50"/>
      <c r="K785" s="11"/>
      <c r="L785" s="50"/>
      <c r="M785" s="50"/>
      <c r="N785" s="50"/>
      <c r="O785" s="50"/>
      <c r="P785" s="50"/>
      <c r="Q785" s="11"/>
      <c r="R785" s="50"/>
      <c r="S785" s="50"/>
      <c r="T785" s="50"/>
      <c r="U785" s="11"/>
      <c r="V785" s="50"/>
      <c r="W785" s="50"/>
      <c r="X785" s="50"/>
      <c r="Y785" s="50"/>
      <c r="Z785" s="50"/>
      <c r="AA785" s="11"/>
      <c r="AB785" s="50"/>
      <c r="AC785" s="50"/>
      <c r="AD785" s="50"/>
      <c r="AE785" s="11"/>
      <c r="AF785" s="50"/>
      <c r="AG785" s="50"/>
      <c r="AH785" s="50"/>
      <c r="AI785" s="11"/>
      <c r="AJ785" s="50"/>
      <c r="AK785" s="50"/>
      <c r="AL785" s="50"/>
      <c r="AM785" s="11"/>
      <c r="AN785" s="50"/>
      <c r="AO785" s="50"/>
      <c r="AP785" s="50"/>
      <c r="AQ785" s="11"/>
      <c r="AR785" s="50"/>
      <c r="AS785" s="50"/>
      <c r="AT785" s="50"/>
      <c r="AU785" s="11"/>
      <c r="AV785" s="50"/>
      <c r="AW785" s="50"/>
      <c r="AX785" s="50"/>
      <c r="AY785" s="50"/>
      <c r="AZ785" s="50"/>
      <c r="BA785" s="50"/>
      <c r="BB785" s="50"/>
      <c r="BC785" s="50"/>
      <c r="BD785" s="50"/>
      <c r="BE785" s="20"/>
      <c r="BF785" s="518"/>
      <c r="BG785" s="484"/>
      <c r="BH785" s="484"/>
      <c r="BI785" s="527"/>
      <c r="BJ785" s="484"/>
      <c r="BK785" s="484"/>
      <c r="BL785" s="484"/>
      <c r="BM785" s="484"/>
    </row>
    <row r="786" spans="1:65" s="22" customFormat="1" x14ac:dyDescent="0.25">
      <c r="A786" s="20"/>
      <c r="B786" s="515"/>
      <c r="C786" s="11"/>
      <c r="D786" s="11"/>
      <c r="E786" s="11"/>
      <c r="F786" s="21"/>
      <c r="G786" s="11"/>
      <c r="H786" s="50"/>
      <c r="I786" s="50"/>
      <c r="J786" s="50"/>
      <c r="K786" s="11"/>
      <c r="L786" s="50"/>
      <c r="M786" s="50"/>
      <c r="N786" s="50"/>
      <c r="O786" s="50"/>
      <c r="P786" s="50"/>
      <c r="Q786" s="11"/>
      <c r="R786" s="50"/>
      <c r="S786" s="50"/>
      <c r="T786" s="50"/>
      <c r="U786" s="11"/>
      <c r="V786" s="50"/>
      <c r="W786" s="50"/>
      <c r="X786" s="50"/>
      <c r="Y786" s="50"/>
      <c r="Z786" s="50"/>
      <c r="AA786" s="11"/>
      <c r="AB786" s="50"/>
      <c r="AC786" s="50"/>
      <c r="AD786" s="50"/>
      <c r="AE786" s="11"/>
      <c r="AF786" s="50"/>
      <c r="AG786" s="50"/>
      <c r="AH786" s="50"/>
      <c r="AI786" s="11"/>
      <c r="AJ786" s="50"/>
      <c r="AK786" s="50"/>
      <c r="AL786" s="50"/>
      <c r="AM786" s="11"/>
      <c r="AN786" s="50"/>
      <c r="AO786" s="50"/>
      <c r="AP786" s="50"/>
      <c r="AQ786" s="11"/>
      <c r="AR786" s="50"/>
      <c r="AS786" s="50"/>
      <c r="AT786" s="50"/>
      <c r="AU786" s="11"/>
      <c r="AV786" s="50"/>
      <c r="AW786" s="50"/>
      <c r="AX786" s="50"/>
      <c r="AY786" s="50"/>
      <c r="AZ786" s="50"/>
      <c r="BA786" s="50"/>
      <c r="BB786" s="50"/>
      <c r="BC786" s="50"/>
      <c r="BD786" s="50"/>
      <c r="BE786" s="20"/>
      <c r="BF786" s="518"/>
      <c r="BG786" s="484"/>
      <c r="BH786" s="484"/>
      <c r="BI786" s="527"/>
      <c r="BJ786" s="484"/>
      <c r="BK786" s="484"/>
      <c r="BL786" s="484"/>
      <c r="BM786" s="484"/>
    </row>
    <row r="787" spans="1:65" s="22" customFormat="1" x14ac:dyDescent="0.25">
      <c r="A787" s="20"/>
      <c r="B787" s="515"/>
      <c r="C787" s="11"/>
      <c r="D787" s="11"/>
      <c r="E787" s="11"/>
      <c r="F787" s="21"/>
      <c r="G787" s="11"/>
      <c r="H787" s="50"/>
      <c r="I787" s="50"/>
      <c r="J787" s="50"/>
      <c r="K787" s="11"/>
      <c r="L787" s="50"/>
      <c r="M787" s="50"/>
      <c r="N787" s="50"/>
      <c r="O787" s="50"/>
      <c r="P787" s="50"/>
      <c r="Q787" s="11"/>
      <c r="R787" s="50"/>
      <c r="S787" s="50"/>
      <c r="T787" s="50"/>
      <c r="U787" s="11"/>
      <c r="V787" s="50"/>
      <c r="W787" s="50"/>
      <c r="X787" s="50"/>
      <c r="Y787" s="50"/>
      <c r="Z787" s="50"/>
      <c r="AA787" s="11"/>
      <c r="AB787" s="50"/>
      <c r="AC787" s="50"/>
      <c r="AD787" s="50"/>
      <c r="AE787" s="11"/>
      <c r="AF787" s="50"/>
      <c r="AG787" s="50"/>
      <c r="AH787" s="50"/>
      <c r="AI787" s="11"/>
      <c r="AJ787" s="50"/>
      <c r="AK787" s="50"/>
      <c r="AL787" s="50"/>
      <c r="AM787" s="11"/>
      <c r="AN787" s="50"/>
      <c r="AO787" s="50"/>
      <c r="AP787" s="50"/>
      <c r="AQ787" s="11"/>
      <c r="AR787" s="50"/>
      <c r="AS787" s="50"/>
      <c r="AT787" s="50"/>
      <c r="AU787" s="11"/>
      <c r="AV787" s="50"/>
      <c r="AW787" s="50"/>
      <c r="AX787" s="50"/>
      <c r="AY787" s="50"/>
      <c r="AZ787" s="50"/>
      <c r="BA787" s="50"/>
      <c r="BB787" s="50"/>
      <c r="BC787" s="50"/>
      <c r="BD787" s="50"/>
      <c r="BE787" s="20"/>
      <c r="BF787" s="518"/>
      <c r="BG787" s="484"/>
      <c r="BH787" s="484"/>
      <c r="BI787" s="527"/>
      <c r="BJ787" s="484"/>
      <c r="BK787" s="484"/>
      <c r="BL787" s="484"/>
      <c r="BM787" s="484"/>
    </row>
    <row r="788" spans="1:65" s="22" customFormat="1" x14ac:dyDescent="0.25">
      <c r="A788" s="20"/>
      <c r="B788" s="515"/>
      <c r="C788" s="11"/>
      <c r="D788" s="11"/>
      <c r="E788" s="11"/>
      <c r="F788" s="21"/>
      <c r="G788" s="11"/>
      <c r="H788" s="50"/>
      <c r="I788" s="50"/>
      <c r="J788" s="50"/>
      <c r="K788" s="11"/>
      <c r="L788" s="50"/>
      <c r="M788" s="50"/>
      <c r="N788" s="50"/>
      <c r="O788" s="50"/>
      <c r="P788" s="50"/>
      <c r="Q788" s="11"/>
      <c r="R788" s="50"/>
      <c r="S788" s="50"/>
      <c r="T788" s="50"/>
      <c r="U788" s="11"/>
      <c r="V788" s="50"/>
      <c r="W788" s="50"/>
      <c r="X788" s="50"/>
      <c r="Y788" s="50"/>
      <c r="Z788" s="50"/>
      <c r="AA788" s="11"/>
      <c r="AB788" s="50"/>
      <c r="AC788" s="50"/>
      <c r="AD788" s="50"/>
      <c r="AE788" s="11"/>
      <c r="AF788" s="50"/>
      <c r="AG788" s="50"/>
      <c r="AH788" s="50"/>
      <c r="AI788" s="11"/>
      <c r="AJ788" s="50"/>
      <c r="AK788" s="50"/>
      <c r="AL788" s="50"/>
      <c r="AM788" s="11"/>
      <c r="AN788" s="50"/>
      <c r="AO788" s="50"/>
      <c r="AP788" s="50"/>
      <c r="AQ788" s="11"/>
      <c r="AR788" s="50"/>
      <c r="AS788" s="50"/>
      <c r="AT788" s="50"/>
      <c r="AU788" s="11"/>
      <c r="AV788" s="50"/>
      <c r="AW788" s="50"/>
      <c r="AX788" s="50"/>
      <c r="AY788" s="50"/>
      <c r="AZ788" s="50"/>
      <c r="BA788" s="50"/>
      <c r="BB788" s="50"/>
      <c r="BC788" s="50"/>
      <c r="BD788" s="50"/>
      <c r="BE788" s="20"/>
      <c r="BF788" s="518"/>
      <c r="BG788" s="484"/>
      <c r="BH788" s="484"/>
      <c r="BI788" s="527"/>
      <c r="BJ788" s="484"/>
      <c r="BK788" s="484"/>
      <c r="BL788" s="484"/>
      <c r="BM788" s="484"/>
    </row>
    <row r="789" spans="1:65" s="22" customFormat="1" x14ac:dyDescent="0.25">
      <c r="A789" s="20"/>
      <c r="B789" s="515"/>
      <c r="C789" s="11"/>
      <c r="D789" s="11"/>
      <c r="E789" s="11"/>
      <c r="F789" s="21"/>
      <c r="G789" s="11"/>
      <c r="H789" s="50"/>
      <c r="I789" s="50"/>
      <c r="J789" s="50"/>
      <c r="K789" s="11"/>
      <c r="L789" s="50"/>
      <c r="M789" s="50"/>
      <c r="N789" s="50"/>
      <c r="O789" s="50"/>
      <c r="P789" s="50"/>
      <c r="Q789" s="11"/>
      <c r="R789" s="50"/>
      <c r="S789" s="50"/>
      <c r="T789" s="50"/>
      <c r="U789" s="11"/>
      <c r="V789" s="50"/>
      <c r="W789" s="50"/>
      <c r="X789" s="50"/>
      <c r="Y789" s="50"/>
      <c r="Z789" s="50"/>
      <c r="AA789" s="11"/>
      <c r="AB789" s="50"/>
      <c r="AC789" s="50"/>
      <c r="AD789" s="50"/>
      <c r="AE789" s="11"/>
      <c r="AF789" s="50"/>
      <c r="AG789" s="50"/>
      <c r="AH789" s="50"/>
      <c r="AI789" s="11"/>
      <c r="AJ789" s="50"/>
      <c r="AK789" s="50"/>
      <c r="AL789" s="50"/>
      <c r="AM789" s="11"/>
      <c r="AN789" s="50"/>
      <c r="AO789" s="50"/>
      <c r="AP789" s="50"/>
      <c r="AQ789" s="11"/>
      <c r="AR789" s="50"/>
      <c r="AS789" s="50"/>
      <c r="AT789" s="50"/>
      <c r="AU789" s="11"/>
      <c r="AV789" s="50"/>
      <c r="AW789" s="50"/>
      <c r="AX789" s="50"/>
      <c r="AY789" s="50"/>
      <c r="AZ789" s="50"/>
      <c r="BA789" s="50"/>
      <c r="BB789" s="50"/>
      <c r="BC789" s="50"/>
      <c r="BD789" s="50"/>
      <c r="BE789" s="20"/>
      <c r="BF789" s="518"/>
      <c r="BG789" s="484"/>
      <c r="BH789" s="484"/>
      <c r="BI789" s="527"/>
      <c r="BJ789" s="484"/>
      <c r="BK789" s="484"/>
      <c r="BL789" s="484"/>
      <c r="BM789" s="484"/>
    </row>
    <row r="790" spans="1:65" s="22" customFormat="1" x14ac:dyDescent="0.25">
      <c r="A790" s="20"/>
      <c r="B790" s="515"/>
      <c r="C790" s="11"/>
      <c r="D790" s="11"/>
      <c r="E790" s="11"/>
      <c r="F790" s="21"/>
      <c r="G790" s="11"/>
      <c r="H790" s="50"/>
      <c r="I790" s="50"/>
      <c r="J790" s="50"/>
      <c r="K790" s="11"/>
      <c r="L790" s="50"/>
      <c r="M790" s="50"/>
      <c r="N790" s="50"/>
      <c r="O790" s="50"/>
      <c r="P790" s="50"/>
      <c r="Q790" s="11"/>
      <c r="R790" s="50"/>
      <c r="S790" s="50"/>
      <c r="T790" s="50"/>
      <c r="U790" s="11"/>
      <c r="V790" s="50"/>
      <c r="W790" s="50"/>
      <c r="X790" s="50"/>
      <c r="Y790" s="50"/>
      <c r="Z790" s="50"/>
      <c r="AA790" s="11"/>
      <c r="AB790" s="50"/>
      <c r="AC790" s="50"/>
      <c r="AD790" s="50"/>
      <c r="AE790" s="11"/>
      <c r="AF790" s="50"/>
      <c r="AG790" s="50"/>
      <c r="AH790" s="50"/>
      <c r="AI790" s="11"/>
      <c r="AJ790" s="50"/>
      <c r="AK790" s="50"/>
      <c r="AL790" s="50"/>
      <c r="AM790" s="11"/>
      <c r="AN790" s="50"/>
      <c r="AO790" s="50"/>
      <c r="AP790" s="50"/>
      <c r="AQ790" s="11"/>
      <c r="AR790" s="50"/>
      <c r="AS790" s="50"/>
      <c r="AT790" s="50"/>
      <c r="AU790" s="11"/>
      <c r="AV790" s="50"/>
      <c r="AW790" s="50"/>
      <c r="AX790" s="50"/>
      <c r="AY790" s="50"/>
      <c r="AZ790" s="50"/>
      <c r="BA790" s="50"/>
      <c r="BB790" s="50"/>
      <c r="BC790" s="50"/>
      <c r="BD790" s="50"/>
      <c r="BE790" s="20"/>
      <c r="BF790" s="518"/>
      <c r="BG790" s="484"/>
      <c r="BH790" s="484"/>
      <c r="BI790" s="527"/>
      <c r="BJ790" s="484"/>
      <c r="BK790" s="484"/>
      <c r="BL790" s="484"/>
      <c r="BM790" s="484"/>
    </row>
    <row r="791" spans="1:65" s="22" customFormat="1" x14ac:dyDescent="0.25">
      <c r="A791" s="20"/>
      <c r="B791" s="515"/>
      <c r="C791" s="11"/>
      <c r="D791" s="11"/>
      <c r="E791" s="11"/>
      <c r="F791" s="21"/>
      <c r="G791" s="11"/>
      <c r="H791" s="50"/>
      <c r="I791" s="50"/>
      <c r="J791" s="50"/>
      <c r="K791" s="11"/>
      <c r="L791" s="50"/>
      <c r="M791" s="50"/>
      <c r="N791" s="50"/>
      <c r="O791" s="50"/>
      <c r="P791" s="50"/>
      <c r="Q791" s="11"/>
      <c r="R791" s="50"/>
      <c r="S791" s="50"/>
      <c r="T791" s="50"/>
      <c r="U791" s="11"/>
      <c r="V791" s="50"/>
      <c r="W791" s="50"/>
      <c r="X791" s="50"/>
      <c r="Y791" s="50"/>
      <c r="Z791" s="50"/>
      <c r="AA791" s="11"/>
      <c r="AB791" s="50"/>
      <c r="AC791" s="50"/>
      <c r="AD791" s="50"/>
      <c r="AE791" s="11"/>
      <c r="AF791" s="50"/>
      <c r="AG791" s="50"/>
      <c r="AH791" s="50"/>
      <c r="AI791" s="11"/>
      <c r="AJ791" s="50"/>
      <c r="AK791" s="50"/>
      <c r="AL791" s="50"/>
      <c r="AM791" s="11"/>
      <c r="AN791" s="50"/>
      <c r="AO791" s="50"/>
      <c r="AP791" s="50"/>
      <c r="AQ791" s="11"/>
      <c r="AR791" s="50"/>
      <c r="AS791" s="50"/>
      <c r="AT791" s="50"/>
      <c r="AU791" s="11"/>
      <c r="AV791" s="50"/>
      <c r="AW791" s="50"/>
      <c r="AX791" s="50"/>
      <c r="AY791" s="50"/>
      <c r="AZ791" s="50"/>
      <c r="BA791" s="50"/>
      <c r="BB791" s="50"/>
      <c r="BC791" s="50"/>
      <c r="BD791" s="50"/>
      <c r="BE791" s="20"/>
      <c r="BF791" s="518"/>
      <c r="BG791" s="484"/>
      <c r="BH791" s="484"/>
      <c r="BI791" s="527"/>
      <c r="BJ791" s="484"/>
      <c r="BK791" s="484"/>
      <c r="BL791" s="484"/>
      <c r="BM791" s="484"/>
    </row>
    <row r="792" spans="1:65" s="22" customFormat="1" x14ac:dyDescent="0.25">
      <c r="A792" s="20"/>
      <c r="B792" s="515"/>
      <c r="C792" s="11"/>
      <c r="D792" s="11"/>
      <c r="E792" s="11"/>
      <c r="F792" s="21"/>
      <c r="G792" s="11"/>
      <c r="H792" s="50"/>
      <c r="I792" s="50"/>
      <c r="J792" s="50"/>
      <c r="K792" s="11"/>
      <c r="L792" s="50"/>
      <c r="M792" s="50"/>
      <c r="N792" s="50"/>
      <c r="O792" s="50"/>
      <c r="P792" s="50"/>
      <c r="Q792" s="11"/>
      <c r="R792" s="50"/>
      <c r="S792" s="50"/>
      <c r="T792" s="50"/>
      <c r="U792" s="11"/>
      <c r="V792" s="50"/>
      <c r="W792" s="50"/>
      <c r="X792" s="50"/>
      <c r="Y792" s="50"/>
      <c r="Z792" s="50"/>
      <c r="AA792" s="11"/>
      <c r="AB792" s="50"/>
      <c r="AC792" s="50"/>
      <c r="AD792" s="50"/>
      <c r="AE792" s="11"/>
      <c r="AF792" s="50"/>
      <c r="AG792" s="50"/>
      <c r="AH792" s="50"/>
      <c r="AI792" s="11"/>
      <c r="AJ792" s="50"/>
      <c r="AK792" s="50"/>
      <c r="AL792" s="50"/>
      <c r="AM792" s="11"/>
      <c r="AN792" s="50"/>
      <c r="AO792" s="50"/>
      <c r="AP792" s="50"/>
      <c r="AQ792" s="11"/>
      <c r="AR792" s="50"/>
      <c r="AS792" s="50"/>
      <c r="AT792" s="50"/>
      <c r="AU792" s="11"/>
      <c r="AV792" s="50"/>
      <c r="AW792" s="50"/>
      <c r="AX792" s="50"/>
      <c r="AY792" s="50"/>
      <c r="AZ792" s="50"/>
      <c r="BA792" s="50"/>
      <c r="BB792" s="50"/>
      <c r="BC792" s="50"/>
      <c r="BD792" s="50"/>
      <c r="BE792" s="20"/>
      <c r="BF792" s="518"/>
      <c r="BG792" s="484"/>
      <c r="BH792" s="484"/>
      <c r="BI792" s="527"/>
      <c r="BJ792" s="484"/>
      <c r="BK792" s="484"/>
      <c r="BL792" s="484"/>
      <c r="BM792" s="484"/>
    </row>
    <row r="793" spans="1:65" s="22" customFormat="1" x14ac:dyDescent="0.25">
      <c r="A793" s="20"/>
      <c r="B793" s="515"/>
      <c r="C793" s="11"/>
      <c r="D793" s="11"/>
      <c r="E793" s="11"/>
      <c r="F793" s="21"/>
      <c r="G793" s="11"/>
      <c r="H793" s="50"/>
      <c r="I793" s="50"/>
      <c r="J793" s="50"/>
      <c r="K793" s="11"/>
      <c r="L793" s="50"/>
      <c r="M793" s="50"/>
      <c r="N793" s="50"/>
      <c r="O793" s="50"/>
      <c r="P793" s="50"/>
      <c r="Q793" s="11"/>
      <c r="R793" s="50"/>
      <c r="S793" s="50"/>
      <c r="T793" s="50"/>
      <c r="U793" s="11"/>
      <c r="V793" s="50"/>
      <c r="W793" s="50"/>
      <c r="X793" s="50"/>
      <c r="Y793" s="50"/>
      <c r="Z793" s="50"/>
      <c r="AA793" s="11"/>
      <c r="AB793" s="50"/>
      <c r="AC793" s="50"/>
      <c r="AD793" s="50"/>
      <c r="AE793" s="11"/>
      <c r="AF793" s="50"/>
      <c r="AG793" s="50"/>
      <c r="AH793" s="50"/>
      <c r="AI793" s="11"/>
      <c r="AJ793" s="50"/>
      <c r="AK793" s="50"/>
      <c r="AL793" s="50"/>
      <c r="AM793" s="11"/>
      <c r="AN793" s="50"/>
      <c r="AO793" s="50"/>
      <c r="AP793" s="50"/>
      <c r="AQ793" s="11"/>
      <c r="AR793" s="50"/>
      <c r="AS793" s="50"/>
      <c r="AT793" s="50"/>
      <c r="AU793" s="11"/>
      <c r="AV793" s="50"/>
      <c r="AW793" s="50"/>
      <c r="AX793" s="50"/>
      <c r="AY793" s="50"/>
      <c r="AZ793" s="50"/>
      <c r="BA793" s="50"/>
      <c r="BB793" s="50"/>
      <c r="BC793" s="50"/>
      <c r="BD793" s="50"/>
      <c r="BE793" s="20"/>
      <c r="BF793" s="518"/>
      <c r="BG793" s="484"/>
      <c r="BH793" s="484"/>
      <c r="BI793" s="527"/>
      <c r="BJ793" s="484"/>
      <c r="BK793" s="484"/>
      <c r="BL793" s="484"/>
      <c r="BM793" s="484"/>
    </row>
    <row r="794" spans="1:65" s="22" customFormat="1" x14ac:dyDescent="0.25">
      <c r="A794" s="20"/>
      <c r="B794" s="515"/>
      <c r="C794" s="11"/>
      <c r="D794" s="11"/>
      <c r="E794" s="11"/>
      <c r="F794" s="21"/>
      <c r="G794" s="11"/>
      <c r="H794" s="50"/>
      <c r="I794" s="50"/>
      <c r="J794" s="50"/>
      <c r="K794" s="11"/>
      <c r="L794" s="50"/>
      <c r="M794" s="50"/>
      <c r="N794" s="50"/>
      <c r="O794" s="50"/>
      <c r="P794" s="50"/>
      <c r="Q794" s="11"/>
      <c r="R794" s="50"/>
      <c r="S794" s="50"/>
      <c r="T794" s="50"/>
      <c r="U794" s="11"/>
      <c r="V794" s="50"/>
      <c r="W794" s="50"/>
      <c r="X794" s="50"/>
      <c r="Y794" s="50"/>
      <c r="Z794" s="50"/>
      <c r="AA794" s="11"/>
      <c r="AB794" s="50"/>
      <c r="AC794" s="50"/>
      <c r="AD794" s="50"/>
      <c r="AE794" s="11"/>
      <c r="AF794" s="50"/>
      <c r="AG794" s="50"/>
      <c r="AH794" s="50"/>
      <c r="AI794" s="11"/>
      <c r="AJ794" s="50"/>
      <c r="AK794" s="50"/>
      <c r="AL794" s="50"/>
      <c r="AM794" s="11"/>
      <c r="AN794" s="50"/>
      <c r="AO794" s="50"/>
      <c r="AP794" s="50"/>
      <c r="AQ794" s="11"/>
      <c r="AR794" s="50"/>
      <c r="AS794" s="50"/>
      <c r="AT794" s="50"/>
      <c r="AU794" s="11"/>
      <c r="AV794" s="50"/>
      <c r="AW794" s="50"/>
      <c r="AX794" s="50"/>
      <c r="AY794" s="50"/>
      <c r="AZ794" s="50"/>
      <c r="BA794" s="50"/>
      <c r="BB794" s="50"/>
      <c r="BC794" s="50"/>
      <c r="BD794" s="50"/>
      <c r="BE794" s="20"/>
      <c r="BF794" s="518"/>
      <c r="BG794" s="484"/>
      <c r="BH794" s="484"/>
      <c r="BI794" s="527"/>
      <c r="BJ794" s="484"/>
      <c r="BK794" s="484"/>
      <c r="BL794" s="484"/>
      <c r="BM794" s="484"/>
    </row>
    <row r="795" spans="1:65" s="22" customFormat="1" x14ac:dyDescent="0.25">
      <c r="A795" s="20"/>
      <c r="B795" s="515"/>
      <c r="C795" s="11"/>
      <c r="D795" s="11"/>
      <c r="E795" s="11"/>
      <c r="F795" s="21"/>
      <c r="G795" s="11"/>
      <c r="H795" s="50"/>
      <c r="I795" s="50"/>
      <c r="J795" s="50"/>
      <c r="K795" s="11"/>
      <c r="L795" s="50"/>
      <c r="M795" s="50"/>
      <c r="N795" s="50"/>
      <c r="O795" s="50"/>
      <c r="P795" s="50"/>
      <c r="Q795" s="11"/>
      <c r="R795" s="50"/>
      <c r="S795" s="50"/>
      <c r="T795" s="50"/>
      <c r="U795" s="11"/>
      <c r="V795" s="50"/>
      <c r="W795" s="50"/>
      <c r="X795" s="50"/>
      <c r="Y795" s="50"/>
      <c r="Z795" s="50"/>
      <c r="AA795" s="11"/>
      <c r="AB795" s="50"/>
      <c r="AC795" s="50"/>
      <c r="AD795" s="50"/>
      <c r="AE795" s="11"/>
      <c r="AF795" s="50"/>
      <c r="AG795" s="50"/>
      <c r="AH795" s="50"/>
      <c r="AI795" s="11"/>
      <c r="AJ795" s="50"/>
      <c r="AK795" s="50"/>
      <c r="AL795" s="50"/>
      <c r="AM795" s="11"/>
      <c r="AN795" s="50"/>
      <c r="AO795" s="50"/>
      <c r="AP795" s="50"/>
      <c r="AQ795" s="11"/>
      <c r="AR795" s="50"/>
      <c r="AS795" s="50"/>
      <c r="AT795" s="50"/>
      <c r="AU795" s="11"/>
      <c r="AV795" s="50"/>
      <c r="AW795" s="50"/>
      <c r="AX795" s="50"/>
      <c r="AY795" s="50"/>
      <c r="AZ795" s="50"/>
      <c r="BA795" s="50"/>
      <c r="BB795" s="50"/>
      <c r="BC795" s="50"/>
      <c r="BD795" s="50"/>
      <c r="BE795" s="20"/>
      <c r="BF795" s="518"/>
      <c r="BG795" s="484"/>
      <c r="BH795" s="484"/>
      <c r="BI795" s="527"/>
      <c r="BJ795" s="484"/>
      <c r="BK795" s="484"/>
      <c r="BL795" s="484"/>
      <c r="BM795" s="484"/>
    </row>
    <row r="796" spans="1:65" s="22" customFormat="1" x14ac:dyDescent="0.25">
      <c r="A796" s="20"/>
      <c r="B796" s="515"/>
      <c r="C796" s="11"/>
      <c r="D796" s="11"/>
      <c r="E796" s="11"/>
      <c r="F796" s="21"/>
      <c r="G796" s="11"/>
      <c r="H796" s="50"/>
      <c r="I796" s="50"/>
      <c r="J796" s="50"/>
      <c r="K796" s="11"/>
      <c r="L796" s="50"/>
      <c r="M796" s="50"/>
      <c r="N796" s="50"/>
      <c r="O796" s="50"/>
      <c r="P796" s="50"/>
      <c r="Q796" s="11"/>
      <c r="R796" s="50"/>
      <c r="S796" s="50"/>
      <c r="T796" s="50"/>
      <c r="U796" s="11"/>
      <c r="V796" s="50"/>
      <c r="W796" s="50"/>
      <c r="X796" s="50"/>
      <c r="Y796" s="50"/>
      <c r="Z796" s="50"/>
      <c r="AA796" s="11"/>
      <c r="AB796" s="50"/>
      <c r="AC796" s="50"/>
      <c r="AD796" s="50"/>
      <c r="AE796" s="11"/>
      <c r="AF796" s="50"/>
      <c r="AG796" s="50"/>
      <c r="AH796" s="50"/>
      <c r="AI796" s="11"/>
      <c r="AJ796" s="50"/>
      <c r="AK796" s="50"/>
      <c r="AL796" s="50"/>
      <c r="AM796" s="11"/>
      <c r="AN796" s="50"/>
      <c r="AO796" s="50"/>
      <c r="AP796" s="50"/>
      <c r="AQ796" s="11"/>
      <c r="AR796" s="50"/>
      <c r="AS796" s="50"/>
      <c r="AT796" s="50"/>
      <c r="AU796" s="11"/>
      <c r="AV796" s="50"/>
      <c r="AW796" s="50"/>
      <c r="AX796" s="50"/>
      <c r="AY796" s="50"/>
      <c r="AZ796" s="50"/>
      <c r="BA796" s="50"/>
      <c r="BB796" s="50"/>
      <c r="BC796" s="50"/>
      <c r="BD796" s="50"/>
      <c r="BE796" s="20"/>
      <c r="BF796" s="518"/>
      <c r="BG796" s="484"/>
      <c r="BH796" s="484"/>
      <c r="BI796" s="527"/>
      <c r="BJ796" s="484"/>
      <c r="BK796" s="484"/>
      <c r="BL796" s="484"/>
      <c r="BM796" s="484"/>
    </row>
    <row r="797" spans="1:65" s="22" customFormat="1" x14ac:dyDescent="0.25">
      <c r="A797" s="20"/>
      <c r="B797" s="515"/>
      <c r="C797" s="11"/>
      <c r="D797" s="11"/>
      <c r="E797" s="11"/>
      <c r="F797" s="21"/>
      <c r="G797" s="11"/>
      <c r="H797" s="50"/>
      <c r="I797" s="50"/>
      <c r="J797" s="50"/>
      <c r="K797" s="11"/>
      <c r="L797" s="50"/>
      <c r="M797" s="50"/>
      <c r="N797" s="50"/>
      <c r="O797" s="50"/>
      <c r="P797" s="50"/>
      <c r="Q797" s="11"/>
      <c r="R797" s="50"/>
      <c r="S797" s="50"/>
      <c r="T797" s="50"/>
      <c r="U797" s="11"/>
      <c r="V797" s="50"/>
      <c r="W797" s="50"/>
      <c r="X797" s="50"/>
      <c r="Y797" s="50"/>
      <c r="Z797" s="50"/>
      <c r="AA797" s="11"/>
      <c r="AB797" s="50"/>
      <c r="AC797" s="50"/>
      <c r="AD797" s="50"/>
      <c r="AE797" s="11"/>
      <c r="AF797" s="50"/>
      <c r="AG797" s="50"/>
      <c r="AH797" s="50"/>
      <c r="AI797" s="11"/>
      <c r="AJ797" s="50"/>
      <c r="AK797" s="50"/>
      <c r="AL797" s="50"/>
      <c r="AM797" s="11"/>
      <c r="AN797" s="50"/>
      <c r="AO797" s="50"/>
      <c r="AP797" s="50"/>
      <c r="AQ797" s="11"/>
      <c r="AR797" s="50"/>
      <c r="AS797" s="50"/>
      <c r="AT797" s="50"/>
      <c r="AU797" s="11"/>
      <c r="AV797" s="50"/>
      <c r="AW797" s="50"/>
      <c r="AX797" s="50"/>
      <c r="AY797" s="50"/>
      <c r="AZ797" s="50"/>
      <c r="BA797" s="50"/>
      <c r="BB797" s="50"/>
      <c r="BC797" s="50"/>
      <c r="BD797" s="50"/>
      <c r="BE797" s="20"/>
      <c r="BF797" s="518"/>
      <c r="BG797" s="484"/>
      <c r="BH797" s="484"/>
      <c r="BI797" s="527"/>
      <c r="BJ797" s="484"/>
      <c r="BK797" s="484"/>
      <c r="BL797" s="484"/>
      <c r="BM797" s="484"/>
    </row>
    <row r="798" spans="1:65" s="22" customFormat="1" x14ac:dyDescent="0.25">
      <c r="A798" s="20"/>
      <c r="B798" s="515"/>
      <c r="C798" s="11"/>
      <c r="D798" s="11"/>
      <c r="E798" s="11"/>
      <c r="F798" s="21"/>
      <c r="G798" s="11"/>
      <c r="H798" s="50"/>
      <c r="I798" s="50"/>
      <c r="J798" s="50"/>
      <c r="K798" s="11"/>
      <c r="L798" s="50"/>
      <c r="M798" s="50"/>
      <c r="N798" s="50"/>
      <c r="O798" s="50"/>
      <c r="P798" s="50"/>
      <c r="Q798" s="11"/>
      <c r="R798" s="50"/>
      <c r="S798" s="50"/>
      <c r="T798" s="50"/>
      <c r="U798" s="11"/>
      <c r="V798" s="50"/>
      <c r="W798" s="50"/>
      <c r="X798" s="50"/>
      <c r="Y798" s="50"/>
      <c r="Z798" s="50"/>
      <c r="AA798" s="11"/>
      <c r="AB798" s="50"/>
      <c r="AC798" s="50"/>
      <c r="AD798" s="50"/>
      <c r="AE798" s="11"/>
      <c r="AF798" s="50"/>
      <c r="AG798" s="50"/>
      <c r="AH798" s="50"/>
      <c r="AI798" s="11"/>
      <c r="AJ798" s="50"/>
      <c r="AK798" s="50"/>
      <c r="AL798" s="50"/>
      <c r="AM798" s="11"/>
      <c r="AN798" s="50"/>
      <c r="AO798" s="50"/>
      <c r="AP798" s="50"/>
      <c r="AQ798" s="11"/>
      <c r="AR798" s="50"/>
      <c r="AS798" s="50"/>
      <c r="AT798" s="50"/>
      <c r="AU798" s="11"/>
      <c r="AV798" s="50"/>
      <c r="AW798" s="50"/>
      <c r="AX798" s="50"/>
      <c r="AY798" s="50"/>
      <c r="AZ798" s="50"/>
      <c r="BA798" s="50"/>
      <c r="BB798" s="50"/>
      <c r="BC798" s="50"/>
      <c r="BD798" s="50"/>
      <c r="BE798" s="20"/>
      <c r="BF798" s="518"/>
      <c r="BG798" s="484"/>
      <c r="BH798" s="484"/>
      <c r="BI798" s="527"/>
      <c r="BJ798" s="484"/>
      <c r="BK798" s="484"/>
      <c r="BL798" s="484"/>
      <c r="BM798" s="484"/>
    </row>
    <row r="799" spans="1:65" s="22" customFormat="1" x14ac:dyDescent="0.25">
      <c r="A799" s="20"/>
      <c r="B799" s="515"/>
      <c r="C799" s="11"/>
      <c r="D799" s="11"/>
      <c r="E799" s="11"/>
      <c r="F799" s="21"/>
      <c r="G799" s="11"/>
      <c r="H799" s="50"/>
      <c r="I799" s="50"/>
      <c r="J799" s="50"/>
      <c r="K799" s="11"/>
      <c r="L799" s="50"/>
      <c r="M799" s="50"/>
      <c r="N799" s="50"/>
      <c r="O799" s="50"/>
      <c r="P799" s="50"/>
      <c r="Q799" s="11"/>
      <c r="R799" s="50"/>
      <c r="S799" s="50"/>
      <c r="T799" s="50"/>
      <c r="U799" s="11"/>
      <c r="V799" s="50"/>
      <c r="W799" s="50"/>
      <c r="X799" s="50"/>
      <c r="Y799" s="50"/>
      <c r="Z799" s="50"/>
      <c r="AA799" s="11"/>
      <c r="AB799" s="50"/>
      <c r="AC799" s="50"/>
      <c r="AD799" s="50"/>
      <c r="AE799" s="11"/>
      <c r="AF799" s="50"/>
      <c r="AG799" s="50"/>
      <c r="AH799" s="50"/>
      <c r="AI799" s="11"/>
      <c r="AJ799" s="50"/>
      <c r="AK799" s="50"/>
      <c r="AL799" s="50"/>
      <c r="AM799" s="11"/>
      <c r="AN799" s="50"/>
      <c r="AO799" s="50"/>
      <c r="AP799" s="50"/>
      <c r="AQ799" s="11"/>
      <c r="AR799" s="50"/>
      <c r="AS799" s="50"/>
      <c r="AT799" s="50"/>
      <c r="AU799" s="11"/>
      <c r="AV799" s="50"/>
      <c r="AW799" s="50"/>
      <c r="AX799" s="50"/>
      <c r="AY799" s="50"/>
      <c r="AZ799" s="50"/>
      <c r="BA799" s="50"/>
      <c r="BB799" s="50"/>
      <c r="BC799" s="50"/>
      <c r="BD799" s="50"/>
      <c r="BE799" s="20"/>
      <c r="BF799" s="518"/>
      <c r="BG799" s="484"/>
      <c r="BH799" s="484"/>
      <c r="BI799" s="527"/>
      <c r="BJ799" s="484"/>
      <c r="BK799" s="484"/>
      <c r="BL799" s="484"/>
      <c r="BM799" s="484"/>
    </row>
    <row r="800" spans="1:65" s="22" customFormat="1" x14ac:dyDescent="0.25">
      <c r="A800" s="20"/>
      <c r="B800" s="515"/>
      <c r="C800" s="11"/>
      <c r="D800" s="11"/>
      <c r="E800" s="11"/>
      <c r="F800" s="21"/>
      <c r="G800" s="11"/>
      <c r="H800" s="50"/>
      <c r="I800" s="50"/>
      <c r="J800" s="50"/>
      <c r="K800" s="11"/>
      <c r="L800" s="50"/>
      <c r="M800" s="50"/>
      <c r="N800" s="50"/>
      <c r="O800" s="50"/>
      <c r="P800" s="50"/>
      <c r="Q800" s="11"/>
      <c r="R800" s="50"/>
      <c r="S800" s="50"/>
      <c r="T800" s="50"/>
      <c r="U800" s="11"/>
      <c r="V800" s="50"/>
      <c r="W800" s="50"/>
      <c r="X800" s="50"/>
      <c r="Y800" s="50"/>
      <c r="Z800" s="50"/>
      <c r="AA800" s="11"/>
      <c r="AB800" s="50"/>
      <c r="AC800" s="50"/>
      <c r="AD800" s="50"/>
      <c r="AE800" s="11"/>
      <c r="AF800" s="50"/>
      <c r="AG800" s="50"/>
      <c r="AH800" s="50"/>
      <c r="AI800" s="11"/>
      <c r="AJ800" s="50"/>
      <c r="AK800" s="50"/>
      <c r="AL800" s="50"/>
      <c r="AM800" s="11"/>
      <c r="AN800" s="50"/>
      <c r="AO800" s="50"/>
      <c r="AP800" s="50"/>
      <c r="AQ800" s="11"/>
      <c r="AR800" s="50"/>
      <c r="AS800" s="50"/>
      <c r="AT800" s="50"/>
      <c r="AU800" s="11"/>
      <c r="AV800" s="50"/>
      <c r="AW800" s="50"/>
      <c r="AX800" s="50"/>
      <c r="AY800" s="50"/>
      <c r="AZ800" s="50"/>
      <c r="BA800" s="50"/>
      <c r="BB800" s="50"/>
      <c r="BC800" s="50"/>
      <c r="BD800" s="50"/>
      <c r="BE800" s="20"/>
      <c r="BF800" s="518"/>
      <c r="BG800" s="484"/>
      <c r="BH800" s="484"/>
      <c r="BI800" s="527"/>
      <c r="BJ800" s="484"/>
      <c r="BK800" s="484"/>
      <c r="BL800" s="484"/>
      <c r="BM800" s="484"/>
    </row>
    <row r="801" spans="1:65" s="22" customFormat="1" x14ac:dyDescent="0.25">
      <c r="A801" s="20"/>
      <c r="B801" s="515"/>
      <c r="C801" s="11"/>
      <c r="D801" s="11"/>
      <c r="E801" s="11"/>
      <c r="F801" s="21"/>
      <c r="G801" s="11"/>
      <c r="H801" s="50"/>
      <c r="I801" s="50"/>
      <c r="J801" s="50"/>
      <c r="K801" s="11"/>
      <c r="L801" s="50"/>
      <c r="M801" s="50"/>
      <c r="N801" s="50"/>
      <c r="O801" s="50"/>
      <c r="P801" s="50"/>
      <c r="Q801" s="11"/>
      <c r="R801" s="50"/>
      <c r="S801" s="50"/>
      <c r="T801" s="50"/>
      <c r="U801" s="11"/>
      <c r="V801" s="50"/>
      <c r="W801" s="50"/>
      <c r="X801" s="50"/>
      <c r="Y801" s="50"/>
      <c r="Z801" s="50"/>
      <c r="AA801" s="11"/>
      <c r="AB801" s="50"/>
      <c r="AC801" s="50"/>
      <c r="AD801" s="50"/>
      <c r="AE801" s="11"/>
      <c r="AF801" s="50"/>
      <c r="AG801" s="50"/>
      <c r="AH801" s="50"/>
      <c r="AI801" s="11"/>
      <c r="AJ801" s="50"/>
      <c r="AK801" s="50"/>
      <c r="AL801" s="50"/>
      <c r="AM801" s="11"/>
      <c r="AN801" s="50"/>
      <c r="AO801" s="50"/>
      <c r="AP801" s="50"/>
      <c r="AQ801" s="11"/>
      <c r="AR801" s="50"/>
      <c r="AS801" s="50"/>
      <c r="AT801" s="50"/>
      <c r="AU801" s="11"/>
      <c r="AV801" s="50"/>
      <c r="AW801" s="50"/>
      <c r="AX801" s="50"/>
      <c r="AY801" s="50"/>
      <c r="AZ801" s="50"/>
      <c r="BA801" s="50"/>
      <c r="BB801" s="50"/>
      <c r="BC801" s="50"/>
      <c r="BD801" s="50"/>
      <c r="BE801" s="20"/>
      <c r="BF801" s="518"/>
      <c r="BG801" s="484"/>
      <c r="BH801" s="484"/>
      <c r="BI801" s="527"/>
      <c r="BJ801" s="484"/>
      <c r="BK801" s="484"/>
      <c r="BL801" s="484"/>
      <c r="BM801" s="484"/>
    </row>
    <row r="802" spans="1:65" s="22" customFormat="1" x14ac:dyDescent="0.25">
      <c r="A802" s="20"/>
      <c r="B802" s="515"/>
      <c r="C802" s="11"/>
      <c r="D802" s="11"/>
      <c r="E802" s="11"/>
      <c r="F802" s="21"/>
      <c r="G802" s="11"/>
      <c r="H802" s="50"/>
      <c r="I802" s="50"/>
      <c r="J802" s="50"/>
      <c r="K802" s="11"/>
      <c r="L802" s="50"/>
      <c r="M802" s="50"/>
      <c r="N802" s="50"/>
      <c r="O802" s="50"/>
      <c r="P802" s="50"/>
      <c r="Q802" s="11"/>
      <c r="R802" s="50"/>
      <c r="S802" s="50"/>
      <c r="T802" s="50"/>
      <c r="U802" s="11"/>
      <c r="V802" s="50"/>
      <c r="W802" s="50"/>
      <c r="X802" s="50"/>
      <c r="Y802" s="50"/>
      <c r="Z802" s="50"/>
      <c r="AA802" s="11"/>
      <c r="AB802" s="50"/>
      <c r="AC802" s="50"/>
      <c r="AD802" s="50"/>
      <c r="AE802" s="11"/>
      <c r="AF802" s="50"/>
      <c r="AG802" s="50"/>
      <c r="AH802" s="50"/>
      <c r="AI802" s="11"/>
      <c r="AJ802" s="50"/>
      <c r="AK802" s="50"/>
      <c r="AL802" s="50"/>
      <c r="AM802" s="11"/>
      <c r="AN802" s="50"/>
      <c r="AO802" s="50"/>
      <c r="AP802" s="50"/>
      <c r="AQ802" s="11"/>
      <c r="AR802" s="50"/>
      <c r="AS802" s="50"/>
      <c r="AT802" s="50"/>
      <c r="AU802" s="11"/>
      <c r="AV802" s="50"/>
      <c r="AW802" s="50"/>
      <c r="AX802" s="50"/>
      <c r="AY802" s="50"/>
      <c r="AZ802" s="50"/>
      <c r="BA802" s="50"/>
      <c r="BB802" s="50"/>
      <c r="BC802" s="50"/>
      <c r="BD802" s="50"/>
      <c r="BE802" s="20"/>
      <c r="BF802" s="518"/>
      <c r="BG802" s="484"/>
      <c r="BH802" s="484"/>
      <c r="BI802" s="527"/>
      <c r="BJ802" s="484"/>
      <c r="BK802" s="484"/>
      <c r="BL802" s="484"/>
      <c r="BM802" s="484"/>
    </row>
    <row r="803" spans="1:65" s="22" customFormat="1" x14ac:dyDescent="0.25">
      <c r="A803" s="20"/>
      <c r="B803" s="515"/>
      <c r="C803" s="11"/>
      <c r="D803" s="11"/>
      <c r="E803" s="11"/>
      <c r="F803" s="21"/>
      <c r="G803" s="11"/>
      <c r="H803" s="50"/>
      <c r="I803" s="50"/>
      <c r="J803" s="50"/>
      <c r="K803" s="11"/>
      <c r="L803" s="50"/>
      <c r="M803" s="50"/>
      <c r="N803" s="50"/>
      <c r="O803" s="50"/>
      <c r="P803" s="50"/>
      <c r="Q803" s="11"/>
      <c r="R803" s="50"/>
      <c r="S803" s="50"/>
      <c r="T803" s="50"/>
      <c r="U803" s="11"/>
      <c r="V803" s="50"/>
      <c r="W803" s="50"/>
      <c r="X803" s="50"/>
      <c r="Y803" s="50"/>
      <c r="Z803" s="50"/>
      <c r="AA803" s="11"/>
      <c r="AB803" s="50"/>
      <c r="AC803" s="50"/>
      <c r="AD803" s="50"/>
      <c r="AE803" s="11"/>
      <c r="AF803" s="50"/>
      <c r="AG803" s="50"/>
      <c r="AH803" s="50"/>
      <c r="AI803" s="11"/>
      <c r="AJ803" s="50"/>
      <c r="AK803" s="50"/>
      <c r="AL803" s="50"/>
      <c r="AM803" s="11"/>
      <c r="AN803" s="50"/>
      <c r="AO803" s="50"/>
      <c r="AP803" s="50"/>
      <c r="AQ803" s="11"/>
      <c r="AR803" s="50"/>
      <c r="AS803" s="50"/>
      <c r="AT803" s="50"/>
      <c r="AU803" s="11"/>
      <c r="AV803" s="50"/>
      <c r="AW803" s="50"/>
      <c r="AX803" s="50"/>
      <c r="AY803" s="50"/>
      <c r="AZ803" s="50"/>
      <c r="BA803" s="50"/>
      <c r="BB803" s="50"/>
      <c r="BC803" s="50"/>
      <c r="BD803" s="50"/>
      <c r="BE803" s="20"/>
      <c r="BF803" s="518"/>
      <c r="BG803" s="484"/>
      <c r="BH803" s="484"/>
      <c r="BI803" s="527"/>
      <c r="BJ803" s="484"/>
      <c r="BK803" s="484"/>
      <c r="BL803" s="484"/>
      <c r="BM803" s="484"/>
    </row>
    <row r="804" spans="1:65" s="22" customFormat="1" x14ac:dyDescent="0.25">
      <c r="A804" s="20"/>
      <c r="B804" s="515"/>
      <c r="C804" s="11"/>
      <c r="D804" s="11"/>
      <c r="E804" s="11"/>
      <c r="F804" s="21"/>
      <c r="G804" s="11"/>
      <c r="H804" s="50"/>
      <c r="I804" s="50"/>
      <c r="J804" s="50"/>
      <c r="K804" s="11"/>
      <c r="L804" s="50"/>
      <c r="M804" s="50"/>
      <c r="N804" s="50"/>
      <c r="O804" s="50"/>
      <c r="P804" s="50"/>
      <c r="Q804" s="11"/>
      <c r="R804" s="50"/>
      <c r="S804" s="50"/>
      <c r="T804" s="50"/>
      <c r="U804" s="11"/>
      <c r="V804" s="50"/>
      <c r="W804" s="50"/>
      <c r="X804" s="50"/>
      <c r="Y804" s="50"/>
      <c r="Z804" s="50"/>
      <c r="AA804" s="11"/>
      <c r="AB804" s="50"/>
      <c r="AC804" s="50"/>
      <c r="AD804" s="50"/>
      <c r="AE804" s="11"/>
      <c r="AF804" s="50"/>
      <c r="AG804" s="50"/>
      <c r="AH804" s="50"/>
      <c r="AI804" s="11"/>
      <c r="AJ804" s="50"/>
      <c r="AK804" s="50"/>
      <c r="AL804" s="50"/>
      <c r="AM804" s="11"/>
      <c r="AN804" s="50"/>
      <c r="AO804" s="50"/>
      <c r="AP804" s="50"/>
      <c r="AQ804" s="11"/>
      <c r="AR804" s="50"/>
      <c r="AS804" s="50"/>
      <c r="AT804" s="50"/>
      <c r="AU804" s="11"/>
      <c r="AV804" s="50"/>
      <c r="AW804" s="50"/>
      <c r="AX804" s="50"/>
      <c r="AY804" s="50"/>
      <c r="AZ804" s="50"/>
      <c r="BA804" s="50"/>
      <c r="BB804" s="50"/>
      <c r="BC804" s="50"/>
      <c r="BD804" s="50"/>
      <c r="BE804" s="20"/>
      <c r="BF804" s="518"/>
      <c r="BG804" s="484"/>
      <c r="BH804" s="484"/>
      <c r="BI804" s="527"/>
      <c r="BJ804" s="484"/>
      <c r="BK804" s="484"/>
      <c r="BL804" s="484"/>
      <c r="BM804" s="484"/>
    </row>
    <row r="805" spans="1:65" s="22" customFormat="1" x14ac:dyDescent="0.25">
      <c r="A805" s="20"/>
      <c r="B805" s="515"/>
      <c r="C805" s="11"/>
      <c r="D805" s="11"/>
      <c r="E805" s="11"/>
      <c r="F805" s="21"/>
      <c r="G805" s="11"/>
      <c r="H805" s="50"/>
      <c r="I805" s="50"/>
      <c r="J805" s="50"/>
      <c r="K805" s="11"/>
      <c r="L805" s="50"/>
      <c r="M805" s="50"/>
      <c r="N805" s="50"/>
      <c r="O805" s="50"/>
      <c r="P805" s="50"/>
      <c r="Q805" s="11"/>
      <c r="R805" s="50"/>
      <c r="S805" s="50"/>
      <c r="T805" s="50"/>
      <c r="U805" s="11"/>
      <c r="V805" s="50"/>
      <c r="W805" s="50"/>
      <c r="X805" s="50"/>
      <c r="Y805" s="50"/>
      <c r="Z805" s="50"/>
      <c r="AA805" s="11"/>
      <c r="AB805" s="50"/>
      <c r="AC805" s="50"/>
      <c r="AD805" s="50"/>
      <c r="AE805" s="11"/>
      <c r="AF805" s="50"/>
      <c r="AG805" s="50"/>
      <c r="AH805" s="50"/>
      <c r="AI805" s="11"/>
      <c r="AJ805" s="50"/>
      <c r="AK805" s="50"/>
      <c r="AL805" s="50"/>
      <c r="AM805" s="11"/>
      <c r="AN805" s="50"/>
      <c r="AO805" s="50"/>
      <c r="AP805" s="50"/>
      <c r="AQ805" s="11"/>
      <c r="AR805" s="50"/>
      <c r="AS805" s="50"/>
      <c r="AT805" s="50"/>
      <c r="AU805" s="11"/>
      <c r="AV805" s="50"/>
      <c r="AW805" s="50"/>
      <c r="AX805" s="50"/>
      <c r="AY805" s="50"/>
      <c r="AZ805" s="50"/>
      <c r="BA805" s="50"/>
      <c r="BB805" s="50"/>
      <c r="BC805" s="50"/>
      <c r="BD805" s="50"/>
      <c r="BE805" s="20"/>
      <c r="BF805" s="518"/>
      <c r="BG805" s="484"/>
      <c r="BH805" s="484"/>
      <c r="BI805" s="527"/>
      <c r="BJ805" s="484"/>
      <c r="BK805" s="484"/>
      <c r="BL805" s="484"/>
      <c r="BM805" s="484"/>
    </row>
    <row r="806" spans="1:65" s="22" customFormat="1" x14ac:dyDescent="0.25">
      <c r="A806" s="20"/>
      <c r="B806" s="515"/>
      <c r="C806" s="11"/>
      <c r="D806" s="11"/>
      <c r="E806" s="11"/>
      <c r="F806" s="21"/>
      <c r="G806" s="11"/>
      <c r="H806" s="50"/>
      <c r="I806" s="50"/>
      <c r="J806" s="50"/>
      <c r="K806" s="11"/>
      <c r="L806" s="50"/>
      <c r="M806" s="50"/>
      <c r="N806" s="50"/>
      <c r="O806" s="50"/>
      <c r="P806" s="50"/>
      <c r="Q806" s="11"/>
      <c r="R806" s="50"/>
      <c r="S806" s="50"/>
      <c r="T806" s="50"/>
      <c r="U806" s="11"/>
      <c r="V806" s="50"/>
      <c r="W806" s="50"/>
      <c r="X806" s="50"/>
      <c r="Y806" s="50"/>
      <c r="Z806" s="50"/>
      <c r="AA806" s="11"/>
      <c r="AB806" s="50"/>
      <c r="AC806" s="50"/>
      <c r="AD806" s="50"/>
      <c r="AE806" s="11"/>
      <c r="AF806" s="50"/>
      <c r="AG806" s="50"/>
      <c r="AH806" s="50"/>
      <c r="AI806" s="11"/>
      <c r="AJ806" s="50"/>
      <c r="AK806" s="50"/>
      <c r="AL806" s="50"/>
      <c r="AM806" s="11"/>
      <c r="AN806" s="50"/>
      <c r="AO806" s="50"/>
      <c r="AP806" s="50"/>
      <c r="AQ806" s="11"/>
      <c r="AR806" s="50"/>
      <c r="AS806" s="50"/>
      <c r="AT806" s="50"/>
      <c r="AU806" s="11"/>
      <c r="AV806" s="50"/>
      <c r="AW806" s="50"/>
      <c r="AX806" s="50"/>
      <c r="AY806" s="50"/>
      <c r="AZ806" s="50"/>
      <c r="BA806" s="50"/>
      <c r="BB806" s="50"/>
      <c r="BC806" s="50"/>
      <c r="BD806" s="50"/>
      <c r="BE806" s="20"/>
      <c r="BF806" s="518"/>
      <c r="BG806" s="484"/>
      <c r="BH806" s="484"/>
      <c r="BI806" s="527"/>
      <c r="BJ806" s="484"/>
      <c r="BK806" s="484"/>
      <c r="BL806" s="484"/>
      <c r="BM806" s="484"/>
    </row>
    <row r="807" spans="1:65" s="22" customFormat="1" x14ac:dyDescent="0.25">
      <c r="A807" s="20"/>
      <c r="B807" s="515"/>
      <c r="C807" s="11"/>
      <c r="D807" s="11"/>
      <c r="E807" s="11"/>
      <c r="F807" s="21"/>
      <c r="G807" s="11"/>
      <c r="H807" s="50"/>
      <c r="I807" s="50"/>
      <c r="J807" s="50"/>
      <c r="K807" s="11"/>
      <c r="L807" s="50"/>
      <c r="M807" s="50"/>
      <c r="N807" s="50"/>
      <c r="O807" s="50"/>
      <c r="P807" s="50"/>
      <c r="Q807" s="11"/>
      <c r="R807" s="50"/>
      <c r="S807" s="50"/>
      <c r="T807" s="50"/>
      <c r="U807" s="11"/>
      <c r="V807" s="50"/>
      <c r="W807" s="50"/>
      <c r="X807" s="50"/>
      <c r="Y807" s="50"/>
      <c r="Z807" s="50"/>
      <c r="AA807" s="11"/>
      <c r="AB807" s="50"/>
      <c r="AC807" s="50"/>
      <c r="AD807" s="50"/>
      <c r="AE807" s="11"/>
      <c r="AF807" s="50"/>
      <c r="AG807" s="50"/>
      <c r="AH807" s="50"/>
      <c r="AI807" s="11"/>
      <c r="AJ807" s="50"/>
      <c r="AK807" s="50"/>
      <c r="AL807" s="50"/>
      <c r="AM807" s="11"/>
      <c r="AN807" s="50"/>
      <c r="AO807" s="50"/>
      <c r="AP807" s="50"/>
      <c r="AQ807" s="11"/>
      <c r="AR807" s="50"/>
      <c r="AS807" s="50"/>
      <c r="AT807" s="50"/>
      <c r="AU807" s="11"/>
      <c r="AV807" s="50"/>
      <c r="AW807" s="50"/>
      <c r="AX807" s="50"/>
      <c r="AY807" s="50"/>
      <c r="AZ807" s="50"/>
      <c r="BA807" s="50"/>
      <c r="BB807" s="50"/>
      <c r="BC807" s="50"/>
      <c r="BD807" s="50"/>
      <c r="BE807" s="20"/>
      <c r="BF807" s="518"/>
      <c r="BG807" s="484"/>
      <c r="BH807" s="484"/>
      <c r="BI807" s="527"/>
      <c r="BJ807" s="484"/>
      <c r="BK807" s="484"/>
      <c r="BL807" s="484"/>
      <c r="BM807" s="484"/>
    </row>
    <row r="808" spans="1:65" s="22" customFormat="1" x14ac:dyDescent="0.25">
      <c r="A808" s="20"/>
      <c r="B808" s="515"/>
      <c r="C808" s="11"/>
      <c r="D808" s="11"/>
      <c r="E808" s="11"/>
      <c r="F808" s="21"/>
      <c r="G808" s="11"/>
      <c r="H808" s="50"/>
      <c r="I808" s="50"/>
      <c r="J808" s="50"/>
      <c r="K808" s="11"/>
      <c r="L808" s="50"/>
      <c r="M808" s="50"/>
      <c r="N808" s="50"/>
      <c r="O808" s="50"/>
      <c r="P808" s="50"/>
      <c r="Q808" s="11"/>
      <c r="R808" s="50"/>
      <c r="S808" s="50"/>
      <c r="T808" s="50"/>
      <c r="U808" s="11"/>
      <c r="V808" s="50"/>
      <c r="W808" s="50"/>
      <c r="X808" s="50"/>
      <c r="Y808" s="50"/>
      <c r="Z808" s="50"/>
      <c r="AA808" s="11"/>
      <c r="AB808" s="50"/>
      <c r="AC808" s="50"/>
      <c r="AD808" s="50"/>
      <c r="AE808" s="11"/>
      <c r="AF808" s="50"/>
      <c r="AG808" s="50"/>
      <c r="AH808" s="50"/>
      <c r="AI808" s="11"/>
      <c r="AJ808" s="50"/>
      <c r="AK808" s="50"/>
      <c r="AL808" s="50"/>
      <c r="AM808" s="11"/>
      <c r="AN808" s="50"/>
      <c r="AO808" s="50"/>
      <c r="AP808" s="50"/>
      <c r="AQ808" s="11"/>
      <c r="AR808" s="50"/>
      <c r="AS808" s="50"/>
      <c r="AT808" s="50"/>
      <c r="AU808" s="11"/>
      <c r="AV808" s="50"/>
      <c r="AW808" s="50"/>
      <c r="AX808" s="50"/>
      <c r="AY808" s="50"/>
      <c r="AZ808" s="50"/>
      <c r="BA808" s="50"/>
      <c r="BB808" s="50"/>
      <c r="BC808" s="50"/>
      <c r="BD808" s="50"/>
      <c r="BE808" s="20"/>
      <c r="BF808" s="518"/>
      <c r="BG808" s="484"/>
      <c r="BH808" s="484"/>
      <c r="BI808" s="527"/>
      <c r="BJ808" s="484"/>
      <c r="BK808" s="484"/>
      <c r="BL808" s="484"/>
      <c r="BM808" s="484"/>
    </row>
    <row r="809" spans="1:65" s="22" customFormat="1" x14ac:dyDescent="0.25">
      <c r="A809" s="20"/>
      <c r="B809" s="515"/>
      <c r="C809" s="11"/>
      <c r="D809" s="11"/>
      <c r="E809" s="11"/>
      <c r="F809" s="21"/>
      <c r="G809" s="11"/>
      <c r="H809" s="50"/>
      <c r="I809" s="50"/>
      <c r="J809" s="50"/>
      <c r="K809" s="11"/>
      <c r="L809" s="50"/>
      <c r="M809" s="50"/>
      <c r="N809" s="50"/>
      <c r="O809" s="50"/>
      <c r="P809" s="50"/>
      <c r="Q809" s="11"/>
      <c r="R809" s="50"/>
      <c r="S809" s="50"/>
      <c r="T809" s="50"/>
      <c r="U809" s="11"/>
      <c r="V809" s="50"/>
      <c r="W809" s="50"/>
      <c r="X809" s="50"/>
      <c r="Y809" s="50"/>
      <c r="Z809" s="50"/>
      <c r="AA809" s="11"/>
      <c r="AB809" s="50"/>
      <c r="AC809" s="50"/>
      <c r="AD809" s="50"/>
      <c r="AE809" s="11"/>
      <c r="AF809" s="50"/>
      <c r="AG809" s="50"/>
      <c r="AH809" s="50"/>
      <c r="AI809" s="11"/>
      <c r="AJ809" s="50"/>
      <c r="AK809" s="50"/>
      <c r="AL809" s="50"/>
      <c r="AM809" s="11"/>
      <c r="AN809" s="50"/>
      <c r="AO809" s="50"/>
      <c r="AP809" s="50"/>
      <c r="AQ809" s="11"/>
      <c r="AR809" s="50"/>
      <c r="AS809" s="50"/>
      <c r="AT809" s="50"/>
      <c r="AU809" s="11"/>
      <c r="AV809" s="50"/>
      <c r="AW809" s="50"/>
      <c r="AX809" s="50"/>
      <c r="AY809" s="50"/>
      <c r="AZ809" s="50"/>
      <c r="BA809" s="50"/>
      <c r="BB809" s="50"/>
      <c r="BC809" s="50"/>
      <c r="BD809" s="50"/>
      <c r="BE809" s="20"/>
      <c r="BF809" s="518"/>
      <c r="BG809" s="484"/>
      <c r="BH809" s="484"/>
      <c r="BI809" s="527"/>
      <c r="BJ809" s="484"/>
      <c r="BK809" s="484"/>
      <c r="BL809" s="484"/>
      <c r="BM809" s="484"/>
    </row>
    <row r="810" spans="1:65" s="22" customFormat="1" x14ac:dyDescent="0.25">
      <c r="A810" s="20"/>
      <c r="B810" s="515"/>
      <c r="C810" s="11"/>
      <c r="D810" s="11"/>
      <c r="E810" s="11"/>
      <c r="F810" s="21"/>
      <c r="G810" s="11"/>
      <c r="H810" s="50"/>
      <c r="I810" s="50"/>
      <c r="J810" s="50"/>
      <c r="K810" s="11"/>
      <c r="L810" s="50"/>
      <c r="M810" s="50"/>
      <c r="N810" s="50"/>
      <c r="O810" s="50"/>
      <c r="P810" s="50"/>
      <c r="Q810" s="11"/>
      <c r="R810" s="50"/>
      <c r="S810" s="50"/>
      <c r="T810" s="50"/>
      <c r="U810" s="11"/>
      <c r="V810" s="50"/>
      <c r="W810" s="50"/>
      <c r="X810" s="50"/>
      <c r="Y810" s="50"/>
      <c r="Z810" s="50"/>
      <c r="AA810" s="11"/>
      <c r="AB810" s="50"/>
      <c r="AC810" s="50"/>
      <c r="AD810" s="50"/>
      <c r="AE810" s="11"/>
      <c r="AF810" s="50"/>
      <c r="AG810" s="50"/>
      <c r="AH810" s="50"/>
      <c r="AI810" s="11"/>
      <c r="AJ810" s="50"/>
      <c r="AK810" s="50"/>
      <c r="AL810" s="50"/>
      <c r="AM810" s="11"/>
      <c r="AN810" s="50"/>
      <c r="AO810" s="50"/>
      <c r="AP810" s="50"/>
      <c r="AQ810" s="11"/>
      <c r="AR810" s="50"/>
      <c r="AS810" s="50"/>
      <c r="AT810" s="50"/>
      <c r="AU810" s="11"/>
      <c r="AV810" s="50"/>
      <c r="AW810" s="50"/>
      <c r="AX810" s="50"/>
      <c r="AY810" s="50"/>
      <c r="AZ810" s="50"/>
      <c r="BA810" s="50"/>
      <c r="BB810" s="50"/>
      <c r="BC810" s="50"/>
      <c r="BD810" s="50"/>
      <c r="BE810" s="20"/>
      <c r="BF810" s="518"/>
      <c r="BG810" s="484"/>
      <c r="BH810" s="484"/>
      <c r="BI810" s="527"/>
      <c r="BJ810" s="484"/>
      <c r="BK810" s="484"/>
      <c r="BL810" s="484"/>
      <c r="BM810" s="484"/>
    </row>
    <row r="811" spans="1:65" s="22" customFormat="1" x14ac:dyDescent="0.25">
      <c r="A811" s="20"/>
      <c r="B811" s="515"/>
      <c r="C811" s="11"/>
      <c r="D811" s="11"/>
      <c r="E811" s="11"/>
      <c r="F811" s="21"/>
      <c r="G811" s="11"/>
      <c r="H811" s="50"/>
      <c r="I811" s="50"/>
      <c r="J811" s="50"/>
      <c r="K811" s="11"/>
      <c r="L811" s="50"/>
      <c r="M811" s="50"/>
      <c r="N811" s="50"/>
      <c r="O811" s="50"/>
      <c r="P811" s="50"/>
      <c r="Q811" s="11"/>
      <c r="R811" s="50"/>
      <c r="S811" s="50"/>
      <c r="T811" s="50"/>
      <c r="U811" s="11"/>
      <c r="V811" s="50"/>
      <c r="W811" s="50"/>
      <c r="X811" s="50"/>
      <c r="Y811" s="50"/>
      <c r="Z811" s="50"/>
      <c r="AA811" s="11"/>
      <c r="AB811" s="50"/>
      <c r="AC811" s="50"/>
      <c r="AD811" s="50"/>
      <c r="AE811" s="11"/>
      <c r="AF811" s="50"/>
      <c r="AG811" s="50"/>
      <c r="AH811" s="50"/>
      <c r="AI811" s="11"/>
      <c r="AJ811" s="50"/>
      <c r="AK811" s="50"/>
      <c r="AL811" s="50"/>
      <c r="AM811" s="11"/>
      <c r="AN811" s="50"/>
      <c r="AO811" s="50"/>
      <c r="AP811" s="50"/>
      <c r="AQ811" s="11"/>
      <c r="AR811" s="50"/>
      <c r="AS811" s="50"/>
      <c r="AT811" s="50"/>
      <c r="AU811" s="11"/>
      <c r="AV811" s="50"/>
      <c r="AW811" s="50"/>
      <c r="AX811" s="50"/>
      <c r="AY811" s="50"/>
      <c r="AZ811" s="50"/>
      <c r="BA811" s="50"/>
      <c r="BB811" s="50"/>
      <c r="BC811" s="50"/>
      <c r="BD811" s="50"/>
      <c r="BE811" s="20"/>
      <c r="BF811" s="518"/>
      <c r="BG811" s="484"/>
      <c r="BH811" s="484"/>
      <c r="BI811" s="527"/>
      <c r="BJ811" s="484"/>
      <c r="BK811" s="484"/>
      <c r="BL811" s="484"/>
      <c r="BM811" s="484"/>
    </row>
    <row r="812" spans="1:65" s="22" customFormat="1" x14ac:dyDescent="0.25">
      <c r="A812" s="20"/>
      <c r="B812" s="515"/>
      <c r="C812" s="11"/>
      <c r="D812" s="11"/>
      <c r="E812" s="11"/>
      <c r="F812" s="21"/>
      <c r="G812" s="11"/>
      <c r="H812" s="50"/>
      <c r="I812" s="50"/>
      <c r="J812" s="50"/>
      <c r="K812" s="11"/>
      <c r="L812" s="50"/>
      <c r="M812" s="50"/>
      <c r="N812" s="50"/>
      <c r="O812" s="50"/>
      <c r="P812" s="50"/>
      <c r="Q812" s="11"/>
      <c r="R812" s="50"/>
      <c r="S812" s="50"/>
      <c r="T812" s="50"/>
      <c r="U812" s="11"/>
      <c r="V812" s="50"/>
      <c r="W812" s="50"/>
      <c r="X812" s="50"/>
      <c r="Y812" s="50"/>
      <c r="Z812" s="50"/>
      <c r="AA812" s="11"/>
      <c r="AB812" s="50"/>
      <c r="AC812" s="50"/>
      <c r="AD812" s="50"/>
      <c r="AE812" s="11"/>
      <c r="AF812" s="50"/>
      <c r="AG812" s="50"/>
      <c r="AH812" s="50"/>
      <c r="AI812" s="11"/>
      <c r="AJ812" s="50"/>
      <c r="AK812" s="50"/>
      <c r="AL812" s="50"/>
      <c r="AM812" s="11"/>
      <c r="AN812" s="50"/>
      <c r="AO812" s="50"/>
      <c r="AP812" s="50"/>
      <c r="AQ812" s="11"/>
      <c r="AR812" s="50"/>
      <c r="AS812" s="50"/>
      <c r="AT812" s="50"/>
      <c r="AU812" s="11"/>
      <c r="AV812" s="50"/>
      <c r="AW812" s="50"/>
      <c r="AX812" s="50"/>
      <c r="AY812" s="50"/>
      <c r="AZ812" s="50"/>
      <c r="BA812" s="50"/>
      <c r="BB812" s="50"/>
      <c r="BC812" s="50"/>
      <c r="BD812" s="50"/>
      <c r="BE812" s="20"/>
      <c r="BF812" s="518"/>
      <c r="BG812" s="484"/>
      <c r="BH812" s="484"/>
      <c r="BI812" s="527"/>
      <c r="BJ812" s="484"/>
      <c r="BK812" s="484"/>
      <c r="BL812" s="484"/>
      <c r="BM812" s="484"/>
    </row>
    <row r="813" spans="1:65" s="22" customFormat="1" x14ac:dyDescent="0.25">
      <c r="A813" s="20"/>
      <c r="B813" s="515"/>
      <c r="C813" s="11"/>
      <c r="D813" s="11"/>
      <c r="E813" s="11"/>
      <c r="F813" s="21"/>
      <c r="G813" s="11"/>
      <c r="H813" s="50"/>
      <c r="I813" s="50"/>
      <c r="J813" s="50"/>
      <c r="K813" s="11"/>
      <c r="L813" s="50"/>
      <c r="M813" s="50"/>
      <c r="N813" s="50"/>
      <c r="O813" s="50"/>
      <c r="P813" s="50"/>
      <c r="Q813" s="11"/>
      <c r="R813" s="50"/>
      <c r="S813" s="50"/>
      <c r="T813" s="50"/>
      <c r="U813" s="11"/>
      <c r="V813" s="50"/>
      <c r="W813" s="50"/>
      <c r="X813" s="50"/>
      <c r="Y813" s="50"/>
      <c r="Z813" s="50"/>
      <c r="AA813" s="11"/>
      <c r="AB813" s="50"/>
      <c r="AC813" s="50"/>
      <c r="AD813" s="50"/>
      <c r="AE813" s="11"/>
      <c r="AF813" s="50"/>
      <c r="AG813" s="50"/>
      <c r="AH813" s="50"/>
      <c r="AI813" s="11"/>
      <c r="AJ813" s="50"/>
      <c r="AK813" s="50"/>
      <c r="AL813" s="50"/>
      <c r="AM813" s="11"/>
      <c r="AN813" s="50"/>
      <c r="AO813" s="50"/>
      <c r="AP813" s="50"/>
      <c r="AQ813" s="11"/>
      <c r="AR813" s="50"/>
      <c r="AS813" s="50"/>
      <c r="AT813" s="50"/>
      <c r="AU813" s="11"/>
      <c r="AV813" s="50"/>
      <c r="AW813" s="50"/>
      <c r="AX813" s="50"/>
      <c r="AY813" s="50"/>
      <c r="AZ813" s="50"/>
      <c r="BA813" s="50"/>
      <c r="BB813" s="50"/>
      <c r="BC813" s="50"/>
      <c r="BD813" s="50"/>
      <c r="BE813" s="20"/>
      <c r="BF813" s="518"/>
      <c r="BG813" s="484"/>
      <c r="BH813" s="484"/>
      <c r="BI813" s="527"/>
      <c r="BJ813" s="484"/>
      <c r="BK813" s="484"/>
      <c r="BL813" s="484"/>
      <c r="BM813" s="484"/>
    </row>
    <row r="814" spans="1:65" s="22" customFormat="1" x14ac:dyDescent="0.25">
      <c r="A814" s="20"/>
      <c r="B814" s="515"/>
      <c r="C814" s="11"/>
      <c r="D814" s="11"/>
      <c r="E814" s="11"/>
      <c r="F814" s="21"/>
      <c r="G814" s="11"/>
      <c r="H814" s="50"/>
      <c r="I814" s="50"/>
      <c r="J814" s="50"/>
      <c r="K814" s="11"/>
      <c r="L814" s="50"/>
      <c r="M814" s="50"/>
      <c r="N814" s="50"/>
      <c r="O814" s="50"/>
      <c r="P814" s="50"/>
      <c r="Q814" s="11"/>
      <c r="R814" s="50"/>
      <c r="S814" s="50"/>
      <c r="T814" s="50"/>
      <c r="U814" s="11"/>
      <c r="V814" s="50"/>
      <c r="W814" s="50"/>
      <c r="X814" s="50"/>
      <c r="Y814" s="50"/>
      <c r="Z814" s="50"/>
      <c r="AA814" s="11"/>
      <c r="AB814" s="50"/>
      <c r="AC814" s="50"/>
      <c r="AD814" s="50"/>
      <c r="AE814" s="11"/>
      <c r="AF814" s="50"/>
      <c r="AG814" s="50"/>
      <c r="AH814" s="50"/>
      <c r="AI814" s="11"/>
      <c r="AJ814" s="50"/>
      <c r="AK814" s="50"/>
      <c r="AL814" s="50"/>
      <c r="AM814" s="11"/>
      <c r="AN814" s="50"/>
      <c r="AO814" s="50"/>
      <c r="AP814" s="50"/>
      <c r="AQ814" s="11"/>
      <c r="AR814" s="50"/>
      <c r="AS814" s="50"/>
      <c r="AT814" s="50"/>
      <c r="AU814" s="11"/>
      <c r="AV814" s="50"/>
      <c r="AW814" s="50"/>
      <c r="AX814" s="50"/>
      <c r="AY814" s="50"/>
      <c r="AZ814" s="50"/>
      <c r="BA814" s="50"/>
      <c r="BB814" s="50"/>
      <c r="BC814" s="50"/>
      <c r="BD814" s="50"/>
      <c r="BE814" s="20"/>
      <c r="BF814" s="518"/>
      <c r="BG814" s="484"/>
      <c r="BH814" s="484"/>
      <c r="BI814" s="527"/>
      <c r="BJ814" s="484"/>
      <c r="BK814" s="484"/>
      <c r="BL814" s="484"/>
      <c r="BM814" s="484"/>
    </row>
    <row r="815" spans="1:65" s="22" customFormat="1" x14ac:dyDescent="0.25">
      <c r="A815" s="20"/>
      <c r="B815" s="515"/>
      <c r="C815" s="11"/>
      <c r="D815" s="11"/>
      <c r="E815" s="11"/>
      <c r="F815" s="21"/>
      <c r="G815" s="11"/>
      <c r="H815" s="50"/>
      <c r="I815" s="50"/>
      <c r="J815" s="50"/>
      <c r="K815" s="11"/>
      <c r="L815" s="50"/>
      <c r="M815" s="50"/>
      <c r="N815" s="50"/>
      <c r="O815" s="50"/>
      <c r="P815" s="50"/>
      <c r="Q815" s="11"/>
      <c r="R815" s="50"/>
      <c r="S815" s="50"/>
      <c r="T815" s="50"/>
      <c r="U815" s="11"/>
      <c r="V815" s="50"/>
      <c r="W815" s="50"/>
      <c r="X815" s="50"/>
      <c r="Y815" s="50"/>
      <c r="Z815" s="50"/>
      <c r="AA815" s="11"/>
      <c r="AB815" s="50"/>
      <c r="AC815" s="50"/>
      <c r="AD815" s="50"/>
      <c r="AE815" s="11"/>
      <c r="AF815" s="50"/>
      <c r="AG815" s="50"/>
      <c r="AH815" s="50"/>
      <c r="AI815" s="11"/>
      <c r="AJ815" s="50"/>
      <c r="AK815" s="50"/>
      <c r="AL815" s="50"/>
      <c r="AM815" s="11"/>
      <c r="AN815" s="50"/>
      <c r="AO815" s="50"/>
      <c r="AP815" s="50"/>
      <c r="AQ815" s="11"/>
      <c r="AR815" s="50"/>
      <c r="AS815" s="50"/>
      <c r="AT815" s="50"/>
      <c r="AU815" s="11"/>
      <c r="AV815" s="50"/>
      <c r="AW815" s="50"/>
      <c r="AX815" s="50"/>
      <c r="AY815" s="50"/>
      <c r="AZ815" s="50"/>
      <c r="BA815" s="50"/>
      <c r="BB815" s="50"/>
      <c r="BC815" s="50"/>
      <c r="BD815" s="50"/>
      <c r="BE815" s="20"/>
      <c r="BF815" s="518"/>
      <c r="BG815" s="484"/>
      <c r="BH815" s="484"/>
      <c r="BI815" s="527"/>
      <c r="BJ815" s="484"/>
      <c r="BK815" s="484"/>
      <c r="BL815" s="484"/>
      <c r="BM815" s="484"/>
    </row>
    <row r="816" spans="1:65" s="22" customFormat="1" x14ac:dyDescent="0.25">
      <c r="A816" s="20"/>
      <c r="B816" s="515"/>
      <c r="C816" s="11"/>
      <c r="D816" s="11"/>
      <c r="E816" s="11"/>
      <c r="F816" s="21"/>
      <c r="G816" s="11"/>
      <c r="H816" s="50"/>
      <c r="I816" s="50"/>
      <c r="J816" s="50"/>
      <c r="K816" s="11"/>
      <c r="L816" s="50"/>
      <c r="M816" s="50"/>
      <c r="N816" s="50"/>
      <c r="O816" s="50"/>
      <c r="P816" s="50"/>
      <c r="Q816" s="11"/>
      <c r="R816" s="50"/>
      <c r="S816" s="50"/>
      <c r="T816" s="50"/>
      <c r="U816" s="11"/>
      <c r="V816" s="50"/>
      <c r="W816" s="50"/>
      <c r="X816" s="50"/>
      <c r="Y816" s="50"/>
      <c r="Z816" s="50"/>
      <c r="AA816" s="11"/>
      <c r="AB816" s="50"/>
      <c r="AC816" s="50"/>
      <c r="AD816" s="50"/>
      <c r="AE816" s="11"/>
      <c r="AF816" s="50"/>
      <c r="AG816" s="50"/>
      <c r="AH816" s="50"/>
      <c r="AI816" s="11"/>
      <c r="AJ816" s="50"/>
      <c r="AK816" s="50"/>
      <c r="AL816" s="50"/>
      <c r="AM816" s="11"/>
      <c r="AN816" s="50"/>
      <c r="AO816" s="50"/>
      <c r="AP816" s="50"/>
      <c r="AQ816" s="11"/>
      <c r="AR816" s="50"/>
      <c r="AS816" s="50"/>
      <c r="AT816" s="50"/>
      <c r="AU816" s="11"/>
      <c r="AV816" s="50"/>
      <c r="AW816" s="50"/>
      <c r="AX816" s="50"/>
      <c r="AY816" s="50"/>
      <c r="AZ816" s="50"/>
      <c r="BA816" s="50"/>
      <c r="BB816" s="50"/>
      <c r="BC816" s="50"/>
      <c r="BD816" s="50"/>
      <c r="BE816" s="20"/>
      <c r="BF816" s="518"/>
      <c r="BG816" s="484"/>
      <c r="BH816" s="484"/>
      <c r="BI816" s="527"/>
      <c r="BJ816" s="484"/>
      <c r="BK816" s="484"/>
      <c r="BL816" s="484"/>
      <c r="BM816" s="484"/>
    </row>
    <row r="817" spans="1:65" s="22" customFormat="1" x14ac:dyDescent="0.25">
      <c r="A817" s="20"/>
      <c r="B817" s="515"/>
      <c r="C817" s="11"/>
      <c r="D817" s="11"/>
      <c r="E817" s="11"/>
      <c r="F817" s="21"/>
      <c r="G817" s="11"/>
      <c r="H817" s="50"/>
      <c r="I817" s="50"/>
      <c r="J817" s="50"/>
      <c r="K817" s="11"/>
      <c r="L817" s="50"/>
      <c r="M817" s="50"/>
      <c r="N817" s="50"/>
      <c r="O817" s="50"/>
      <c r="P817" s="50"/>
      <c r="Q817" s="11"/>
      <c r="R817" s="50"/>
      <c r="S817" s="50"/>
      <c r="T817" s="50"/>
      <c r="U817" s="11"/>
      <c r="V817" s="50"/>
      <c r="W817" s="50"/>
      <c r="X817" s="50"/>
      <c r="Y817" s="50"/>
      <c r="Z817" s="50"/>
      <c r="AA817" s="11"/>
      <c r="AB817" s="50"/>
      <c r="AC817" s="50"/>
      <c r="AD817" s="50"/>
      <c r="AE817" s="11"/>
      <c r="AF817" s="50"/>
      <c r="AG817" s="50"/>
      <c r="AH817" s="50"/>
      <c r="AI817" s="11"/>
      <c r="AJ817" s="50"/>
      <c r="AK817" s="50"/>
      <c r="AL817" s="50"/>
      <c r="AM817" s="11"/>
      <c r="AN817" s="50"/>
      <c r="AO817" s="50"/>
      <c r="AP817" s="50"/>
      <c r="AQ817" s="11"/>
      <c r="AR817" s="50"/>
      <c r="AS817" s="50"/>
      <c r="AT817" s="50"/>
      <c r="AU817" s="11"/>
      <c r="AV817" s="50"/>
      <c r="AW817" s="50"/>
      <c r="AX817" s="50"/>
      <c r="AY817" s="50"/>
      <c r="AZ817" s="50"/>
      <c r="BA817" s="50"/>
      <c r="BB817" s="50"/>
      <c r="BC817" s="50"/>
      <c r="BD817" s="50"/>
      <c r="BE817" s="20"/>
      <c r="BF817" s="518"/>
      <c r="BG817" s="484"/>
      <c r="BH817" s="484"/>
      <c r="BI817" s="527"/>
      <c r="BJ817" s="484"/>
      <c r="BK817" s="484"/>
      <c r="BL817" s="484"/>
      <c r="BM817" s="484"/>
    </row>
    <row r="818" spans="1:65" s="22" customFormat="1" x14ac:dyDescent="0.25">
      <c r="A818" s="20"/>
      <c r="B818" s="515"/>
      <c r="C818" s="11"/>
      <c r="D818" s="11"/>
      <c r="E818" s="11"/>
      <c r="F818" s="21"/>
      <c r="G818" s="11"/>
      <c r="H818" s="50"/>
      <c r="I818" s="50"/>
      <c r="J818" s="50"/>
      <c r="K818" s="11"/>
      <c r="L818" s="50"/>
      <c r="M818" s="50"/>
      <c r="N818" s="50"/>
      <c r="O818" s="50"/>
      <c r="P818" s="50"/>
      <c r="Q818" s="11"/>
      <c r="R818" s="50"/>
      <c r="S818" s="50"/>
      <c r="T818" s="50"/>
      <c r="U818" s="11"/>
      <c r="V818" s="50"/>
      <c r="W818" s="50"/>
      <c r="X818" s="50"/>
      <c r="Y818" s="50"/>
      <c r="Z818" s="50"/>
      <c r="AA818" s="11"/>
      <c r="AB818" s="50"/>
      <c r="AC818" s="50"/>
      <c r="AD818" s="50"/>
      <c r="AE818" s="11"/>
      <c r="AF818" s="50"/>
      <c r="AG818" s="50"/>
      <c r="AH818" s="50"/>
      <c r="AI818" s="11"/>
      <c r="AJ818" s="50"/>
      <c r="AK818" s="50"/>
      <c r="AL818" s="50"/>
      <c r="AM818" s="11"/>
      <c r="AN818" s="50"/>
      <c r="AO818" s="50"/>
      <c r="AP818" s="50"/>
      <c r="AQ818" s="11"/>
      <c r="AR818" s="50"/>
      <c r="AS818" s="50"/>
      <c r="AT818" s="50"/>
      <c r="AU818" s="11"/>
      <c r="AV818" s="50"/>
      <c r="AW818" s="50"/>
      <c r="AX818" s="50"/>
      <c r="AY818" s="50"/>
      <c r="AZ818" s="50"/>
      <c r="BA818" s="50"/>
      <c r="BB818" s="50"/>
      <c r="BC818" s="50"/>
      <c r="BD818" s="50"/>
      <c r="BE818" s="20"/>
      <c r="BF818" s="518"/>
      <c r="BG818" s="484"/>
      <c r="BH818" s="484"/>
      <c r="BI818" s="527"/>
      <c r="BJ818" s="484"/>
      <c r="BK818" s="484"/>
      <c r="BL818" s="484"/>
      <c r="BM818" s="484"/>
    </row>
    <row r="819" spans="1:65" s="22" customFormat="1" x14ac:dyDescent="0.25">
      <c r="A819" s="20"/>
      <c r="B819" s="515"/>
      <c r="C819" s="11"/>
      <c r="D819" s="11"/>
      <c r="E819" s="11"/>
      <c r="F819" s="21"/>
      <c r="G819" s="11"/>
      <c r="H819" s="50"/>
      <c r="I819" s="50"/>
      <c r="J819" s="50"/>
      <c r="K819" s="11"/>
      <c r="L819" s="50"/>
      <c r="M819" s="50"/>
      <c r="N819" s="50"/>
      <c r="O819" s="50"/>
      <c r="P819" s="50"/>
      <c r="Q819" s="11"/>
      <c r="R819" s="50"/>
      <c r="S819" s="50"/>
      <c r="T819" s="50"/>
      <c r="U819" s="11"/>
      <c r="V819" s="50"/>
      <c r="W819" s="50"/>
      <c r="X819" s="50"/>
      <c r="Y819" s="50"/>
      <c r="Z819" s="50"/>
      <c r="AA819" s="11"/>
      <c r="AB819" s="50"/>
      <c r="AC819" s="50"/>
      <c r="AD819" s="50"/>
      <c r="AE819" s="11"/>
      <c r="AF819" s="50"/>
      <c r="AG819" s="50"/>
      <c r="AH819" s="50"/>
      <c r="AI819" s="11"/>
      <c r="AJ819" s="50"/>
      <c r="AK819" s="50"/>
      <c r="AL819" s="50"/>
      <c r="AM819" s="11"/>
      <c r="AN819" s="50"/>
      <c r="AO819" s="50"/>
      <c r="AP819" s="50"/>
      <c r="AQ819" s="11"/>
      <c r="AR819" s="50"/>
      <c r="AS819" s="50"/>
      <c r="AT819" s="50"/>
      <c r="AU819" s="11"/>
      <c r="AV819" s="50"/>
      <c r="AW819" s="50"/>
      <c r="AX819" s="50"/>
      <c r="AY819" s="50"/>
      <c r="AZ819" s="50"/>
      <c r="BA819" s="50"/>
      <c r="BB819" s="50"/>
      <c r="BC819" s="50"/>
      <c r="BD819" s="50"/>
      <c r="BE819" s="20"/>
      <c r="BF819" s="518"/>
      <c r="BG819" s="484"/>
      <c r="BH819" s="484"/>
      <c r="BI819" s="527"/>
      <c r="BJ819" s="484"/>
      <c r="BK819" s="484"/>
      <c r="BL819" s="484"/>
      <c r="BM819" s="484"/>
    </row>
    <row r="820" spans="1:65" s="22" customFormat="1" x14ac:dyDescent="0.25">
      <c r="A820" s="20"/>
      <c r="B820" s="515"/>
      <c r="C820" s="11"/>
      <c r="D820" s="11"/>
      <c r="E820" s="11"/>
      <c r="F820" s="21"/>
      <c r="G820" s="11"/>
      <c r="H820" s="50"/>
      <c r="I820" s="50"/>
      <c r="J820" s="50"/>
      <c r="K820" s="11"/>
      <c r="L820" s="50"/>
      <c r="M820" s="50"/>
      <c r="N820" s="50"/>
      <c r="O820" s="50"/>
      <c r="P820" s="50"/>
      <c r="Q820" s="11"/>
      <c r="R820" s="50"/>
      <c r="S820" s="50"/>
      <c r="T820" s="50"/>
      <c r="U820" s="11"/>
      <c r="V820" s="50"/>
      <c r="W820" s="50"/>
      <c r="X820" s="50"/>
      <c r="Y820" s="50"/>
      <c r="Z820" s="50"/>
      <c r="AA820" s="11"/>
      <c r="AB820" s="50"/>
      <c r="AC820" s="50"/>
      <c r="AD820" s="50"/>
      <c r="AE820" s="11"/>
      <c r="AF820" s="50"/>
      <c r="AG820" s="50"/>
      <c r="AH820" s="50"/>
      <c r="AI820" s="11"/>
      <c r="AJ820" s="50"/>
      <c r="AK820" s="50"/>
      <c r="AL820" s="50"/>
      <c r="AM820" s="11"/>
      <c r="AN820" s="50"/>
      <c r="AO820" s="50"/>
      <c r="AP820" s="50"/>
      <c r="AQ820" s="11"/>
      <c r="AR820" s="50"/>
      <c r="AS820" s="50"/>
      <c r="AT820" s="50"/>
      <c r="AU820" s="11"/>
      <c r="AV820" s="50"/>
      <c r="AW820" s="50"/>
      <c r="AX820" s="50"/>
      <c r="AY820" s="50"/>
      <c r="AZ820" s="50"/>
      <c r="BA820" s="50"/>
      <c r="BB820" s="50"/>
      <c r="BC820" s="50"/>
      <c r="BD820" s="50"/>
      <c r="BE820" s="20"/>
      <c r="BF820" s="518"/>
      <c r="BG820" s="484"/>
      <c r="BH820" s="484"/>
      <c r="BI820" s="527"/>
      <c r="BJ820" s="484"/>
      <c r="BK820" s="484"/>
      <c r="BL820" s="484"/>
      <c r="BM820" s="484"/>
    </row>
    <row r="821" spans="1:65" s="22" customFormat="1" x14ac:dyDescent="0.25">
      <c r="A821" s="20"/>
      <c r="B821" s="515"/>
      <c r="C821" s="11"/>
      <c r="D821" s="11"/>
      <c r="E821" s="11"/>
      <c r="F821" s="21"/>
      <c r="G821" s="11"/>
      <c r="H821" s="50"/>
      <c r="I821" s="50"/>
      <c r="J821" s="50"/>
      <c r="K821" s="11"/>
      <c r="L821" s="50"/>
      <c r="M821" s="50"/>
      <c r="N821" s="50"/>
      <c r="O821" s="50"/>
      <c r="P821" s="50"/>
      <c r="Q821" s="11"/>
      <c r="R821" s="50"/>
      <c r="S821" s="50"/>
      <c r="T821" s="50"/>
      <c r="U821" s="11"/>
      <c r="V821" s="50"/>
      <c r="W821" s="50"/>
      <c r="X821" s="50"/>
      <c r="Y821" s="50"/>
      <c r="Z821" s="50"/>
      <c r="AA821" s="11"/>
      <c r="AB821" s="50"/>
      <c r="AC821" s="50"/>
      <c r="AD821" s="50"/>
      <c r="AE821" s="11"/>
      <c r="AF821" s="50"/>
      <c r="AG821" s="50"/>
      <c r="AH821" s="50"/>
      <c r="AI821" s="11"/>
      <c r="AJ821" s="50"/>
      <c r="AK821" s="50"/>
      <c r="AL821" s="50"/>
      <c r="AM821" s="11"/>
      <c r="AN821" s="50"/>
      <c r="AO821" s="50"/>
      <c r="AP821" s="50"/>
      <c r="AQ821" s="11"/>
      <c r="AR821" s="50"/>
      <c r="AS821" s="50"/>
      <c r="AT821" s="50"/>
      <c r="AU821" s="11"/>
      <c r="AV821" s="50"/>
      <c r="AW821" s="50"/>
      <c r="AX821" s="50"/>
      <c r="AY821" s="50"/>
      <c r="AZ821" s="50"/>
      <c r="BA821" s="50"/>
      <c r="BB821" s="50"/>
      <c r="BC821" s="50"/>
      <c r="BD821" s="50"/>
      <c r="BE821" s="20"/>
      <c r="BF821" s="518"/>
      <c r="BG821" s="484"/>
      <c r="BH821" s="484"/>
      <c r="BI821" s="527"/>
      <c r="BJ821" s="484"/>
      <c r="BK821" s="484"/>
      <c r="BL821" s="484"/>
      <c r="BM821" s="484"/>
    </row>
    <row r="822" spans="1:65" s="22" customFormat="1" x14ac:dyDescent="0.25">
      <c r="A822" s="20"/>
      <c r="B822" s="515"/>
      <c r="C822" s="11"/>
      <c r="D822" s="11"/>
      <c r="E822" s="11"/>
      <c r="F822" s="21"/>
      <c r="G822" s="11"/>
      <c r="H822" s="50"/>
      <c r="I822" s="50"/>
      <c r="J822" s="50"/>
      <c r="K822" s="11"/>
      <c r="L822" s="50"/>
      <c r="M822" s="50"/>
      <c r="N822" s="50"/>
      <c r="O822" s="50"/>
      <c r="P822" s="50"/>
      <c r="Q822" s="11"/>
      <c r="R822" s="50"/>
      <c r="S822" s="50"/>
      <c r="T822" s="50"/>
      <c r="U822" s="11"/>
      <c r="V822" s="50"/>
      <c r="W822" s="50"/>
      <c r="X822" s="50"/>
      <c r="Y822" s="50"/>
      <c r="Z822" s="50"/>
      <c r="AA822" s="11"/>
      <c r="AB822" s="50"/>
      <c r="AC822" s="50"/>
      <c r="AD822" s="50"/>
      <c r="AE822" s="11"/>
      <c r="AF822" s="50"/>
      <c r="AG822" s="50"/>
      <c r="AH822" s="50"/>
      <c r="AI822" s="11"/>
      <c r="AJ822" s="50"/>
      <c r="AK822" s="50"/>
      <c r="AL822" s="50"/>
      <c r="AM822" s="11"/>
      <c r="AN822" s="50"/>
      <c r="AO822" s="50"/>
      <c r="AP822" s="50"/>
      <c r="AQ822" s="11"/>
      <c r="AR822" s="50"/>
      <c r="AS822" s="50"/>
      <c r="AT822" s="50"/>
      <c r="AU822" s="11"/>
      <c r="AV822" s="50"/>
      <c r="AW822" s="50"/>
      <c r="AX822" s="50"/>
      <c r="AY822" s="50"/>
      <c r="AZ822" s="50"/>
      <c r="BA822" s="50"/>
      <c r="BB822" s="50"/>
      <c r="BC822" s="50"/>
      <c r="BD822" s="50"/>
      <c r="BE822" s="20"/>
      <c r="BF822" s="518"/>
      <c r="BG822" s="484"/>
      <c r="BH822" s="484"/>
      <c r="BI822" s="527"/>
      <c r="BJ822" s="484"/>
      <c r="BK822" s="484"/>
      <c r="BL822" s="484"/>
      <c r="BM822" s="484"/>
    </row>
    <row r="823" spans="1:65" s="22" customFormat="1" x14ac:dyDescent="0.25">
      <c r="A823" s="20"/>
      <c r="B823" s="515"/>
      <c r="C823" s="11"/>
      <c r="D823" s="11"/>
      <c r="E823" s="11"/>
      <c r="F823" s="21"/>
      <c r="G823" s="11"/>
      <c r="H823" s="50"/>
      <c r="I823" s="50"/>
      <c r="J823" s="50"/>
      <c r="K823" s="11"/>
      <c r="L823" s="50"/>
      <c r="M823" s="50"/>
      <c r="N823" s="50"/>
      <c r="O823" s="50"/>
      <c r="P823" s="50"/>
      <c r="Q823" s="11"/>
      <c r="R823" s="50"/>
      <c r="S823" s="50"/>
      <c r="T823" s="50"/>
      <c r="U823" s="11"/>
      <c r="V823" s="50"/>
      <c r="W823" s="50"/>
      <c r="X823" s="50"/>
      <c r="Y823" s="50"/>
      <c r="Z823" s="50"/>
      <c r="AA823" s="11"/>
      <c r="AB823" s="50"/>
      <c r="AC823" s="50"/>
      <c r="AD823" s="50"/>
      <c r="AE823" s="11"/>
      <c r="AF823" s="50"/>
      <c r="AG823" s="50"/>
      <c r="AH823" s="50"/>
      <c r="AI823" s="11"/>
      <c r="AJ823" s="50"/>
      <c r="AK823" s="50"/>
      <c r="AL823" s="50"/>
      <c r="AM823" s="11"/>
      <c r="AN823" s="50"/>
      <c r="AO823" s="50"/>
      <c r="AP823" s="50"/>
      <c r="AQ823" s="11"/>
      <c r="AR823" s="50"/>
      <c r="AS823" s="50"/>
      <c r="AT823" s="50"/>
      <c r="AU823" s="11"/>
      <c r="AV823" s="50"/>
      <c r="AW823" s="50"/>
      <c r="AX823" s="50"/>
      <c r="AY823" s="50"/>
      <c r="AZ823" s="50"/>
      <c r="BA823" s="50"/>
      <c r="BB823" s="50"/>
      <c r="BC823" s="50"/>
      <c r="BD823" s="50"/>
      <c r="BE823" s="20"/>
      <c r="BF823" s="518"/>
      <c r="BG823" s="484"/>
      <c r="BH823" s="484"/>
      <c r="BI823" s="527"/>
      <c r="BJ823" s="484"/>
      <c r="BK823" s="484"/>
      <c r="BL823" s="484"/>
      <c r="BM823" s="484"/>
    </row>
    <row r="824" spans="1:65" s="22" customFormat="1" x14ac:dyDescent="0.25">
      <c r="A824" s="20"/>
      <c r="B824" s="515"/>
      <c r="C824" s="11"/>
      <c r="D824" s="11"/>
      <c r="E824" s="11"/>
      <c r="F824" s="21"/>
      <c r="G824" s="11"/>
      <c r="H824" s="50"/>
      <c r="I824" s="50"/>
      <c r="J824" s="50"/>
      <c r="K824" s="11"/>
      <c r="L824" s="50"/>
      <c r="M824" s="50"/>
      <c r="N824" s="50"/>
      <c r="O824" s="50"/>
      <c r="P824" s="50"/>
      <c r="Q824" s="11"/>
      <c r="R824" s="50"/>
      <c r="S824" s="50"/>
      <c r="T824" s="50"/>
      <c r="U824" s="11"/>
      <c r="V824" s="50"/>
      <c r="W824" s="50"/>
      <c r="X824" s="50"/>
      <c r="Y824" s="50"/>
      <c r="Z824" s="50"/>
      <c r="AA824" s="11"/>
      <c r="AB824" s="50"/>
      <c r="AC824" s="50"/>
      <c r="AD824" s="50"/>
      <c r="AE824" s="11"/>
      <c r="AF824" s="50"/>
      <c r="AG824" s="50"/>
      <c r="AH824" s="50"/>
      <c r="AI824" s="11"/>
      <c r="AJ824" s="50"/>
      <c r="AK824" s="50"/>
      <c r="AL824" s="50"/>
      <c r="AM824" s="11"/>
      <c r="AN824" s="50"/>
      <c r="AO824" s="50"/>
      <c r="AP824" s="50"/>
      <c r="AQ824" s="11"/>
      <c r="AR824" s="50"/>
      <c r="AS824" s="50"/>
      <c r="AT824" s="50"/>
      <c r="AU824" s="11"/>
      <c r="AV824" s="50"/>
      <c r="AW824" s="50"/>
      <c r="AX824" s="50"/>
      <c r="AY824" s="50"/>
      <c r="AZ824" s="50"/>
      <c r="BA824" s="50"/>
      <c r="BB824" s="50"/>
      <c r="BC824" s="50"/>
      <c r="BD824" s="50"/>
      <c r="BE824" s="20"/>
      <c r="BF824" s="518"/>
      <c r="BG824" s="484"/>
      <c r="BH824" s="484"/>
      <c r="BI824" s="527"/>
      <c r="BJ824" s="484"/>
      <c r="BK824" s="484"/>
      <c r="BL824" s="484"/>
      <c r="BM824" s="484"/>
    </row>
    <row r="825" spans="1:65" s="22" customFormat="1" x14ac:dyDescent="0.25">
      <c r="A825" s="20"/>
      <c r="B825" s="515"/>
      <c r="C825" s="11"/>
      <c r="D825" s="11"/>
      <c r="E825" s="11"/>
      <c r="F825" s="21"/>
      <c r="G825" s="11"/>
      <c r="H825" s="50"/>
      <c r="I825" s="50"/>
      <c r="J825" s="50"/>
      <c r="K825" s="11"/>
      <c r="L825" s="50"/>
      <c r="M825" s="50"/>
      <c r="N825" s="50"/>
      <c r="O825" s="50"/>
      <c r="P825" s="50"/>
      <c r="Q825" s="11"/>
      <c r="R825" s="50"/>
      <c r="S825" s="50"/>
      <c r="T825" s="50"/>
      <c r="U825" s="11"/>
      <c r="V825" s="50"/>
      <c r="W825" s="50"/>
      <c r="X825" s="50"/>
      <c r="Y825" s="50"/>
      <c r="Z825" s="50"/>
      <c r="AA825" s="11"/>
      <c r="AB825" s="50"/>
      <c r="AC825" s="50"/>
      <c r="AD825" s="50"/>
      <c r="AE825" s="11"/>
      <c r="AF825" s="50"/>
      <c r="AG825" s="50"/>
      <c r="AH825" s="50"/>
      <c r="AI825" s="11"/>
      <c r="AJ825" s="50"/>
      <c r="AK825" s="50"/>
      <c r="AL825" s="50"/>
      <c r="AM825" s="11"/>
      <c r="AN825" s="50"/>
      <c r="AO825" s="50"/>
      <c r="AP825" s="50"/>
      <c r="AQ825" s="11"/>
      <c r="AR825" s="50"/>
      <c r="AS825" s="50"/>
      <c r="AT825" s="50"/>
      <c r="AU825" s="11"/>
      <c r="AV825" s="50"/>
      <c r="AW825" s="50"/>
      <c r="AX825" s="50"/>
      <c r="AY825" s="50"/>
      <c r="AZ825" s="50"/>
      <c r="BA825" s="50"/>
      <c r="BB825" s="50"/>
      <c r="BC825" s="50"/>
      <c r="BD825" s="50"/>
      <c r="BE825" s="20"/>
      <c r="BF825" s="518"/>
      <c r="BG825" s="484"/>
      <c r="BH825" s="484"/>
      <c r="BI825" s="527"/>
      <c r="BJ825" s="484"/>
      <c r="BK825" s="484"/>
      <c r="BL825" s="484"/>
      <c r="BM825" s="484"/>
    </row>
    <row r="826" spans="1:65" s="22" customFormat="1" x14ac:dyDescent="0.25">
      <c r="A826" s="20"/>
      <c r="B826" s="515"/>
      <c r="C826" s="11"/>
      <c r="D826" s="11"/>
      <c r="E826" s="11"/>
      <c r="F826" s="21"/>
      <c r="G826" s="11"/>
      <c r="H826" s="50"/>
      <c r="I826" s="50"/>
      <c r="J826" s="50"/>
      <c r="K826" s="11"/>
      <c r="L826" s="50"/>
      <c r="M826" s="50"/>
      <c r="N826" s="50"/>
      <c r="O826" s="50"/>
      <c r="P826" s="50"/>
      <c r="Q826" s="11"/>
      <c r="R826" s="50"/>
      <c r="S826" s="50"/>
      <c r="T826" s="50"/>
      <c r="U826" s="11"/>
      <c r="V826" s="50"/>
      <c r="W826" s="50"/>
      <c r="X826" s="50"/>
      <c r="Y826" s="50"/>
      <c r="Z826" s="50"/>
      <c r="AA826" s="11"/>
      <c r="AB826" s="50"/>
      <c r="AC826" s="50"/>
      <c r="AD826" s="50"/>
      <c r="AE826" s="11"/>
      <c r="AF826" s="50"/>
      <c r="AG826" s="50"/>
      <c r="AH826" s="50"/>
      <c r="AI826" s="11"/>
      <c r="AJ826" s="50"/>
      <c r="AK826" s="50"/>
      <c r="AL826" s="50"/>
      <c r="AM826" s="11"/>
      <c r="AN826" s="50"/>
      <c r="AO826" s="50"/>
      <c r="AP826" s="50"/>
      <c r="AQ826" s="11"/>
      <c r="AR826" s="50"/>
      <c r="AS826" s="50"/>
      <c r="AT826" s="50"/>
      <c r="AU826" s="11"/>
      <c r="AV826" s="50"/>
      <c r="AW826" s="50"/>
      <c r="AX826" s="50"/>
      <c r="AY826" s="50"/>
      <c r="AZ826" s="50"/>
      <c r="BA826" s="50"/>
      <c r="BB826" s="50"/>
      <c r="BC826" s="50"/>
      <c r="BD826" s="50"/>
      <c r="BE826" s="20"/>
      <c r="BF826" s="518"/>
      <c r="BG826" s="484"/>
      <c r="BH826" s="484"/>
      <c r="BI826" s="527"/>
      <c r="BJ826" s="484"/>
      <c r="BK826" s="484"/>
      <c r="BL826" s="484"/>
      <c r="BM826" s="484"/>
    </row>
    <row r="827" spans="1:65" s="22" customFormat="1" x14ac:dyDescent="0.25">
      <c r="A827" s="20"/>
      <c r="B827" s="515"/>
      <c r="C827" s="11"/>
      <c r="D827" s="11"/>
      <c r="E827" s="11"/>
      <c r="F827" s="21"/>
      <c r="G827" s="11"/>
      <c r="H827" s="50"/>
      <c r="I827" s="50"/>
      <c r="J827" s="50"/>
      <c r="K827" s="11"/>
      <c r="L827" s="50"/>
      <c r="M827" s="50"/>
      <c r="N827" s="50"/>
      <c r="O827" s="50"/>
      <c r="P827" s="50"/>
      <c r="Q827" s="11"/>
      <c r="R827" s="50"/>
      <c r="S827" s="50"/>
      <c r="T827" s="50"/>
      <c r="U827" s="11"/>
      <c r="V827" s="50"/>
      <c r="W827" s="50"/>
      <c r="X827" s="50"/>
      <c r="Y827" s="50"/>
      <c r="Z827" s="50"/>
      <c r="AA827" s="11"/>
      <c r="AB827" s="50"/>
      <c r="AC827" s="50"/>
      <c r="AD827" s="50"/>
      <c r="AE827" s="11"/>
      <c r="AF827" s="50"/>
      <c r="AG827" s="50"/>
      <c r="AH827" s="50"/>
      <c r="AI827" s="11"/>
      <c r="AJ827" s="50"/>
      <c r="AK827" s="50"/>
      <c r="AL827" s="50"/>
      <c r="AM827" s="11"/>
      <c r="AN827" s="50"/>
      <c r="AO827" s="50"/>
      <c r="AP827" s="50"/>
      <c r="AQ827" s="11"/>
      <c r="AR827" s="50"/>
      <c r="AS827" s="50"/>
      <c r="AT827" s="50"/>
      <c r="AU827" s="11"/>
      <c r="AV827" s="50"/>
      <c r="AW827" s="50"/>
      <c r="AX827" s="50"/>
      <c r="AY827" s="50"/>
      <c r="AZ827" s="50"/>
      <c r="BA827" s="50"/>
      <c r="BB827" s="50"/>
      <c r="BC827" s="50"/>
      <c r="BD827" s="50"/>
      <c r="BE827" s="20"/>
      <c r="BF827" s="518"/>
      <c r="BG827" s="484"/>
      <c r="BH827" s="484"/>
      <c r="BI827" s="527"/>
      <c r="BJ827" s="484"/>
      <c r="BK827" s="484"/>
      <c r="BL827" s="484"/>
      <c r="BM827" s="484"/>
    </row>
    <row r="828" spans="1:65" s="22" customFormat="1" x14ac:dyDescent="0.25">
      <c r="A828" s="20"/>
      <c r="B828" s="515"/>
      <c r="C828" s="11"/>
      <c r="D828" s="11"/>
      <c r="E828" s="11"/>
      <c r="F828" s="21"/>
      <c r="G828" s="11"/>
      <c r="H828" s="50"/>
      <c r="I828" s="50"/>
      <c r="J828" s="50"/>
      <c r="K828" s="11"/>
      <c r="L828" s="50"/>
      <c r="M828" s="50"/>
      <c r="N828" s="50"/>
      <c r="O828" s="50"/>
      <c r="P828" s="50"/>
      <c r="Q828" s="11"/>
      <c r="R828" s="50"/>
      <c r="S828" s="50"/>
      <c r="T828" s="50"/>
      <c r="U828" s="11"/>
      <c r="V828" s="50"/>
      <c r="W828" s="50"/>
      <c r="X828" s="50"/>
      <c r="Y828" s="50"/>
      <c r="Z828" s="50"/>
      <c r="AA828" s="11"/>
      <c r="AB828" s="50"/>
      <c r="AC828" s="50"/>
      <c r="AD828" s="50"/>
      <c r="AE828" s="11"/>
      <c r="AF828" s="50"/>
      <c r="AG828" s="50"/>
      <c r="AH828" s="50"/>
      <c r="AI828" s="11"/>
      <c r="AJ828" s="50"/>
      <c r="AK828" s="50"/>
      <c r="AL828" s="50"/>
      <c r="AM828" s="11"/>
      <c r="AN828" s="50"/>
      <c r="AO828" s="50"/>
      <c r="AP828" s="50"/>
      <c r="AQ828" s="11"/>
      <c r="AR828" s="50"/>
      <c r="AS828" s="50"/>
      <c r="AT828" s="50"/>
      <c r="AU828" s="11"/>
      <c r="AV828" s="50"/>
      <c r="AW828" s="50"/>
      <c r="AX828" s="50"/>
      <c r="AY828" s="50"/>
      <c r="AZ828" s="50"/>
      <c r="BA828" s="50"/>
      <c r="BB828" s="50"/>
      <c r="BC828" s="50"/>
      <c r="BD828" s="50"/>
      <c r="BE828" s="20"/>
      <c r="BF828" s="518"/>
      <c r="BG828" s="484"/>
      <c r="BH828" s="484"/>
      <c r="BI828" s="527"/>
      <c r="BJ828" s="484"/>
      <c r="BK828" s="484"/>
      <c r="BL828" s="484"/>
      <c r="BM828" s="484"/>
    </row>
    <row r="829" spans="1:65" s="22" customFormat="1" x14ac:dyDescent="0.25">
      <c r="A829" s="20"/>
      <c r="B829" s="515"/>
      <c r="C829" s="11"/>
      <c r="D829" s="11"/>
      <c r="E829" s="11"/>
      <c r="F829" s="21"/>
      <c r="G829" s="11"/>
      <c r="H829" s="50"/>
      <c r="I829" s="50"/>
      <c r="J829" s="50"/>
      <c r="K829" s="11"/>
      <c r="L829" s="50"/>
      <c r="M829" s="50"/>
      <c r="N829" s="50"/>
      <c r="O829" s="50"/>
      <c r="P829" s="50"/>
      <c r="Q829" s="11"/>
      <c r="R829" s="50"/>
      <c r="S829" s="50"/>
      <c r="T829" s="50"/>
      <c r="U829" s="11"/>
      <c r="V829" s="50"/>
      <c r="W829" s="50"/>
      <c r="X829" s="50"/>
      <c r="Y829" s="50"/>
      <c r="Z829" s="50"/>
      <c r="AA829" s="11"/>
      <c r="AB829" s="50"/>
      <c r="AC829" s="50"/>
      <c r="AD829" s="50"/>
      <c r="AE829" s="11"/>
      <c r="AF829" s="50"/>
      <c r="AG829" s="50"/>
      <c r="AH829" s="50"/>
      <c r="AI829" s="11"/>
      <c r="AJ829" s="50"/>
      <c r="AK829" s="50"/>
      <c r="AL829" s="50"/>
      <c r="AM829" s="11"/>
      <c r="AN829" s="50"/>
      <c r="AO829" s="50"/>
      <c r="AP829" s="50"/>
      <c r="AQ829" s="11"/>
      <c r="AR829" s="50"/>
      <c r="AS829" s="50"/>
      <c r="AT829" s="50"/>
      <c r="AU829" s="11"/>
      <c r="AV829" s="50"/>
      <c r="AW829" s="50"/>
      <c r="AX829" s="50"/>
      <c r="AY829" s="50"/>
      <c r="AZ829" s="50"/>
      <c r="BA829" s="50"/>
      <c r="BB829" s="50"/>
      <c r="BC829" s="50"/>
      <c r="BD829" s="50"/>
      <c r="BE829" s="20"/>
      <c r="BF829" s="518"/>
      <c r="BG829" s="484"/>
      <c r="BH829" s="484"/>
      <c r="BI829" s="527"/>
      <c r="BJ829" s="484"/>
      <c r="BK829" s="484"/>
      <c r="BL829" s="484"/>
      <c r="BM829" s="484"/>
    </row>
    <row r="830" spans="1:65" s="22" customFormat="1" x14ac:dyDescent="0.25">
      <c r="A830" s="20"/>
      <c r="B830" s="515"/>
      <c r="C830" s="11"/>
      <c r="D830" s="11"/>
      <c r="E830" s="11"/>
      <c r="F830" s="21"/>
      <c r="G830" s="11"/>
      <c r="H830" s="50"/>
      <c r="I830" s="50"/>
      <c r="J830" s="50"/>
      <c r="K830" s="11"/>
      <c r="L830" s="50"/>
      <c r="M830" s="50"/>
      <c r="N830" s="50"/>
      <c r="O830" s="50"/>
      <c r="P830" s="50"/>
      <c r="Q830" s="11"/>
      <c r="R830" s="50"/>
      <c r="S830" s="50"/>
      <c r="T830" s="50"/>
      <c r="U830" s="11"/>
      <c r="V830" s="50"/>
      <c r="W830" s="50"/>
      <c r="X830" s="50"/>
      <c r="Y830" s="50"/>
      <c r="Z830" s="50"/>
      <c r="AA830" s="11"/>
      <c r="AB830" s="50"/>
      <c r="AC830" s="50"/>
      <c r="AD830" s="50"/>
      <c r="AE830" s="11"/>
      <c r="AF830" s="50"/>
      <c r="AG830" s="50"/>
      <c r="AH830" s="50"/>
      <c r="AI830" s="11"/>
      <c r="AJ830" s="50"/>
      <c r="AK830" s="50"/>
      <c r="AL830" s="50"/>
      <c r="AM830" s="11"/>
      <c r="AN830" s="50"/>
      <c r="AO830" s="50"/>
      <c r="AP830" s="50"/>
      <c r="AQ830" s="11"/>
      <c r="AR830" s="50"/>
      <c r="AS830" s="50"/>
      <c r="AT830" s="50"/>
      <c r="AU830" s="11"/>
      <c r="AV830" s="50"/>
      <c r="AW830" s="50"/>
      <c r="AX830" s="50"/>
      <c r="AY830" s="50"/>
      <c r="AZ830" s="50"/>
      <c r="BA830" s="50"/>
      <c r="BB830" s="50"/>
      <c r="BC830" s="50"/>
      <c r="BD830" s="50"/>
      <c r="BE830" s="20"/>
      <c r="BF830" s="518"/>
      <c r="BG830" s="484"/>
      <c r="BH830" s="484"/>
      <c r="BI830" s="527"/>
      <c r="BJ830" s="484"/>
      <c r="BK830" s="484"/>
      <c r="BL830" s="484"/>
      <c r="BM830" s="484"/>
    </row>
    <row r="831" spans="1:65" s="22" customFormat="1" x14ac:dyDescent="0.25">
      <c r="A831" s="20"/>
      <c r="B831" s="515"/>
      <c r="C831" s="11"/>
      <c r="D831" s="11"/>
      <c r="E831" s="11"/>
      <c r="F831" s="21"/>
      <c r="G831" s="11"/>
      <c r="H831" s="50"/>
      <c r="I831" s="50"/>
      <c r="J831" s="50"/>
      <c r="K831" s="11"/>
      <c r="L831" s="50"/>
      <c r="M831" s="50"/>
      <c r="N831" s="50"/>
      <c r="O831" s="50"/>
      <c r="P831" s="50"/>
      <c r="Q831" s="11"/>
      <c r="R831" s="50"/>
      <c r="S831" s="50"/>
      <c r="T831" s="50"/>
      <c r="U831" s="11"/>
      <c r="V831" s="50"/>
      <c r="W831" s="50"/>
      <c r="X831" s="50"/>
      <c r="Y831" s="50"/>
      <c r="Z831" s="50"/>
      <c r="AA831" s="11"/>
      <c r="AB831" s="50"/>
      <c r="AC831" s="50"/>
      <c r="AD831" s="50"/>
      <c r="AE831" s="11"/>
      <c r="AF831" s="50"/>
      <c r="AG831" s="50"/>
      <c r="AH831" s="50"/>
      <c r="AI831" s="11"/>
      <c r="AJ831" s="50"/>
      <c r="AK831" s="50"/>
      <c r="AL831" s="50"/>
      <c r="AM831" s="11"/>
      <c r="AN831" s="50"/>
      <c r="AO831" s="50"/>
      <c r="AP831" s="50"/>
      <c r="AQ831" s="11"/>
      <c r="AR831" s="50"/>
      <c r="AS831" s="50"/>
      <c r="AT831" s="50"/>
      <c r="AU831" s="11"/>
      <c r="AV831" s="50"/>
      <c r="AW831" s="50"/>
      <c r="AX831" s="50"/>
      <c r="AY831" s="50"/>
      <c r="AZ831" s="50"/>
      <c r="BA831" s="50"/>
      <c r="BB831" s="50"/>
      <c r="BC831" s="50"/>
      <c r="BD831" s="50"/>
      <c r="BE831" s="20"/>
      <c r="BF831" s="518"/>
      <c r="BG831" s="484"/>
      <c r="BH831" s="484"/>
      <c r="BI831" s="527"/>
      <c r="BJ831" s="484"/>
      <c r="BK831" s="484"/>
      <c r="BL831" s="484"/>
      <c r="BM831" s="484"/>
    </row>
    <row r="832" spans="1:65" s="22" customFormat="1" x14ac:dyDescent="0.25">
      <c r="A832" s="20"/>
      <c r="B832" s="515"/>
      <c r="C832" s="11"/>
      <c r="D832" s="11"/>
      <c r="E832" s="11"/>
      <c r="F832" s="21"/>
      <c r="G832" s="11"/>
      <c r="H832" s="50"/>
      <c r="I832" s="50"/>
      <c r="J832" s="50"/>
      <c r="K832" s="11"/>
      <c r="L832" s="50"/>
      <c r="M832" s="50"/>
      <c r="N832" s="50"/>
      <c r="O832" s="50"/>
      <c r="P832" s="50"/>
      <c r="Q832" s="11"/>
      <c r="R832" s="50"/>
      <c r="S832" s="50"/>
      <c r="T832" s="50"/>
      <c r="U832" s="11"/>
      <c r="V832" s="50"/>
      <c r="W832" s="50"/>
      <c r="X832" s="50"/>
      <c r="Y832" s="50"/>
      <c r="Z832" s="50"/>
      <c r="AA832" s="11"/>
      <c r="AB832" s="50"/>
      <c r="AC832" s="50"/>
      <c r="AD832" s="50"/>
      <c r="AE832" s="11"/>
      <c r="AF832" s="50"/>
      <c r="AG832" s="50"/>
      <c r="AH832" s="50"/>
      <c r="AI832" s="11"/>
      <c r="AJ832" s="50"/>
      <c r="AK832" s="50"/>
      <c r="AL832" s="50"/>
      <c r="AM832" s="11"/>
      <c r="AN832" s="50"/>
      <c r="AO832" s="50"/>
      <c r="AP832" s="50"/>
      <c r="AQ832" s="11"/>
      <c r="AR832" s="50"/>
      <c r="AS832" s="50"/>
      <c r="AT832" s="50"/>
      <c r="AU832" s="11"/>
      <c r="AV832" s="50"/>
      <c r="AW832" s="50"/>
      <c r="AX832" s="50"/>
      <c r="AY832" s="50"/>
      <c r="AZ832" s="50"/>
      <c r="BA832" s="50"/>
      <c r="BB832" s="50"/>
      <c r="BC832" s="50"/>
      <c r="BD832" s="50"/>
      <c r="BE832" s="20"/>
      <c r="BF832" s="518"/>
      <c r="BG832" s="484"/>
      <c r="BH832" s="484"/>
      <c r="BI832" s="527"/>
      <c r="BJ832" s="484"/>
      <c r="BK832" s="484"/>
      <c r="BL832" s="484"/>
      <c r="BM832" s="484"/>
    </row>
    <row r="833" spans="1:65" s="22" customFormat="1" x14ac:dyDescent="0.25">
      <c r="A833" s="20"/>
      <c r="B833" s="515"/>
      <c r="C833" s="11"/>
      <c r="D833" s="11"/>
      <c r="E833" s="11"/>
      <c r="F833" s="21"/>
      <c r="G833" s="11"/>
      <c r="H833" s="50"/>
      <c r="I833" s="50"/>
      <c r="J833" s="50"/>
      <c r="K833" s="11"/>
      <c r="L833" s="50"/>
      <c r="M833" s="50"/>
      <c r="N833" s="50"/>
      <c r="O833" s="50"/>
      <c r="P833" s="50"/>
      <c r="Q833" s="11"/>
      <c r="R833" s="50"/>
      <c r="S833" s="50"/>
      <c r="T833" s="50"/>
      <c r="U833" s="11"/>
      <c r="V833" s="50"/>
      <c r="W833" s="50"/>
      <c r="X833" s="50"/>
      <c r="Y833" s="50"/>
      <c r="Z833" s="50"/>
      <c r="AA833" s="11"/>
      <c r="AB833" s="50"/>
      <c r="AC833" s="50"/>
      <c r="AD833" s="50"/>
      <c r="AE833" s="11"/>
      <c r="AF833" s="50"/>
      <c r="AG833" s="50"/>
      <c r="AH833" s="50"/>
      <c r="AI833" s="11"/>
      <c r="AJ833" s="50"/>
      <c r="AK833" s="50"/>
      <c r="AL833" s="50"/>
      <c r="AM833" s="11"/>
      <c r="AN833" s="50"/>
      <c r="AO833" s="50"/>
      <c r="AP833" s="50"/>
      <c r="AQ833" s="11"/>
      <c r="AR833" s="50"/>
      <c r="AS833" s="50"/>
      <c r="AT833" s="50"/>
      <c r="AU833" s="11"/>
      <c r="AV833" s="50"/>
      <c r="AW833" s="50"/>
      <c r="AX833" s="50"/>
      <c r="AY833" s="50"/>
      <c r="AZ833" s="50"/>
      <c r="BA833" s="50"/>
      <c r="BB833" s="50"/>
      <c r="BC833" s="50"/>
      <c r="BD833" s="50"/>
      <c r="BE833" s="20"/>
      <c r="BF833" s="518"/>
      <c r="BG833" s="484"/>
      <c r="BH833" s="484"/>
      <c r="BI833" s="527"/>
      <c r="BJ833" s="484"/>
      <c r="BK833" s="484"/>
      <c r="BL833" s="484"/>
      <c r="BM833" s="484"/>
    </row>
    <row r="834" spans="1:65" s="22" customFormat="1" x14ac:dyDescent="0.25">
      <c r="A834" s="20"/>
      <c r="B834" s="515"/>
      <c r="C834" s="11"/>
      <c r="D834" s="11"/>
      <c r="E834" s="11"/>
      <c r="F834" s="21"/>
      <c r="G834" s="11"/>
      <c r="H834" s="50"/>
      <c r="I834" s="50"/>
      <c r="J834" s="50"/>
      <c r="K834" s="11"/>
      <c r="L834" s="50"/>
      <c r="M834" s="50"/>
      <c r="N834" s="50"/>
      <c r="O834" s="50"/>
      <c r="P834" s="50"/>
      <c r="Q834" s="11"/>
      <c r="R834" s="50"/>
      <c r="S834" s="50"/>
      <c r="T834" s="50"/>
      <c r="U834" s="11"/>
      <c r="V834" s="50"/>
      <c r="W834" s="50"/>
      <c r="X834" s="50"/>
      <c r="Y834" s="50"/>
      <c r="Z834" s="50"/>
      <c r="AA834" s="11"/>
      <c r="AB834" s="50"/>
      <c r="AC834" s="50"/>
      <c r="AD834" s="50"/>
      <c r="AE834" s="11"/>
      <c r="AF834" s="50"/>
      <c r="AG834" s="50"/>
      <c r="AH834" s="50"/>
      <c r="AI834" s="11"/>
      <c r="AJ834" s="50"/>
      <c r="AK834" s="50"/>
      <c r="AL834" s="50"/>
      <c r="AM834" s="11"/>
      <c r="AN834" s="50"/>
      <c r="AO834" s="50"/>
      <c r="AP834" s="50"/>
      <c r="AQ834" s="11"/>
      <c r="AR834" s="50"/>
      <c r="AS834" s="50"/>
      <c r="AT834" s="50"/>
      <c r="AU834" s="11"/>
      <c r="AV834" s="50"/>
      <c r="AW834" s="50"/>
      <c r="AX834" s="50"/>
      <c r="AY834" s="50"/>
      <c r="AZ834" s="50"/>
      <c r="BA834" s="50"/>
      <c r="BB834" s="50"/>
      <c r="BC834" s="50"/>
      <c r="BD834" s="50"/>
      <c r="BE834" s="20"/>
      <c r="BF834" s="518"/>
      <c r="BG834" s="484"/>
      <c r="BH834" s="484"/>
      <c r="BI834" s="527"/>
      <c r="BJ834" s="484"/>
      <c r="BK834" s="484"/>
      <c r="BL834" s="484"/>
      <c r="BM834" s="484"/>
    </row>
    <row r="835" spans="1:65" s="22" customFormat="1" x14ac:dyDescent="0.25">
      <c r="A835" s="20"/>
      <c r="B835" s="515"/>
      <c r="C835" s="11"/>
      <c r="D835" s="11"/>
      <c r="E835" s="11"/>
      <c r="F835" s="21"/>
      <c r="G835" s="11"/>
      <c r="H835" s="50"/>
      <c r="I835" s="50"/>
      <c r="J835" s="50"/>
      <c r="K835" s="11"/>
      <c r="L835" s="50"/>
      <c r="M835" s="50"/>
      <c r="N835" s="50"/>
      <c r="O835" s="50"/>
      <c r="P835" s="50"/>
      <c r="Q835" s="11"/>
      <c r="R835" s="50"/>
      <c r="S835" s="50"/>
      <c r="T835" s="50"/>
      <c r="U835" s="11"/>
      <c r="V835" s="50"/>
      <c r="W835" s="50"/>
      <c r="X835" s="50"/>
      <c r="Y835" s="50"/>
      <c r="Z835" s="50"/>
      <c r="AA835" s="11"/>
      <c r="AB835" s="50"/>
      <c r="AC835" s="50"/>
      <c r="AD835" s="50"/>
      <c r="AE835" s="11"/>
      <c r="AF835" s="50"/>
      <c r="AG835" s="50"/>
      <c r="AH835" s="50"/>
      <c r="AI835" s="11"/>
      <c r="AJ835" s="50"/>
      <c r="AK835" s="50"/>
      <c r="AL835" s="50"/>
      <c r="AM835" s="11"/>
      <c r="AN835" s="50"/>
      <c r="AO835" s="50"/>
      <c r="AP835" s="50"/>
      <c r="AQ835" s="11"/>
      <c r="AR835" s="50"/>
      <c r="AS835" s="50"/>
      <c r="AT835" s="50"/>
      <c r="AU835" s="11"/>
      <c r="AV835" s="50"/>
      <c r="AW835" s="50"/>
      <c r="AX835" s="50"/>
      <c r="AY835" s="50"/>
      <c r="AZ835" s="50"/>
      <c r="BA835" s="50"/>
      <c r="BB835" s="50"/>
      <c r="BC835" s="50"/>
      <c r="BD835" s="50"/>
      <c r="BE835" s="20"/>
      <c r="BF835" s="518"/>
      <c r="BG835" s="484"/>
      <c r="BH835" s="484"/>
      <c r="BI835" s="527"/>
      <c r="BJ835" s="484"/>
      <c r="BK835" s="484"/>
      <c r="BL835" s="484"/>
      <c r="BM835" s="484"/>
    </row>
    <row r="836" spans="1:65" s="22" customFormat="1" x14ac:dyDescent="0.25">
      <c r="A836" s="20"/>
      <c r="B836" s="515"/>
      <c r="C836" s="11"/>
      <c r="D836" s="11"/>
      <c r="E836" s="11"/>
      <c r="F836" s="21"/>
      <c r="G836" s="11"/>
      <c r="H836" s="50"/>
      <c r="I836" s="50"/>
      <c r="J836" s="50"/>
      <c r="K836" s="11"/>
      <c r="L836" s="50"/>
      <c r="M836" s="50"/>
      <c r="N836" s="50"/>
      <c r="O836" s="50"/>
      <c r="P836" s="50"/>
      <c r="Q836" s="11"/>
      <c r="R836" s="50"/>
      <c r="S836" s="50"/>
      <c r="T836" s="50"/>
      <c r="U836" s="11"/>
      <c r="V836" s="50"/>
      <c r="W836" s="50"/>
      <c r="X836" s="50"/>
      <c r="Y836" s="50"/>
      <c r="Z836" s="50"/>
      <c r="AA836" s="11"/>
      <c r="AB836" s="50"/>
      <c r="AC836" s="50"/>
      <c r="AD836" s="50"/>
      <c r="AE836" s="11"/>
      <c r="AF836" s="50"/>
      <c r="AG836" s="50"/>
      <c r="AH836" s="50"/>
      <c r="AI836" s="11"/>
      <c r="AJ836" s="50"/>
      <c r="AK836" s="50"/>
      <c r="AL836" s="50"/>
      <c r="AM836" s="11"/>
      <c r="AN836" s="50"/>
      <c r="AO836" s="50"/>
      <c r="AP836" s="50"/>
      <c r="AQ836" s="11"/>
      <c r="AR836" s="50"/>
      <c r="AS836" s="50"/>
      <c r="AT836" s="50"/>
      <c r="AU836" s="11"/>
      <c r="AV836" s="50"/>
      <c r="AW836" s="50"/>
      <c r="AX836" s="50"/>
      <c r="AY836" s="50"/>
      <c r="AZ836" s="50"/>
      <c r="BA836" s="50"/>
      <c r="BB836" s="50"/>
      <c r="BC836" s="50"/>
      <c r="BD836" s="50"/>
      <c r="BE836" s="20"/>
      <c r="BF836" s="518"/>
      <c r="BG836" s="484"/>
      <c r="BH836" s="484"/>
      <c r="BI836" s="527"/>
      <c r="BJ836" s="484"/>
      <c r="BK836" s="484"/>
      <c r="BL836" s="484"/>
      <c r="BM836" s="484"/>
    </row>
    <row r="837" spans="1:65" s="22" customFormat="1" x14ac:dyDescent="0.25">
      <c r="A837" s="20"/>
      <c r="B837" s="515"/>
      <c r="C837" s="11"/>
      <c r="D837" s="11"/>
      <c r="E837" s="11"/>
      <c r="F837" s="21"/>
      <c r="G837" s="11"/>
      <c r="H837" s="50"/>
      <c r="I837" s="50"/>
      <c r="J837" s="50"/>
      <c r="K837" s="11"/>
      <c r="L837" s="50"/>
      <c r="M837" s="50"/>
      <c r="N837" s="50"/>
      <c r="O837" s="50"/>
      <c r="P837" s="50"/>
      <c r="Q837" s="11"/>
      <c r="R837" s="50"/>
      <c r="S837" s="50"/>
      <c r="T837" s="50"/>
      <c r="U837" s="11"/>
      <c r="V837" s="50"/>
      <c r="W837" s="50"/>
      <c r="X837" s="50"/>
      <c r="Y837" s="50"/>
      <c r="Z837" s="50"/>
      <c r="AA837" s="11"/>
      <c r="AB837" s="50"/>
      <c r="AC837" s="50"/>
      <c r="AD837" s="50"/>
      <c r="AE837" s="11"/>
      <c r="AF837" s="50"/>
      <c r="AG837" s="50"/>
      <c r="AH837" s="50"/>
      <c r="AI837" s="11"/>
      <c r="AJ837" s="50"/>
      <c r="AK837" s="50"/>
      <c r="AL837" s="50"/>
      <c r="AM837" s="11"/>
      <c r="AN837" s="50"/>
      <c r="AO837" s="50"/>
      <c r="AP837" s="50"/>
      <c r="AQ837" s="11"/>
      <c r="AR837" s="50"/>
      <c r="AS837" s="50"/>
      <c r="AT837" s="50"/>
      <c r="AU837" s="11"/>
      <c r="AV837" s="50"/>
      <c r="AW837" s="50"/>
      <c r="AX837" s="50"/>
      <c r="AY837" s="50"/>
      <c r="AZ837" s="50"/>
      <c r="BA837" s="50"/>
      <c r="BB837" s="50"/>
      <c r="BC837" s="50"/>
      <c r="BD837" s="50"/>
      <c r="BE837" s="20"/>
      <c r="BF837" s="518"/>
      <c r="BG837" s="484"/>
      <c r="BH837" s="484"/>
      <c r="BI837" s="527"/>
      <c r="BJ837" s="484"/>
      <c r="BK837" s="484"/>
      <c r="BL837" s="484"/>
      <c r="BM837" s="484"/>
    </row>
    <row r="838" spans="1:65" s="22" customFormat="1" x14ac:dyDescent="0.25">
      <c r="A838" s="20"/>
      <c r="B838" s="515"/>
      <c r="C838" s="11"/>
      <c r="D838" s="11"/>
      <c r="E838" s="11"/>
      <c r="F838" s="21"/>
      <c r="G838" s="11"/>
      <c r="H838" s="50"/>
      <c r="I838" s="50"/>
      <c r="J838" s="50"/>
      <c r="K838" s="11"/>
      <c r="L838" s="50"/>
      <c r="M838" s="50"/>
      <c r="N838" s="50"/>
      <c r="O838" s="50"/>
      <c r="P838" s="50"/>
      <c r="Q838" s="11"/>
      <c r="R838" s="50"/>
      <c r="S838" s="50"/>
      <c r="T838" s="50"/>
      <c r="U838" s="11"/>
      <c r="V838" s="50"/>
      <c r="W838" s="50"/>
      <c r="X838" s="50"/>
      <c r="Y838" s="50"/>
      <c r="Z838" s="50"/>
      <c r="AA838" s="11"/>
      <c r="AB838" s="50"/>
      <c r="AC838" s="50"/>
      <c r="AD838" s="50"/>
      <c r="AE838" s="11"/>
      <c r="AF838" s="50"/>
      <c r="AG838" s="50"/>
      <c r="AH838" s="50"/>
      <c r="AI838" s="11"/>
      <c r="AJ838" s="50"/>
      <c r="AK838" s="50"/>
      <c r="AL838" s="50"/>
      <c r="AM838" s="11"/>
      <c r="AN838" s="50"/>
      <c r="AO838" s="50"/>
      <c r="AP838" s="50"/>
      <c r="AQ838" s="11"/>
      <c r="AR838" s="50"/>
      <c r="AS838" s="50"/>
      <c r="AT838" s="50"/>
      <c r="AU838" s="11"/>
      <c r="AV838" s="50"/>
      <c r="AW838" s="50"/>
      <c r="AX838" s="50"/>
      <c r="AY838" s="50"/>
      <c r="AZ838" s="50"/>
      <c r="BA838" s="50"/>
      <c r="BB838" s="50"/>
      <c r="BC838" s="50"/>
      <c r="BD838" s="50"/>
      <c r="BE838" s="20"/>
      <c r="BF838" s="518"/>
      <c r="BG838" s="484"/>
      <c r="BH838" s="484"/>
      <c r="BI838" s="527"/>
      <c r="BJ838" s="484"/>
      <c r="BK838" s="484"/>
      <c r="BL838" s="484"/>
      <c r="BM838" s="484"/>
    </row>
    <row r="839" spans="1:65" s="22" customFormat="1" x14ac:dyDescent="0.25">
      <c r="A839" s="20"/>
      <c r="B839" s="515"/>
      <c r="C839" s="11"/>
      <c r="D839" s="11"/>
      <c r="E839" s="11"/>
      <c r="F839" s="21"/>
      <c r="G839" s="11"/>
      <c r="H839" s="50"/>
      <c r="I839" s="50"/>
      <c r="J839" s="50"/>
      <c r="K839" s="11"/>
      <c r="L839" s="50"/>
      <c r="M839" s="50"/>
      <c r="N839" s="50"/>
      <c r="O839" s="50"/>
      <c r="P839" s="50"/>
      <c r="Q839" s="11"/>
      <c r="R839" s="50"/>
      <c r="S839" s="50"/>
      <c r="T839" s="50"/>
      <c r="U839" s="11"/>
      <c r="V839" s="50"/>
      <c r="W839" s="50"/>
      <c r="X839" s="50"/>
      <c r="Y839" s="50"/>
      <c r="Z839" s="50"/>
      <c r="AA839" s="11"/>
      <c r="AB839" s="50"/>
      <c r="AC839" s="50"/>
      <c r="AD839" s="50"/>
      <c r="AE839" s="11"/>
      <c r="AF839" s="50"/>
      <c r="AG839" s="50"/>
      <c r="AH839" s="50"/>
      <c r="AI839" s="11"/>
      <c r="AJ839" s="50"/>
      <c r="AK839" s="50"/>
      <c r="AL839" s="50"/>
      <c r="AM839" s="11"/>
      <c r="AN839" s="50"/>
      <c r="AO839" s="50"/>
      <c r="AP839" s="50"/>
      <c r="AQ839" s="11"/>
      <c r="AR839" s="50"/>
      <c r="AS839" s="50"/>
      <c r="AT839" s="50"/>
      <c r="AU839" s="11"/>
      <c r="AV839" s="50"/>
      <c r="AW839" s="50"/>
      <c r="AX839" s="50"/>
      <c r="AY839" s="50"/>
      <c r="AZ839" s="50"/>
      <c r="BA839" s="50"/>
      <c r="BB839" s="50"/>
      <c r="BC839" s="50"/>
      <c r="BD839" s="50"/>
      <c r="BE839" s="20"/>
      <c r="BF839" s="518"/>
      <c r="BG839" s="484"/>
      <c r="BH839" s="484"/>
      <c r="BI839" s="527"/>
      <c r="BJ839" s="484"/>
      <c r="BK839" s="484"/>
      <c r="BL839" s="484"/>
      <c r="BM839" s="484"/>
    </row>
    <row r="840" spans="1:65" s="22" customFormat="1" x14ac:dyDescent="0.25">
      <c r="A840" s="20"/>
      <c r="B840" s="515"/>
      <c r="C840" s="11"/>
      <c r="D840" s="11"/>
      <c r="E840" s="11"/>
      <c r="F840" s="21"/>
      <c r="G840" s="11"/>
      <c r="H840" s="50"/>
      <c r="I840" s="50"/>
      <c r="J840" s="50"/>
      <c r="K840" s="11"/>
      <c r="L840" s="50"/>
      <c r="M840" s="50"/>
      <c r="N840" s="50"/>
      <c r="O840" s="50"/>
      <c r="P840" s="50"/>
      <c r="Q840" s="11"/>
      <c r="R840" s="50"/>
      <c r="S840" s="50"/>
      <c r="T840" s="50"/>
      <c r="U840" s="11"/>
      <c r="V840" s="50"/>
      <c r="W840" s="50"/>
      <c r="X840" s="50"/>
      <c r="Y840" s="50"/>
      <c r="Z840" s="50"/>
      <c r="AA840" s="11"/>
      <c r="AB840" s="50"/>
      <c r="AC840" s="50"/>
      <c r="AD840" s="50"/>
      <c r="AE840" s="11"/>
      <c r="AF840" s="50"/>
      <c r="AG840" s="50"/>
      <c r="AH840" s="50"/>
      <c r="AI840" s="11"/>
      <c r="AJ840" s="50"/>
      <c r="AK840" s="50"/>
      <c r="AL840" s="50"/>
      <c r="AM840" s="11"/>
      <c r="AN840" s="50"/>
      <c r="AO840" s="50"/>
      <c r="AP840" s="50"/>
      <c r="AQ840" s="11"/>
      <c r="AR840" s="50"/>
      <c r="AS840" s="50"/>
      <c r="AT840" s="50"/>
      <c r="AU840" s="11"/>
      <c r="AV840" s="50"/>
      <c r="AW840" s="50"/>
      <c r="AX840" s="50"/>
      <c r="AY840" s="50"/>
      <c r="AZ840" s="50"/>
      <c r="BA840" s="50"/>
      <c r="BB840" s="50"/>
      <c r="BC840" s="50"/>
      <c r="BD840" s="50"/>
      <c r="BE840" s="20"/>
      <c r="BF840" s="518"/>
      <c r="BG840" s="484"/>
      <c r="BH840" s="484"/>
      <c r="BI840" s="527"/>
      <c r="BJ840" s="484"/>
      <c r="BK840" s="484"/>
      <c r="BL840" s="484"/>
      <c r="BM840" s="484"/>
    </row>
    <row r="841" spans="1:65" s="22" customFormat="1" x14ac:dyDescent="0.25">
      <c r="A841" s="20"/>
      <c r="B841" s="515"/>
      <c r="C841" s="11"/>
      <c r="D841" s="11"/>
      <c r="E841" s="11"/>
      <c r="F841" s="21"/>
      <c r="G841" s="11"/>
      <c r="H841" s="50"/>
      <c r="I841" s="50"/>
      <c r="J841" s="50"/>
      <c r="K841" s="11"/>
      <c r="L841" s="50"/>
      <c r="M841" s="50"/>
      <c r="N841" s="50"/>
      <c r="O841" s="50"/>
      <c r="P841" s="50"/>
      <c r="Q841" s="11"/>
      <c r="R841" s="50"/>
      <c r="S841" s="50"/>
      <c r="T841" s="50"/>
      <c r="U841" s="11"/>
      <c r="V841" s="50"/>
      <c r="W841" s="50"/>
      <c r="X841" s="50"/>
      <c r="Y841" s="50"/>
      <c r="Z841" s="50"/>
      <c r="AA841" s="11"/>
      <c r="AB841" s="50"/>
      <c r="AC841" s="50"/>
      <c r="AD841" s="50"/>
      <c r="AE841" s="11"/>
      <c r="AF841" s="50"/>
      <c r="AG841" s="50"/>
      <c r="AH841" s="50"/>
      <c r="AI841" s="11"/>
      <c r="AJ841" s="50"/>
      <c r="AK841" s="50"/>
      <c r="AL841" s="50"/>
      <c r="AM841" s="11"/>
      <c r="AN841" s="50"/>
      <c r="AO841" s="50"/>
      <c r="AP841" s="50"/>
      <c r="AQ841" s="11"/>
      <c r="AR841" s="50"/>
      <c r="AS841" s="50"/>
      <c r="AT841" s="50"/>
      <c r="AU841" s="11"/>
      <c r="AV841" s="50"/>
      <c r="AW841" s="50"/>
      <c r="AX841" s="50"/>
      <c r="AY841" s="50"/>
      <c r="AZ841" s="50"/>
      <c r="BA841" s="50"/>
      <c r="BB841" s="50"/>
      <c r="BC841" s="50"/>
      <c r="BD841" s="50"/>
      <c r="BE841" s="20"/>
      <c r="BF841" s="518"/>
      <c r="BG841" s="484"/>
      <c r="BH841" s="484"/>
      <c r="BI841" s="527"/>
      <c r="BJ841" s="484"/>
      <c r="BK841" s="484"/>
      <c r="BL841" s="484"/>
      <c r="BM841" s="484"/>
    </row>
    <row r="842" spans="1:65" s="22" customFormat="1" x14ac:dyDescent="0.25">
      <c r="A842" s="20"/>
      <c r="B842" s="515"/>
      <c r="C842" s="11"/>
      <c r="D842" s="11"/>
      <c r="E842" s="11"/>
      <c r="F842" s="21"/>
      <c r="G842" s="11"/>
      <c r="H842" s="50"/>
      <c r="I842" s="50"/>
      <c r="J842" s="50"/>
      <c r="K842" s="11"/>
      <c r="L842" s="50"/>
      <c r="M842" s="50"/>
      <c r="N842" s="50"/>
      <c r="O842" s="50"/>
      <c r="P842" s="50"/>
      <c r="Q842" s="11"/>
      <c r="R842" s="50"/>
      <c r="S842" s="50"/>
      <c r="T842" s="50"/>
      <c r="U842" s="11"/>
      <c r="V842" s="50"/>
      <c r="W842" s="50"/>
      <c r="X842" s="50"/>
      <c r="Y842" s="50"/>
      <c r="Z842" s="50"/>
      <c r="AA842" s="11"/>
      <c r="AB842" s="50"/>
      <c r="AC842" s="50"/>
      <c r="AD842" s="50"/>
      <c r="AE842" s="11"/>
      <c r="AF842" s="50"/>
      <c r="AG842" s="50"/>
      <c r="AH842" s="50"/>
      <c r="AI842" s="11"/>
      <c r="AJ842" s="50"/>
      <c r="AK842" s="50"/>
      <c r="AL842" s="50"/>
      <c r="AM842" s="11"/>
      <c r="AN842" s="50"/>
      <c r="AO842" s="50"/>
      <c r="AP842" s="50"/>
      <c r="AQ842" s="11"/>
      <c r="AR842" s="50"/>
      <c r="AS842" s="50"/>
      <c r="AT842" s="50"/>
      <c r="AU842" s="11"/>
      <c r="AV842" s="50"/>
      <c r="AW842" s="50"/>
      <c r="AX842" s="50"/>
      <c r="AY842" s="50"/>
      <c r="AZ842" s="50"/>
      <c r="BA842" s="50"/>
      <c r="BB842" s="50"/>
      <c r="BC842" s="50"/>
      <c r="BD842" s="50"/>
      <c r="BE842" s="20"/>
      <c r="BF842" s="518"/>
      <c r="BG842" s="484"/>
      <c r="BH842" s="484"/>
      <c r="BI842" s="527"/>
      <c r="BJ842" s="484"/>
      <c r="BK842" s="484"/>
      <c r="BL842" s="484"/>
      <c r="BM842" s="484"/>
    </row>
    <row r="843" spans="1:65" s="22" customFormat="1" x14ac:dyDescent="0.25">
      <c r="A843" s="20"/>
      <c r="B843" s="515"/>
      <c r="C843" s="11"/>
      <c r="D843" s="11"/>
      <c r="E843" s="11"/>
      <c r="F843" s="21"/>
      <c r="G843" s="11"/>
      <c r="H843" s="50"/>
      <c r="I843" s="50"/>
      <c r="J843" s="50"/>
      <c r="K843" s="11"/>
      <c r="L843" s="50"/>
      <c r="M843" s="50"/>
      <c r="N843" s="50"/>
      <c r="O843" s="50"/>
      <c r="P843" s="50"/>
      <c r="Q843" s="11"/>
      <c r="R843" s="50"/>
      <c r="S843" s="50"/>
      <c r="T843" s="50"/>
      <c r="U843" s="11"/>
      <c r="V843" s="50"/>
      <c r="W843" s="50"/>
      <c r="X843" s="50"/>
      <c r="Y843" s="50"/>
      <c r="Z843" s="50"/>
      <c r="AA843" s="11"/>
      <c r="AB843" s="50"/>
      <c r="AC843" s="50"/>
      <c r="AD843" s="50"/>
      <c r="AE843" s="11"/>
      <c r="AF843" s="50"/>
      <c r="AG843" s="50"/>
      <c r="AH843" s="50"/>
      <c r="AI843" s="11"/>
      <c r="AJ843" s="50"/>
      <c r="AK843" s="50"/>
      <c r="AL843" s="50"/>
      <c r="AM843" s="11"/>
      <c r="AN843" s="50"/>
      <c r="AO843" s="50"/>
      <c r="AP843" s="50"/>
      <c r="AQ843" s="11"/>
      <c r="AR843" s="50"/>
      <c r="AS843" s="50"/>
      <c r="AT843" s="50"/>
      <c r="AU843" s="11"/>
      <c r="AV843" s="50"/>
      <c r="AW843" s="50"/>
      <c r="AX843" s="50"/>
      <c r="AY843" s="50"/>
      <c r="AZ843" s="50"/>
      <c r="BA843" s="50"/>
      <c r="BB843" s="50"/>
      <c r="BC843" s="50"/>
      <c r="BD843" s="50"/>
      <c r="BE843" s="20"/>
      <c r="BF843" s="518"/>
      <c r="BG843" s="484"/>
      <c r="BH843" s="484"/>
      <c r="BI843" s="527"/>
      <c r="BJ843" s="484"/>
      <c r="BK843" s="484"/>
      <c r="BL843" s="484"/>
      <c r="BM843" s="484"/>
    </row>
    <row r="844" spans="1:65" s="22" customFormat="1" x14ac:dyDescent="0.25">
      <c r="A844" s="20"/>
      <c r="B844" s="515"/>
      <c r="C844" s="11"/>
      <c r="D844" s="11"/>
      <c r="E844" s="11"/>
      <c r="F844" s="21"/>
      <c r="G844" s="11"/>
      <c r="H844" s="50"/>
      <c r="I844" s="50"/>
      <c r="J844" s="50"/>
      <c r="K844" s="11"/>
      <c r="L844" s="50"/>
      <c r="M844" s="50"/>
      <c r="N844" s="50"/>
      <c r="O844" s="50"/>
      <c r="P844" s="50"/>
      <c r="Q844" s="11"/>
      <c r="R844" s="50"/>
      <c r="S844" s="50"/>
      <c r="T844" s="50"/>
      <c r="U844" s="11"/>
      <c r="V844" s="50"/>
      <c r="W844" s="50"/>
      <c r="X844" s="50"/>
      <c r="Y844" s="50"/>
      <c r="Z844" s="50"/>
      <c r="AA844" s="11"/>
      <c r="AB844" s="50"/>
      <c r="AC844" s="50"/>
      <c r="AD844" s="50"/>
      <c r="AE844" s="11"/>
      <c r="AF844" s="50"/>
      <c r="AG844" s="50"/>
      <c r="AH844" s="50"/>
      <c r="AI844" s="11"/>
      <c r="AJ844" s="50"/>
      <c r="AK844" s="50"/>
      <c r="AL844" s="50"/>
      <c r="AM844" s="11"/>
      <c r="AN844" s="50"/>
      <c r="AO844" s="50"/>
      <c r="AP844" s="50"/>
      <c r="AQ844" s="11"/>
      <c r="AR844" s="50"/>
      <c r="AS844" s="50"/>
      <c r="AT844" s="50"/>
      <c r="AU844" s="11"/>
      <c r="AV844" s="50"/>
      <c r="AW844" s="50"/>
      <c r="AX844" s="50"/>
      <c r="AY844" s="50"/>
      <c r="AZ844" s="50"/>
      <c r="BA844" s="50"/>
      <c r="BB844" s="50"/>
      <c r="BC844" s="50"/>
      <c r="BD844" s="50"/>
      <c r="BE844" s="20"/>
      <c r="BF844" s="518"/>
      <c r="BG844" s="484"/>
      <c r="BH844" s="484"/>
      <c r="BI844" s="527"/>
      <c r="BJ844" s="484"/>
      <c r="BK844" s="484"/>
      <c r="BL844" s="484"/>
      <c r="BM844" s="484"/>
    </row>
    <row r="845" spans="1:65" s="22" customFormat="1" x14ac:dyDescent="0.25">
      <c r="A845" s="20"/>
      <c r="B845" s="515"/>
      <c r="C845" s="11"/>
      <c r="D845" s="11"/>
      <c r="E845" s="11"/>
      <c r="F845" s="21"/>
      <c r="G845" s="11"/>
      <c r="H845" s="50"/>
      <c r="I845" s="50"/>
      <c r="J845" s="50"/>
      <c r="K845" s="11"/>
      <c r="L845" s="50"/>
      <c r="M845" s="50"/>
      <c r="N845" s="50"/>
      <c r="O845" s="50"/>
      <c r="P845" s="50"/>
      <c r="Q845" s="11"/>
      <c r="R845" s="50"/>
      <c r="S845" s="50"/>
      <c r="T845" s="50"/>
      <c r="U845" s="11"/>
      <c r="V845" s="50"/>
      <c r="W845" s="50"/>
      <c r="X845" s="50"/>
      <c r="Y845" s="50"/>
      <c r="Z845" s="50"/>
      <c r="AA845" s="11"/>
      <c r="AB845" s="50"/>
      <c r="AC845" s="50"/>
      <c r="AD845" s="50"/>
      <c r="AE845" s="11"/>
      <c r="AF845" s="50"/>
      <c r="AG845" s="50"/>
      <c r="AH845" s="50"/>
      <c r="AI845" s="11"/>
      <c r="AJ845" s="50"/>
      <c r="AK845" s="50"/>
      <c r="AL845" s="50"/>
      <c r="AM845" s="11"/>
      <c r="AN845" s="50"/>
      <c r="AO845" s="50"/>
      <c r="AP845" s="50"/>
      <c r="AQ845" s="11"/>
      <c r="AR845" s="50"/>
      <c r="AS845" s="50"/>
      <c r="AT845" s="50"/>
      <c r="AU845" s="11"/>
      <c r="AV845" s="50"/>
      <c r="AW845" s="50"/>
      <c r="AX845" s="50"/>
      <c r="AY845" s="50"/>
      <c r="AZ845" s="50"/>
      <c r="BA845" s="50"/>
      <c r="BB845" s="50"/>
      <c r="BC845" s="50"/>
      <c r="BD845" s="50"/>
      <c r="BE845" s="20"/>
      <c r="BF845" s="518"/>
      <c r="BG845" s="484"/>
      <c r="BH845" s="484"/>
      <c r="BI845" s="527"/>
      <c r="BJ845" s="484"/>
      <c r="BK845" s="484"/>
      <c r="BL845" s="484"/>
      <c r="BM845" s="484"/>
    </row>
    <row r="846" spans="1:65" s="22" customFormat="1" x14ac:dyDescent="0.25">
      <c r="A846" s="20"/>
      <c r="B846" s="515"/>
      <c r="C846" s="11"/>
      <c r="D846" s="11"/>
      <c r="E846" s="11"/>
      <c r="F846" s="21"/>
      <c r="G846" s="11"/>
      <c r="H846" s="50"/>
      <c r="I846" s="50"/>
      <c r="J846" s="50"/>
      <c r="K846" s="11"/>
      <c r="L846" s="50"/>
      <c r="M846" s="50"/>
      <c r="N846" s="50"/>
      <c r="O846" s="50"/>
      <c r="P846" s="50"/>
      <c r="Q846" s="11"/>
      <c r="R846" s="50"/>
      <c r="S846" s="50"/>
      <c r="T846" s="50"/>
      <c r="U846" s="11"/>
      <c r="V846" s="50"/>
      <c r="W846" s="50"/>
      <c r="X846" s="50"/>
      <c r="Y846" s="50"/>
      <c r="Z846" s="50"/>
      <c r="AA846" s="11"/>
      <c r="AB846" s="50"/>
      <c r="AC846" s="50"/>
      <c r="AD846" s="50"/>
      <c r="AE846" s="11"/>
      <c r="AF846" s="50"/>
      <c r="AG846" s="50"/>
      <c r="AH846" s="50"/>
      <c r="AI846" s="11"/>
      <c r="AJ846" s="50"/>
      <c r="AK846" s="50"/>
      <c r="AL846" s="50"/>
      <c r="AM846" s="11"/>
      <c r="AN846" s="50"/>
      <c r="AO846" s="50"/>
      <c r="AP846" s="50"/>
      <c r="AQ846" s="11"/>
      <c r="AR846" s="50"/>
      <c r="AS846" s="50"/>
      <c r="AT846" s="50"/>
      <c r="AU846" s="11"/>
      <c r="AV846" s="50"/>
      <c r="AW846" s="50"/>
      <c r="AX846" s="50"/>
      <c r="AY846" s="50"/>
      <c r="AZ846" s="50"/>
      <c r="BA846" s="50"/>
      <c r="BB846" s="50"/>
      <c r="BC846" s="50"/>
      <c r="BD846" s="50"/>
      <c r="BE846" s="20"/>
      <c r="BF846" s="518"/>
      <c r="BG846" s="484"/>
      <c r="BH846" s="484"/>
      <c r="BI846" s="527"/>
      <c r="BJ846" s="484"/>
      <c r="BK846" s="484"/>
      <c r="BL846" s="484"/>
      <c r="BM846" s="484"/>
    </row>
    <row r="847" spans="1:65" s="22" customFormat="1" x14ac:dyDescent="0.25">
      <c r="A847" s="20"/>
      <c r="B847" s="515"/>
      <c r="C847" s="11"/>
      <c r="D847" s="11"/>
      <c r="E847" s="11"/>
      <c r="F847" s="21"/>
      <c r="G847" s="11"/>
      <c r="H847" s="50"/>
      <c r="I847" s="50"/>
      <c r="J847" s="50"/>
      <c r="K847" s="11"/>
      <c r="L847" s="50"/>
      <c r="M847" s="50"/>
      <c r="N847" s="50"/>
      <c r="O847" s="50"/>
      <c r="P847" s="50"/>
      <c r="Q847" s="11"/>
      <c r="R847" s="50"/>
      <c r="S847" s="50"/>
      <c r="T847" s="50"/>
      <c r="U847" s="11"/>
      <c r="V847" s="50"/>
      <c r="W847" s="50"/>
      <c r="X847" s="50"/>
      <c r="Y847" s="50"/>
      <c r="Z847" s="50"/>
      <c r="AA847" s="11"/>
      <c r="AB847" s="50"/>
      <c r="AC847" s="50"/>
      <c r="AD847" s="50"/>
      <c r="AE847" s="11"/>
      <c r="AF847" s="50"/>
      <c r="AG847" s="50"/>
      <c r="AH847" s="50"/>
      <c r="AI847" s="11"/>
      <c r="AJ847" s="50"/>
      <c r="AK847" s="50"/>
      <c r="AL847" s="50"/>
      <c r="AM847" s="11"/>
      <c r="AN847" s="50"/>
      <c r="AO847" s="50"/>
      <c r="AP847" s="50"/>
      <c r="AQ847" s="11"/>
      <c r="AR847" s="50"/>
      <c r="AS847" s="50"/>
      <c r="AT847" s="50"/>
      <c r="AU847" s="11"/>
      <c r="AV847" s="50"/>
      <c r="AW847" s="50"/>
      <c r="AX847" s="50"/>
      <c r="AY847" s="50"/>
      <c r="AZ847" s="50"/>
      <c r="BA847" s="50"/>
      <c r="BB847" s="50"/>
      <c r="BC847" s="50"/>
      <c r="BD847" s="50"/>
      <c r="BE847" s="20"/>
      <c r="BF847" s="518"/>
      <c r="BG847" s="484"/>
      <c r="BH847" s="484"/>
      <c r="BI847" s="527"/>
      <c r="BJ847" s="484"/>
      <c r="BK847" s="484"/>
      <c r="BL847" s="484"/>
      <c r="BM847" s="484"/>
    </row>
    <row r="848" spans="1:65" s="22" customFormat="1" x14ac:dyDescent="0.25">
      <c r="A848" s="20"/>
      <c r="B848" s="515"/>
      <c r="C848" s="11"/>
      <c r="D848" s="11"/>
      <c r="E848" s="11"/>
      <c r="F848" s="21"/>
      <c r="G848" s="11"/>
      <c r="H848" s="50"/>
      <c r="I848" s="50"/>
      <c r="J848" s="50"/>
      <c r="K848" s="11"/>
      <c r="L848" s="50"/>
      <c r="M848" s="50"/>
      <c r="N848" s="50"/>
      <c r="O848" s="50"/>
      <c r="P848" s="50"/>
      <c r="Q848" s="11"/>
      <c r="R848" s="50"/>
      <c r="S848" s="50"/>
      <c r="T848" s="50"/>
      <c r="U848" s="11"/>
      <c r="V848" s="50"/>
      <c r="W848" s="50"/>
      <c r="X848" s="50"/>
      <c r="Y848" s="50"/>
      <c r="Z848" s="50"/>
      <c r="AA848" s="11"/>
      <c r="AB848" s="50"/>
      <c r="AC848" s="50"/>
      <c r="AD848" s="50"/>
      <c r="AE848" s="11"/>
      <c r="AF848" s="50"/>
      <c r="AG848" s="50"/>
      <c r="AH848" s="50"/>
      <c r="AI848" s="11"/>
      <c r="AJ848" s="50"/>
      <c r="AK848" s="50"/>
      <c r="AL848" s="50"/>
      <c r="AM848" s="11"/>
      <c r="AN848" s="50"/>
      <c r="AO848" s="50"/>
      <c r="AP848" s="50"/>
      <c r="AQ848" s="11"/>
      <c r="AR848" s="50"/>
      <c r="AS848" s="50"/>
      <c r="AT848" s="50"/>
      <c r="AU848" s="11"/>
      <c r="AV848" s="50"/>
      <c r="AW848" s="50"/>
      <c r="AX848" s="50"/>
      <c r="AY848" s="50"/>
      <c r="AZ848" s="50"/>
      <c r="BA848" s="50"/>
      <c r="BB848" s="50"/>
      <c r="BC848" s="50"/>
      <c r="BD848" s="50"/>
      <c r="BE848" s="20"/>
      <c r="BF848" s="518"/>
      <c r="BG848" s="484"/>
      <c r="BH848" s="484"/>
      <c r="BI848" s="527"/>
      <c r="BJ848" s="484"/>
      <c r="BK848" s="484"/>
      <c r="BL848" s="484"/>
      <c r="BM848" s="484"/>
    </row>
    <row r="849" spans="1:65" s="22" customFormat="1" x14ac:dyDescent="0.25">
      <c r="A849" s="20"/>
      <c r="B849" s="515"/>
      <c r="C849" s="11"/>
      <c r="D849" s="11"/>
      <c r="E849" s="11"/>
      <c r="F849" s="21"/>
      <c r="G849" s="11"/>
      <c r="H849" s="50"/>
      <c r="I849" s="50"/>
      <c r="J849" s="50"/>
      <c r="K849" s="11"/>
      <c r="L849" s="50"/>
      <c r="M849" s="50"/>
      <c r="N849" s="50"/>
      <c r="O849" s="50"/>
      <c r="P849" s="50"/>
      <c r="Q849" s="11"/>
      <c r="R849" s="50"/>
      <c r="S849" s="50"/>
      <c r="T849" s="50"/>
      <c r="U849" s="11"/>
      <c r="V849" s="50"/>
      <c r="W849" s="50"/>
      <c r="X849" s="50"/>
      <c r="Y849" s="50"/>
      <c r="Z849" s="50"/>
      <c r="AA849" s="11"/>
      <c r="AB849" s="50"/>
      <c r="AC849" s="50"/>
      <c r="AD849" s="50"/>
      <c r="AE849" s="11"/>
      <c r="AF849" s="50"/>
      <c r="AG849" s="50"/>
      <c r="AH849" s="50"/>
      <c r="AI849" s="11"/>
      <c r="AJ849" s="50"/>
      <c r="AK849" s="50"/>
      <c r="AL849" s="50"/>
      <c r="AM849" s="11"/>
      <c r="AN849" s="50"/>
      <c r="AO849" s="50"/>
      <c r="AP849" s="50"/>
      <c r="AQ849" s="11"/>
      <c r="AR849" s="50"/>
      <c r="AS849" s="50"/>
      <c r="AT849" s="50"/>
      <c r="AU849" s="11"/>
      <c r="AV849" s="50"/>
      <c r="AW849" s="50"/>
      <c r="AX849" s="50"/>
      <c r="AY849" s="50"/>
      <c r="AZ849" s="50"/>
      <c r="BA849" s="50"/>
      <c r="BB849" s="50"/>
      <c r="BC849" s="50"/>
      <c r="BD849" s="50"/>
      <c r="BE849" s="20"/>
      <c r="BF849" s="518"/>
      <c r="BG849" s="484"/>
      <c r="BH849" s="484"/>
      <c r="BI849" s="527"/>
      <c r="BJ849" s="484"/>
      <c r="BK849" s="484"/>
      <c r="BL849" s="484"/>
      <c r="BM849" s="484"/>
    </row>
    <row r="850" spans="1:65" s="22" customFormat="1" x14ac:dyDescent="0.25">
      <c r="A850" s="20"/>
      <c r="B850" s="515"/>
      <c r="C850" s="11"/>
      <c r="D850" s="11"/>
      <c r="E850" s="11"/>
      <c r="F850" s="21"/>
      <c r="G850" s="11"/>
      <c r="H850" s="50"/>
      <c r="I850" s="50"/>
      <c r="J850" s="50"/>
      <c r="K850" s="11"/>
      <c r="L850" s="50"/>
      <c r="M850" s="50"/>
      <c r="N850" s="50"/>
      <c r="O850" s="50"/>
      <c r="P850" s="50"/>
      <c r="Q850" s="11"/>
      <c r="R850" s="50"/>
      <c r="S850" s="50"/>
      <c r="T850" s="50"/>
      <c r="U850" s="11"/>
      <c r="V850" s="50"/>
      <c r="W850" s="50"/>
      <c r="X850" s="50"/>
      <c r="Y850" s="50"/>
      <c r="Z850" s="50"/>
      <c r="AA850" s="11"/>
      <c r="AB850" s="50"/>
      <c r="AC850" s="50"/>
      <c r="AD850" s="50"/>
      <c r="AE850" s="11"/>
      <c r="AF850" s="50"/>
      <c r="AG850" s="50"/>
      <c r="AH850" s="50"/>
      <c r="AI850" s="11"/>
      <c r="AJ850" s="50"/>
      <c r="AK850" s="50"/>
      <c r="AL850" s="50"/>
      <c r="AM850" s="11"/>
      <c r="AN850" s="50"/>
      <c r="AO850" s="50"/>
      <c r="AP850" s="50"/>
      <c r="AQ850" s="11"/>
      <c r="AR850" s="50"/>
      <c r="AS850" s="50"/>
      <c r="AT850" s="50"/>
      <c r="AU850" s="11"/>
      <c r="AV850" s="50"/>
      <c r="AW850" s="50"/>
      <c r="AX850" s="50"/>
      <c r="AY850" s="50"/>
      <c r="AZ850" s="50"/>
      <c r="BA850" s="50"/>
      <c r="BB850" s="50"/>
      <c r="BC850" s="50"/>
      <c r="BD850" s="50"/>
      <c r="BE850" s="20"/>
      <c r="BF850" s="518"/>
      <c r="BG850" s="484"/>
      <c r="BH850" s="484"/>
      <c r="BI850" s="527"/>
      <c r="BJ850" s="484"/>
      <c r="BK850" s="484"/>
      <c r="BL850" s="484"/>
      <c r="BM850" s="484"/>
    </row>
    <row r="851" spans="1:65" s="22" customFormat="1" x14ac:dyDescent="0.25">
      <c r="A851" s="20"/>
      <c r="B851" s="515"/>
      <c r="C851" s="11"/>
      <c r="D851" s="11"/>
      <c r="E851" s="11"/>
      <c r="F851" s="21"/>
      <c r="G851" s="11"/>
      <c r="H851" s="50"/>
      <c r="I851" s="50"/>
      <c r="J851" s="50"/>
      <c r="K851" s="11"/>
      <c r="L851" s="50"/>
      <c r="M851" s="50"/>
      <c r="N851" s="50"/>
      <c r="O851" s="50"/>
      <c r="P851" s="50"/>
      <c r="Q851" s="11"/>
      <c r="R851" s="50"/>
      <c r="S851" s="50"/>
      <c r="T851" s="50"/>
      <c r="U851" s="11"/>
      <c r="V851" s="50"/>
      <c r="W851" s="50"/>
      <c r="X851" s="50"/>
      <c r="Y851" s="50"/>
      <c r="Z851" s="50"/>
      <c r="AA851" s="11"/>
      <c r="AB851" s="50"/>
      <c r="AC851" s="50"/>
      <c r="AD851" s="50"/>
      <c r="AE851" s="11"/>
      <c r="AF851" s="50"/>
      <c r="AG851" s="50"/>
      <c r="AH851" s="50"/>
      <c r="AI851" s="11"/>
      <c r="AJ851" s="50"/>
      <c r="AK851" s="50"/>
      <c r="AL851" s="50"/>
      <c r="AM851" s="11"/>
      <c r="AN851" s="50"/>
      <c r="AO851" s="50"/>
      <c r="AP851" s="50"/>
      <c r="AQ851" s="11"/>
      <c r="AR851" s="50"/>
      <c r="AS851" s="50"/>
      <c r="AT851" s="50"/>
      <c r="AU851" s="11"/>
      <c r="AV851" s="50"/>
      <c r="AW851" s="50"/>
      <c r="AX851" s="50"/>
      <c r="AY851" s="50"/>
      <c r="AZ851" s="50"/>
      <c r="BA851" s="50"/>
      <c r="BB851" s="50"/>
      <c r="BC851" s="50"/>
      <c r="BD851" s="50"/>
      <c r="BE851" s="20"/>
      <c r="BF851" s="518"/>
      <c r="BG851" s="484"/>
      <c r="BH851" s="484"/>
      <c r="BI851" s="527"/>
      <c r="BJ851" s="484"/>
      <c r="BK851" s="484"/>
      <c r="BL851" s="484"/>
      <c r="BM851" s="484"/>
    </row>
    <row r="852" spans="1:65" s="22" customFormat="1" x14ac:dyDescent="0.25">
      <c r="A852" s="20"/>
      <c r="B852" s="515"/>
      <c r="C852" s="11"/>
      <c r="D852" s="11"/>
      <c r="E852" s="11"/>
      <c r="F852" s="21"/>
      <c r="G852" s="11"/>
      <c r="H852" s="50"/>
      <c r="I852" s="50"/>
      <c r="J852" s="50"/>
      <c r="K852" s="11"/>
      <c r="L852" s="50"/>
      <c r="M852" s="50"/>
      <c r="N852" s="50"/>
      <c r="O852" s="50"/>
      <c r="P852" s="50"/>
      <c r="Q852" s="11"/>
      <c r="R852" s="50"/>
      <c r="S852" s="50"/>
      <c r="T852" s="50"/>
      <c r="U852" s="11"/>
      <c r="V852" s="50"/>
      <c r="W852" s="50"/>
      <c r="X852" s="50"/>
      <c r="Y852" s="50"/>
      <c r="Z852" s="50"/>
      <c r="AA852" s="11"/>
      <c r="AB852" s="50"/>
      <c r="AC852" s="50"/>
      <c r="AD852" s="50"/>
      <c r="AE852" s="11"/>
      <c r="AF852" s="50"/>
      <c r="AG852" s="50"/>
      <c r="AH852" s="50"/>
      <c r="AI852" s="11"/>
      <c r="AJ852" s="50"/>
      <c r="AK852" s="50"/>
      <c r="AL852" s="50"/>
      <c r="AM852" s="11"/>
      <c r="AN852" s="50"/>
      <c r="AO852" s="50"/>
      <c r="AP852" s="50"/>
      <c r="AQ852" s="11"/>
      <c r="AR852" s="50"/>
      <c r="AS852" s="50"/>
      <c r="AT852" s="50"/>
      <c r="AU852" s="11"/>
      <c r="AV852" s="50"/>
      <c r="AW852" s="50"/>
      <c r="AX852" s="50"/>
      <c r="AY852" s="50"/>
      <c r="AZ852" s="50"/>
      <c r="BA852" s="50"/>
      <c r="BB852" s="50"/>
      <c r="BC852" s="50"/>
      <c r="BD852" s="50"/>
      <c r="BE852" s="20"/>
      <c r="BF852" s="518"/>
      <c r="BG852" s="484"/>
      <c r="BH852" s="484"/>
      <c r="BI852" s="527"/>
      <c r="BJ852" s="484"/>
      <c r="BK852" s="484"/>
      <c r="BL852" s="484"/>
      <c r="BM852" s="484"/>
    </row>
    <row r="853" spans="1:65" s="22" customFormat="1" x14ac:dyDescent="0.25">
      <c r="A853" s="20"/>
      <c r="B853" s="515"/>
      <c r="C853" s="11"/>
      <c r="D853" s="11"/>
      <c r="E853" s="11"/>
      <c r="F853" s="21"/>
      <c r="G853" s="11"/>
      <c r="H853" s="50"/>
      <c r="I853" s="50"/>
      <c r="J853" s="50"/>
      <c r="K853" s="11"/>
      <c r="L853" s="50"/>
      <c r="M853" s="50"/>
      <c r="N853" s="50"/>
      <c r="O853" s="50"/>
      <c r="P853" s="50"/>
      <c r="Q853" s="11"/>
      <c r="R853" s="50"/>
      <c r="S853" s="50"/>
      <c r="T853" s="50"/>
      <c r="U853" s="11"/>
      <c r="V853" s="50"/>
      <c r="W853" s="50"/>
      <c r="X853" s="50"/>
      <c r="Y853" s="50"/>
      <c r="Z853" s="50"/>
      <c r="AA853" s="11"/>
      <c r="AB853" s="50"/>
      <c r="AC853" s="50"/>
      <c r="AD853" s="50"/>
      <c r="AE853" s="11"/>
      <c r="AF853" s="50"/>
      <c r="AG853" s="50"/>
      <c r="AH853" s="50"/>
      <c r="AI853" s="11"/>
      <c r="AJ853" s="50"/>
      <c r="AK853" s="50"/>
      <c r="AL853" s="50"/>
      <c r="AM853" s="11"/>
      <c r="AN853" s="50"/>
      <c r="AO853" s="50"/>
      <c r="AP853" s="50"/>
      <c r="AQ853" s="11"/>
      <c r="AR853" s="50"/>
      <c r="AS853" s="50"/>
      <c r="AT853" s="50"/>
      <c r="AU853" s="11"/>
      <c r="AV853" s="50"/>
      <c r="AW853" s="50"/>
      <c r="AX853" s="50"/>
      <c r="AY853" s="50"/>
      <c r="AZ853" s="50"/>
      <c r="BA853" s="50"/>
      <c r="BB853" s="50"/>
      <c r="BC853" s="50"/>
      <c r="BD853" s="50"/>
      <c r="BE853" s="20"/>
      <c r="BF853" s="518"/>
      <c r="BG853" s="484"/>
      <c r="BH853" s="484"/>
      <c r="BI853" s="527"/>
      <c r="BJ853" s="484"/>
      <c r="BK853" s="484"/>
      <c r="BL853" s="484"/>
      <c r="BM853" s="484"/>
    </row>
    <row r="854" spans="1:65" s="22" customFormat="1" x14ac:dyDescent="0.25">
      <c r="A854" s="20"/>
      <c r="B854" s="515"/>
      <c r="C854" s="11"/>
      <c r="D854" s="11"/>
      <c r="E854" s="11"/>
      <c r="F854" s="21"/>
      <c r="G854" s="11"/>
      <c r="H854" s="50"/>
      <c r="I854" s="50"/>
      <c r="J854" s="50"/>
      <c r="K854" s="11"/>
      <c r="L854" s="50"/>
      <c r="M854" s="50"/>
      <c r="N854" s="50"/>
      <c r="O854" s="50"/>
      <c r="P854" s="50"/>
      <c r="Q854" s="11"/>
      <c r="R854" s="50"/>
      <c r="S854" s="50"/>
      <c r="T854" s="50"/>
      <c r="U854" s="11"/>
      <c r="V854" s="50"/>
      <c r="W854" s="50"/>
      <c r="X854" s="50"/>
      <c r="Y854" s="50"/>
      <c r="Z854" s="50"/>
      <c r="AA854" s="11"/>
      <c r="AB854" s="50"/>
      <c r="AC854" s="50"/>
      <c r="AD854" s="50"/>
      <c r="AE854" s="11"/>
      <c r="AF854" s="50"/>
      <c r="AG854" s="50"/>
      <c r="AH854" s="50"/>
      <c r="AI854" s="11"/>
      <c r="AJ854" s="50"/>
      <c r="AK854" s="50"/>
      <c r="AL854" s="50"/>
      <c r="AM854" s="11"/>
      <c r="AN854" s="50"/>
      <c r="AO854" s="50"/>
      <c r="AP854" s="50"/>
      <c r="AQ854" s="11"/>
      <c r="AR854" s="50"/>
      <c r="AS854" s="50"/>
      <c r="AT854" s="50"/>
      <c r="AU854" s="11"/>
      <c r="AV854" s="50"/>
      <c r="AW854" s="50"/>
      <c r="AX854" s="50"/>
      <c r="AY854" s="50"/>
      <c r="AZ854" s="50"/>
      <c r="BA854" s="50"/>
      <c r="BB854" s="50"/>
      <c r="BC854" s="50"/>
      <c r="BD854" s="50"/>
      <c r="BE854" s="20"/>
      <c r="BF854" s="518"/>
      <c r="BG854" s="484"/>
      <c r="BH854" s="484"/>
      <c r="BI854" s="527"/>
      <c r="BJ854" s="484"/>
      <c r="BK854" s="484"/>
      <c r="BL854" s="484"/>
      <c r="BM854" s="484"/>
    </row>
    <row r="855" spans="1:65" s="22" customFormat="1" x14ac:dyDescent="0.25">
      <c r="A855" s="20"/>
      <c r="B855" s="515"/>
      <c r="C855" s="11"/>
      <c r="D855" s="11"/>
      <c r="E855" s="11"/>
      <c r="F855" s="21"/>
      <c r="G855" s="11"/>
      <c r="H855" s="50"/>
      <c r="I855" s="50"/>
      <c r="J855" s="50"/>
      <c r="K855" s="11"/>
      <c r="L855" s="50"/>
      <c r="M855" s="50"/>
      <c r="N855" s="50"/>
      <c r="O855" s="50"/>
      <c r="P855" s="50"/>
      <c r="Q855" s="11"/>
      <c r="R855" s="50"/>
      <c r="S855" s="50"/>
      <c r="T855" s="50"/>
      <c r="U855" s="11"/>
      <c r="V855" s="50"/>
      <c r="W855" s="50"/>
      <c r="X855" s="50"/>
      <c r="Y855" s="50"/>
      <c r="Z855" s="50"/>
      <c r="AA855" s="11"/>
      <c r="AB855" s="50"/>
      <c r="AC855" s="50"/>
      <c r="AD855" s="50"/>
      <c r="AE855" s="11"/>
      <c r="AF855" s="50"/>
      <c r="AG855" s="50"/>
      <c r="AH855" s="50"/>
      <c r="AI855" s="11"/>
      <c r="AJ855" s="50"/>
      <c r="AK855" s="50"/>
      <c r="AL855" s="50"/>
      <c r="AM855" s="11"/>
      <c r="AN855" s="50"/>
      <c r="AO855" s="50"/>
      <c r="AP855" s="50"/>
      <c r="AQ855" s="11"/>
      <c r="AR855" s="50"/>
      <c r="AS855" s="50"/>
      <c r="AT855" s="50"/>
      <c r="AU855" s="11"/>
      <c r="AV855" s="50"/>
      <c r="AW855" s="50"/>
      <c r="AX855" s="50"/>
      <c r="AY855" s="50"/>
      <c r="AZ855" s="50"/>
      <c r="BA855" s="50"/>
      <c r="BB855" s="50"/>
      <c r="BC855" s="50"/>
      <c r="BD855" s="50"/>
      <c r="BE855" s="20"/>
      <c r="BF855" s="518"/>
      <c r="BG855" s="484"/>
      <c r="BH855" s="484"/>
      <c r="BI855" s="527"/>
      <c r="BJ855" s="484"/>
      <c r="BK855" s="484"/>
      <c r="BL855" s="484"/>
      <c r="BM855" s="484"/>
    </row>
    <row r="856" spans="1:65" s="22" customFormat="1" x14ac:dyDescent="0.25">
      <c r="A856" s="20"/>
      <c r="B856" s="515"/>
      <c r="C856" s="11"/>
      <c r="D856" s="11"/>
      <c r="E856" s="11"/>
      <c r="F856" s="21"/>
      <c r="G856" s="11"/>
      <c r="H856" s="50"/>
      <c r="I856" s="50"/>
      <c r="J856" s="50"/>
      <c r="K856" s="11"/>
      <c r="L856" s="50"/>
      <c r="M856" s="50"/>
      <c r="N856" s="50"/>
      <c r="O856" s="50"/>
      <c r="P856" s="50"/>
      <c r="Q856" s="11"/>
      <c r="R856" s="50"/>
      <c r="S856" s="50"/>
      <c r="T856" s="50"/>
      <c r="U856" s="11"/>
      <c r="V856" s="50"/>
      <c r="W856" s="50"/>
      <c r="X856" s="50"/>
      <c r="Y856" s="50"/>
      <c r="Z856" s="50"/>
      <c r="AA856" s="11"/>
      <c r="AB856" s="50"/>
      <c r="AC856" s="50"/>
      <c r="AD856" s="50"/>
      <c r="AE856" s="11"/>
      <c r="AF856" s="50"/>
      <c r="AG856" s="50"/>
      <c r="AH856" s="50"/>
      <c r="AI856" s="11"/>
      <c r="AJ856" s="50"/>
      <c r="AK856" s="50"/>
      <c r="AL856" s="50"/>
      <c r="AM856" s="11"/>
      <c r="AN856" s="50"/>
      <c r="AO856" s="50"/>
      <c r="AP856" s="50"/>
      <c r="AQ856" s="11"/>
      <c r="AR856" s="50"/>
      <c r="AS856" s="50"/>
      <c r="AT856" s="50"/>
      <c r="AU856" s="11"/>
      <c r="AV856" s="50"/>
      <c r="AW856" s="50"/>
      <c r="AX856" s="50"/>
      <c r="AY856" s="50"/>
      <c r="AZ856" s="50"/>
      <c r="BA856" s="50"/>
      <c r="BB856" s="50"/>
      <c r="BC856" s="50"/>
      <c r="BD856" s="50"/>
      <c r="BE856" s="20"/>
      <c r="BF856" s="518"/>
      <c r="BG856" s="484"/>
      <c r="BH856" s="484"/>
      <c r="BI856" s="527"/>
      <c r="BJ856" s="484"/>
      <c r="BK856" s="484"/>
      <c r="BL856" s="484"/>
      <c r="BM856" s="484"/>
    </row>
    <row r="857" spans="1:65" s="22" customFormat="1" x14ac:dyDescent="0.25">
      <c r="A857" s="20"/>
      <c r="B857" s="515"/>
      <c r="C857" s="11"/>
      <c r="D857" s="11"/>
      <c r="E857" s="11"/>
      <c r="F857" s="21"/>
      <c r="G857" s="11"/>
      <c r="H857" s="50"/>
      <c r="I857" s="50"/>
      <c r="J857" s="50"/>
      <c r="K857" s="11"/>
      <c r="L857" s="50"/>
      <c r="M857" s="50"/>
      <c r="N857" s="50"/>
      <c r="O857" s="50"/>
      <c r="P857" s="50"/>
      <c r="Q857" s="11"/>
      <c r="R857" s="50"/>
      <c r="S857" s="50"/>
      <c r="T857" s="50"/>
      <c r="U857" s="11"/>
      <c r="V857" s="50"/>
      <c r="W857" s="50"/>
      <c r="X857" s="50"/>
      <c r="Y857" s="50"/>
      <c r="Z857" s="50"/>
      <c r="AA857" s="11"/>
      <c r="AB857" s="50"/>
      <c r="AC857" s="50"/>
      <c r="AD857" s="50"/>
      <c r="AE857" s="11"/>
      <c r="AF857" s="50"/>
      <c r="AG857" s="50"/>
      <c r="AH857" s="50"/>
      <c r="AI857" s="11"/>
      <c r="AJ857" s="50"/>
      <c r="AK857" s="50"/>
      <c r="AL857" s="50"/>
      <c r="AM857" s="11"/>
      <c r="AN857" s="50"/>
      <c r="AO857" s="50"/>
      <c r="AP857" s="50"/>
      <c r="AQ857" s="11"/>
      <c r="AR857" s="50"/>
      <c r="AS857" s="50"/>
      <c r="AT857" s="50"/>
      <c r="AU857" s="11"/>
      <c r="AV857" s="50"/>
      <c r="AW857" s="50"/>
      <c r="AX857" s="50"/>
      <c r="AY857" s="50"/>
      <c r="AZ857" s="50"/>
      <c r="BA857" s="50"/>
      <c r="BB857" s="50"/>
      <c r="BC857" s="50"/>
      <c r="BD857" s="50"/>
      <c r="BE857" s="20"/>
      <c r="BF857" s="518"/>
      <c r="BG857" s="484"/>
      <c r="BH857" s="484"/>
      <c r="BI857" s="527"/>
      <c r="BJ857" s="484"/>
      <c r="BK857" s="484"/>
      <c r="BL857" s="484"/>
      <c r="BM857" s="484"/>
    </row>
    <row r="858" spans="1:65" s="22" customFormat="1" x14ac:dyDescent="0.25">
      <c r="A858" s="20"/>
      <c r="B858" s="515"/>
      <c r="C858" s="11"/>
      <c r="D858" s="11"/>
      <c r="E858" s="11"/>
      <c r="F858" s="21"/>
      <c r="G858" s="11"/>
      <c r="H858" s="50"/>
      <c r="I858" s="50"/>
      <c r="J858" s="50"/>
      <c r="K858" s="11"/>
      <c r="L858" s="50"/>
      <c r="M858" s="50"/>
      <c r="N858" s="50"/>
      <c r="O858" s="50"/>
      <c r="P858" s="50"/>
      <c r="Q858" s="11"/>
      <c r="R858" s="50"/>
      <c r="S858" s="50"/>
      <c r="T858" s="50"/>
      <c r="U858" s="11"/>
      <c r="V858" s="50"/>
      <c r="W858" s="50"/>
      <c r="X858" s="50"/>
      <c r="Y858" s="50"/>
      <c r="Z858" s="50"/>
      <c r="AA858" s="11"/>
      <c r="AB858" s="50"/>
      <c r="AC858" s="50"/>
      <c r="AD858" s="50"/>
      <c r="AE858" s="11"/>
      <c r="AF858" s="50"/>
      <c r="AG858" s="50"/>
      <c r="AH858" s="50"/>
      <c r="AI858" s="11"/>
      <c r="AJ858" s="50"/>
      <c r="AK858" s="50"/>
      <c r="AL858" s="50"/>
      <c r="AM858" s="11"/>
      <c r="AN858" s="50"/>
      <c r="AO858" s="50"/>
      <c r="AP858" s="50"/>
      <c r="AQ858" s="11"/>
      <c r="AR858" s="50"/>
      <c r="AS858" s="50"/>
      <c r="AT858" s="50"/>
      <c r="AU858" s="11"/>
      <c r="AV858" s="50"/>
      <c r="AW858" s="50"/>
      <c r="AX858" s="50"/>
      <c r="AY858" s="50"/>
      <c r="AZ858" s="50"/>
      <c r="BA858" s="50"/>
      <c r="BB858" s="50"/>
      <c r="BC858" s="50"/>
      <c r="BD858" s="50"/>
      <c r="BE858" s="20"/>
      <c r="BF858" s="518"/>
      <c r="BG858" s="484"/>
      <c r="BH858" s="484"/>
      <c r="BI858" s="527"/>
      <c r="BJ858" s="484"/>
      <c r="BK858" s="484"/>
      <c r="BL858" s="484"/>
      <c r="BM858" s="484"/>
    </row>
    <row r="859" spans="1:65" s="22" customFormat="1" x14ac:dyDescent="0.25">
      <c r="A859" s="20"/>
      <c r="B859" s="515"/>
      <c r="C859" s="11"/>
      <c r="D859" s="11"/>
      <c r="E859" s="11"/>
      <c r="F859" s="21"/>
      <c r="G859" s="11"/>
      <c r="H859" s="50"/>
      <c r="I859" s="50"/>
      <c r="J859" s="50"/>
      <c r="K859" s="11"/>
      <c r="L859" s="50"/>
      <c r="M859" s="50"/>
      <c r="N859" s="50"/>
      <c r="O859" s="50"/>
      <c r="P859" s="50"/>
      <c r="Q859" s="11"/>
      <c r="R859" s="50"/>
      <c r="S859" s="50"/>
      <c r="T859" s="50"/>
      <c r="U859" s="11"/>
      <c r="V859" s="50"/>
      <c r="W859" s="50"/>
      <c r="X859" s="50"/>
      <c r="Y859" s="50"/>
      <c r="Z859" s="50"/>
      <c r="AA859" s="11"/>
      <c r="AB859" s="50"/>
      <c r="AC859" s="50"/>
      <c r="AD859" s="50"/>
      <c r="AE859" s="11"/>
      <c r="AF859" s="50"/>
      <c r="AG859" s="50"/>
      <c r="AH859" s="50"/>
      <c r="AI859" s="11"/>
      <c r="AJ859" s="50"/>
      <c r="AK859" s="50"/>
      <c r="AL859" s="50"/>
      <c r="AM859" s="11"/>
      <c r="AN859" s="50"/>
      <c r="AO859" s="50"/>
      <c r="AP859" s="50"/>
      <c r="AQ859" s="11"/>
      <c r="AR859" s="50"/>
      <c r="AS859" s="50"/>
      <c r="AT859" s="50"/>
      <c r="AU859" s="11"/>
      <c r="AV859" s="50"/>
      <c r="AW859" s="50"/>
      <c r="AX859" s="50"/>
      <c r="AY859" s="50"/>
      <c r="AZ859" s="50"/>
      <c r="BA859" s="50"/>
      <c r="BB859" s="50"/>
      <c r="BC859" s="50"/>
      <c r="BD859" s="50"/>
      <c r="BE859" s="20"/>
      <c r="BF859" s="518"/>
      <c r="BG859" s="484"/>
      <c r="BH859" s="484"/>
      <c r="BI859" s="527"/>
      <c r="BJ859" s="484"/>
      <c r="BK859" s="484"/>
      <c r="BL859" s="484"/>
      <c r="BM859" s="484"/>
    </row>
    <row r="860" spans="1:65" s="22" customFormat="1" x14ac:dyDescent="0.25">
      <c r="A860" s="20"/>
      <c r="B860" s="515"/>
      <c r="C860" s="11"/>
      <c r="D860" s="11"/>
      <c r="E860" s="11"/>
      <c r="F860" s="21"/>
      <c r="G860" s="11"/>
      <c r="H860" s="50"/>
      <c r="I860" s="50"/>
      <c r="J860" s="50"/>
      <c r="K860" s="11"/>
      <c r="L860" s="50"/>
      <c r="M860" s="50"/>
      <c r="N860" s="50"/>
      <c r="O860" s="50"/>
      <c r="P860" s="50"/>
      <c r="Q860" s="11"/>
      <c r="R860" s="50"/>
      <c r="S860" s="50"/>
      <c r="T860" s="50"/>
      <c r="U860" s="11"/>
      <c r="V860" s="50"/>
      <c r="W860" s="50"/>
      <c r="X860" s="50"/>
      <c r="Y860" s="50"/>
      <c r="Z860" s="50"/>
      <c r="AA860" s="11"/>
      <c r="AB860" s="50"/>
      <c r="AC860" s="50"/>
      <c r="AD860" s="50"/>
      <c r="AE860" s="11"/>
      <c r="AF860" s="50"/>
      <c r="AG860" s="50"/>
      <c r="AH860" s="50"/>
      <c r="AI860" s="11"/>
      <c r="AJ860" s="50"/>
      <c r="AK860" s="50"/>
      <c r="AL860" s="50"/>
      <c r="AM860" s="11"/>
      <c r="AN860" s="50"/>
      <c r="AO860" s="50"/>
      <c r="AP860" s="50"/>
      <c r="AQ860" s="11"/>
      <c r="AR860" s="50"/>
      <c r="AS860" s="50"/>
      <c r="AT860" s="50"/>
      <c r="AU860" s="11"/>
      <c r="AV860" s="50"/>
      <c r="AW860" s="50"/>
      <c r="AX860" s="50"/>
      <c r="AY860" s="50"/>
      <c r="AZ860" s="50"/>
      <c r="BA860" s="50"/>
      <c r="BB860" s="50"/>
      <c r="BC860" s="50"/>
      <c r="BD860" s="50"/>
      <c r="BE860" s="20"/>
      <c r="BF860" s="518"/>
      <c r="BG860" s="484"/>
      <c r="BH860" s="484"/>
      <c r="BI860" s="527"/>
      <c r="BJ860" s="484"/>
      <c r="BK860" s="484"/>
      <c r="BL860" s="484"/>
      <c r="BM860" s="484"/>
    </row>
    <row r="861" spans="1:65" s="22" customFormat="1" x14ac:dyDescent="0.25">
      <c r="A861" s="20"/>
      <c r="B861" s="515"/>
      <c r="C861" s="11"/>
      <c r="D861" s="11"/>
      <c r="E861" s="11"/>
      <c r="F861" s="21"/>
      <c r="G861" s="11"/>
      <c r="H861" s="50"/>
      <c r="I861" s="50"/>
      <c r="J861" s="50"/>
      <c r="K861" s="11"/>
      <c r="L861" s="50"/>
      <c r="M861" s="50"/>
      <c r="N861" s="50"/>
      <c r="O861" s="50"/>
      <c r="P861" s="50"/>
      <c r="Q861" s="11"/>
      <c r="R861" s="50"/>
      <c r="S861" s="50"/>
      <c r="T861" s="50"/>
      <c r="U861" s="11"/>
      <c r="V861" s="50"/>
      <c r="W861" s="50"/>
      <c r="X861" s="50"/>
      <c r="Y861" s="50"/>
      <c r="Z861" s="50"/>
      <c r="AA861" s="11"/>
      <c r="AB861" s="50"/>
      <c r="AC861" s="50"/>
      <c r="AD861" s="50"/>
      <c r="AE861" s="11"/>
      <c r="AF861" s="50"/>
      <c r="AG861" s="50"/>
      <c r="AH861" s="50"/>
      <c r="AI861" s="11"/>
      <c r="AJ861" s="50"/>
      <c r="AK861" s="50"/>
      <c r="AL861" s="50"/>
      <c r="AM861" s="11"/>
      <c r="AN861" s="50"/>
      <c r="AO861" s="50"/>
      <c r="AP861" s="50"/>
      <c r="AQ861" s="11"/>
      <c r="AR861" s="50"/>
      <c r="AS861" s="50"/>
      <c r="AT861" s="50"/>
      <c r="AU861" s="11"/>
      <c r="AV861" s="50"/>
      <c r="AW861" s="50"/>
      <c r="AX861" s="50"/>
      <c r="AY861" s="50"/>
      <c r="AZ861" s="50"/>
      <c r="BA861" s="50"/>
      <c r="BB861" s="50"/>
      <c r="BC861" s="50"/>
      <c r="BD861" s="50"/>
      <c r="BE861" s="20"/>
      <c r="BF861" s="518"/>
      <c r="BG861" s="484"/>
      <c r="BH861" s="484"/>
      <c r="BI861" s="527"/>
      <c r="BJ861" s="484"/>
      <c r="BK861" s="484"/>
      <c r="BL861" s="484"/>
      <c r="BM861" s="484"/>
    </row>
    <row r="862" spans="1:65" s="22" customFormat="1" x14ac:dyDescent="0.25">
      <c r="A862" s="20"/>
      <c r="B862" s="515"/>
      <c r="C862" s="11"/>
      <c r="D862" s="11"/>
      <c r="E862" s="11"/>
      <c r="F862" s="21"/>
      <c r="G862" s="11"/>
      <c r="H862" s="50"/>
      <c r="I862" s="50"/>
      <c r="J862" s="50"/>
      <c r="K862" s="11"/>
      <c r="L862" s="50"/>
      <c r="M862" s="50"/>
      <c r="N862" s="50"/>
      <c r="O862" s="50"/>
      <c r="P862" s="50"/>
      <c r="Q862" s="11"/>
      <c r="R862" s="50"/>
      <c r="S862" s="50"/>
      <c r="T862" s="50"/>
      <c r="U862" s="11"/>
      <c r="V862" s="50"/>
      <c r="W862" s="50"/>
      <c r="X862" s="50"/>
      <c r="Y862" s="50"/>
      <c r="Z862" s="50"/>
      <c r="AA862" s="11"/>
      <c r="AB862" s="50"/>
      <c r="AC862" s="50"/>
      <c r="AD862" s="50"/>
      <c r="AE862" s="11"/>
      <c r="AF862" s="50"/>
      <c r="AG862" s="50"/>
      <c r="AH862" s="50"/>
      <c r="AI862" s="11"/>
      <c r="AJ862" s="50"/>
      <c r="AK862" s="50"/>
      <c r="AL862" s="50"/>
      <c r="AM862" s="11"/>
      <c r="AN862" s="50"/>
      <c r="AO862" s="50"/>
      <c r="AP862" s="50"/>
      <c r="AQ862" s="11"/>
      <c r="AR862" s="50"/>
      <c r="AS862" s="50"/>
      <c r="AT862" s="50"/>
      <c r="AU862" s="11"/>
      <c r="AV862" s="50"/>
      <c r="AW862" s="50"/>
      <c r="AX862" s="50"/>
      <c r="AY862" s="50"/>
      <c r="AZ862" s="50"/>
      <c r="BA862" s="50"/>
      <c r="BB862" s="50"/>
      <c r="BC862" s="50"/>
      <c r="BD862" s="50"/>
      <c r="BE862" s="20"/>
      <c r="BF862" s="518"/>
      <c r="BG862" s="484"/>
      <c r="BH862" s="484"/>
      <c r="BI862" s="527"/>
      <c r="BJ862" s="484"/>
      <c r="BK862" s="484"/>
      <c r="BL862" s="484"/>
      <c r="BM862" s="484"/>
    </row>
    <row r="863" spans="1:65" s="22" customFormat="1" x14ac:dyDescent="0.25">
      <c r="A863" s="20"/>
      <c r="B863" s="515"/>
      <c r="C863" s="11"/>
      <c r="D863" s="11"/>
      <c r="E863" s="11"/>
      <c r="F863" s="21"/>
      <c r="G863" s="11"/>
      <c r="H863" s="50"/>
      <c r="I863" s="50"/>
      <c r="J863" s="50"/>
      <c r="K863" s="11"/>
      <c r="L863" s="50"/>
      <c r="M863" s="50"/>
      <c r="N863" s="50"/>
      <c r="O863" s="50"/>
      <c r="P863" s="50"/>
      <c r="Q863" s="11"/>
      <c r="R863" s="50"/>
      <c r="S863" s="50"/>
      <c r="T863" s="50"/>
      <c r="U863" s="11"/>
      <c r="V863" s="50"/>
      <c r="W863" s="50"/>
      <c r="X863" s="50"/>
      <c r="Y863" s="50"/>
      <c r="Z863" s="50"/>
      <c r="AA863" s="11"/>
      <c r="AB863" s="50"/>
      <c r="AC863" s="50"/>
      <c r="AD863" s="50"/>
      <c r="AE863" s="11"/>
      <c r="AF863" s="50"/>
      <c r="AG863" s="50"/>
      <c r="AH863" s="50"/>
      <c r="AI863" s="11"/>
      <c r="AJ863" s="50"/>
      <c r="AK863" s="50"/>
      <c r="AL863" s="50"/>
      <c r="AM863" s="11"/>
      <c r="AN863" s="50"/>
      <c r="AO863" s="50"/>
      <c r="AP863" s="50"/>
      <c r="AQ863" s="11"/>
      <c r="AR863" s="50"/>
      <c r="AS863" s="50"/>
      <c r="AT863" s="50"/>
      <c r="AU863" s="11"/>
      <c r="AV863" s="50"/>
      <c r="AW863" s="50"/>
      <c r="AX863" s="50"/>
      <c r="AY863" s="50"/>
      <c r="AZ863" s="50"/>
      <c r="BA863" s="50"/>
      <c r="BB863" s="50"/>
      <c r="BC863" s="50"/>
      <c r="BD863" s="50"/>
      <c r="BE863" s="20"/>
      <c r="BF863" s="518"/>
      <c r="BG863" s="484"/>
      <c r="BH863" s="484"/>
      <c r="BI863" s="527"/>
      <c r="BJ863" s="484"/>
      <c r="BK863" s="484"/>
      <c r="BL863" s="484"/>
      <c r="BM863" s="484"/>
    </row>
    <row r="864" spans="1:65" s="22" customFormat="1" x14ac:dyDescent="0.25">
      <c r="A864" s="20"/>
      <c r="B864" s="515"/>
      <c r="C864" s="11"/>
      <c r="D864" s="11"/>
      <c r="E864" s="11"/>
      <c r="F864" s="21"/>
      <c r="G864" s="11"/>
      <c r="H864" s="50"/>
      <c r="I864" s="50"/>
      <c r="J864" s="50"/>
      <c r="K864" s="11"/>
      <c r="L864" s="50"/>
      <c r="M864" s="50"/>
      <c r="N864" s="50"/>
      <c r="O864" s="50"/>
      <c r="P864" s="50"/>
      <c r="Q864" s="11"/>
      <c r="R864" s="50"/>
      <c r="S864" s="50"/>
      <c r="T864" s="50"/>
      <c r="U864" s="11"/>
      <c r="V864" s="50"/>
      <c r="W864" s="50"/>
      <c r="X864" s="50"/>
      <c r="Y864" s="50"/>
      <c r="Z864" s="50"/>
      <c r="AA864" s="11"/>
      <c r="AB864" s="50"/>
      <c r="AC864" s="50"/>
      <c r="AD864" s="50"/>
      <c r="AE864" s="11"/>
      <c r="AF864" s="50"/>
      <c r="AG864" s="50"/>
      <c r="AH864" s="50"/>
      <c r="AI864" s="11"/>
      <c r="AJ864" s="50"/>
      <c r="AK864" s="50"/>
      <c r="AL864" s="50"/>
      <c r="AM864" s="11"/>
      <c r="AN864" s="50"/>
      <c r="AO864" s="50"/>
      <c r="AP864" s="50"/>
      <c r="AQ864" s="11"/>
      <c r="AR864" s="50"/>
      <c r="AS864" s="50"/>
      <c r="AT864" s="50"/>
      <c r="AU864" s="11"/>
      <c r="AV864" s="50"/>
      <c r="AW864" s="50"/>
      <c r="AX864" s="50"/>
      <c r="AY864" s="50"/>
      <c r="AZ864" s="50"/>
      <c r="BA864" s="50"/>
      <c r="BB864" s="50"/>
      <c r="BC864" s="50"/>
      <c r="BD864" s="50"/>
      <c r="BE864" s="20"/>
      <c r="BF864" s="518"/>
      <c r="BG864" s="484"/>
      <c r="BH864" s="484"/>
      <c r="BI864" s="527"/>
      <c r="BJ864" s="484"/>
      <c r="BK864" s="484"/>
      <c r="BL864" s="484"/>
      <c r="BM864" s="484"/>
    </row>
    <row r="865" spans="1:65" s="22" customFormat="1" x14ac:dyDescent="0.25">
      <c r="A865" s="20"/>
      <c r="B865" s="515"/>
      <c r="C865" s="11"/>
      <c r="D865" s="11"/>
      <c r="E865" s="11"/>
      <c r="F865" s="21"/>
      <c r="G865" s="11"/>
      <c r="H865" s="50"/>
      <c r="I865" s="50"/>
      <c r="J865" s="50"/>
      <c r="K865" s="11"/>
      <c r="L865" s="50"/>
      <c r="M865" s="50"/>
      <c r="N865" s="50"/>
      <c r="O865" s="50"/>
      <c r="P865" s="50"/>
      <c r="Q865" s="11"/>
      <c r="R865" s="50"/>
      <c r="S865" s="50"/>
      <c r="T865" s="50"/>
      <c r="U865" s="11"/>
      <c r="V865" s="50"/>
      <c r="W865" s="50"/>
      <c r="X865" s="50"/>
      <c r="Y865" s="50"/>
      <c r="Z865" s="50"/>
      <c r="AA865" s="11"/>
      <c r="AB865" s="50"/>
      <c r="AC865" s="50"/>
      <c r="AD865" s="50"/>
      <c r="AE865" s="11"/>
      <c r="AF865" s="50"/>
      <c r="AG865" s="50"/>
      <c r="AH865" s="50"/>
      <c r="AI865" s="11"/>
      <c r="AJ865" s="50"/>
      <c r="AK865" s="50"/>
      <c r="AL865" s="50"/>
      <c r="AM865" s="11"/>
      <c r="AN865" s="50"/>
      <c r="AO865" s="50"/>
      <c r="AP865" s="50"/>
      <c r="AQ865" s="11"/>
      <c r="AR865" s="50"/>
      <c r="AS865" s="50"/>
      <c r="AT865" s="50"/>
      <c r="AU865" s="11"/>
      <c r="AV865" s="50"/>
      <c r="AW865" s="50"/>
      <c r="AX865" s="50"/>
      <c r="AY865" s="50"/>
      <c r="AZ865" s="50"/>
      <c r="BA865" s="50"/>
      <c r="BB865" s="50"/>
      <c r="BC865" s="50"/>
      <c r="BD865" s="50"/>
      <c r="BE865" s="20"/>
      <c r="BF865" s="518"/>
      <c r="BG865" s="484"/>
      <c r="BH865" s="484"/>
      <c r="BI865" s="527"/>
      <c r="BJ865" s="484"/>
      <c r="BK865" s="484"/>
      <c r="BL865" s="484"/>
      <c r="BM865" s="484"/>
    </row>
    <row r="866" spans="1:65" s="22" customFormat="1" x14ac:dyDescent="0.25">
      <c r="A866" s="20"/>
      <c r="B866" s="515"/>
      <c r="C866" s="11"/>
      <c r="D866" s="11"/>
      <c r="E866" s="11"/>
      <c r="F866" s="21"/>
      <c r="G866" s="11"/>
      <c r="H866" s="50"/>
      <c r="I866" s="50"/>
      <c r="J866" s="50"/>
      <c r="K866" s="11"/>
      <c r="L866" s="50"/>
      <c r="M866" s="50"/>
      <c r="N866" s="50"/>
      <c r="O866" s="50"/>
      <c r="P866" s="50"/>
      <c r="Q866" s="11"/>
      <c r="R866" s="50"/>
      <c r="S866" s="50"/>
      <c r="T866" s="50"/>
      <c r="U866" s="11"/>
      <c r="V866" s="50"/>
      <c r="W866" s="50"/>
      <c r="X866" s="50"/>
      <c r="Y866" s="50"/>
      <c r="Z866" s="50"/>
      <c r="AA866" s="11"/>
      <c r="AB866" s="50"/>
      <c r="AC866" s="50"/>
      <c r="AD866" s="50"/>
      <c r="AE866" s="11"/>
      <c r="AF866" s="50"/>
      <c r="AG866" s="50"/>
      <c r="AH866" s="50"/>
      <c r="AI866" s="11"/>
      <c r="AJ866" s="50"/>
      <c r="AK866" s="50"/>
      <c r="AL866" s="50"/>
      <c r="AM866" s="11"/>
      <c r="AN866" s="50"/>
      <c r="AO866" s="50"/>
      <c r="AP866" s="50"/>
      <c r="AQ866" s="11"/>
      <c r="AR866" s="50"/>
      <c r="AS866" s="50"/>
      <c r="AT866" s="50"/>
      <c r="AU866" s="11"/>
      <c r="AV866" s="50"/>
      <c r="AW866" s="50"/>
      <c r="AX866" s="50"/>
      <c r="AY866" s="50"/>
      <c r="AZ866" s="50"/>
      <c r="BA866" s="50"/>
      <c r="BB866" s="50"/>
      <c r="BC866" s="50"/>
      <c r="BD866" s="50"/>
      <c r="BE866" s="20"/>
      <c r="BF866" s="518"/>
      <c r="BG866" s="484"/>
      <c r="BH866" s="484"/>
      <c r="BI866" s="527"/>
      <c r="BJ866" s="484"/>
      <c r="BK866" s="484"/>
      <c r="BL866" s="484"/>
      <c r="BM866" s="484"/>
    </row>
    <row r="867" spans="1:65" s="22" customFormat="1" x14ac:dyDescent="0.25">
      <c r="A867" s="20"/>
      <c r="B867" s="515"/>
      <c r="C867" s="11"/>
      <c r="D867" s="11"/>
      <c r="E867" s="11"/>
      <c r="F867" s="21"/>
      <c r="G867" s="11"/>
      <c r="H867" s="50"/>
      <c r="I867" s="50"/>
      <c r="J867" s="50"/>
      <c r="K867" s="11"/>
      <c r="L867" s="50"/>
      <c r="M867" s="50"/>
      <c r="N867" s="50"/>
      <c r="O867" s="50"/>
      <c r="P867" s="50"/>
      <c r="Q867" s="11"/>
      <c r="R867" s="50"/>
      <c r="S867" s="50"/>
      <c r="T867" s="50"/>
      <c r="U867" s="11"/>
      <c r="V867" s="50"/>
      <c r="W867" s="50"/>
      <c r="X867" s="50"/>
      <c r="Y867" s="50"/>
      <c r="Z867" s="50"/>
      <c r="AA867" s="11"/>
      <c r="AB867" s="50"/>
      <c r="AC867" s="50"/>
      <c r="AD867" s="50"/>
      <c r="AE867" s="11"/>
      <c r="AF867" s="50"/>
      <c r="AG867" s="50"/>
      <c r="AH867" s="50"/>
      <c r="AI867" s="11"/>
      <c r="AJ867" s="50"/>
      <c r="AK867" s="50"/>
      <c r="AL867" s="50"/>
      <c r="AM867" s="11"/>
      <c r="AN867" s="50"/>
      <c r="AO867" s="50"/>
      <c r="AP867" s="50"/>
      <c r="AQ867" s="11"/>
      <c r="AR867" s="50"/>
      <c r="AS867" s="50"/>
      <c r="AT867" s="50"/>
      <c r="AU867" s="11"/>
      <c r="AV867" s="50"/>
      <c r="AW867" s="50"/>
      <c r="AX867" s="50"/>
      <c r="AY867" s="50"/>
      <c r="AZ867" s="50"/>
      <c r="BA867" s="50"/>
      <c r="BB867" s="50"/>
      <c r="BC867" s="50"/>
      <c r="BD867" s="50"/>
      <c r="BE867" s="20"/>
      <c r="BF867" s="518"/>
      <c r="BG867" s="484"/>
      <c r="BH867" s="484"/>
      <c r="BI867" s="527"/>
      <c r="BJ867" s="484"/>
      <c r="BK867" s="484"/>
      <c r="BL867" s="484"/>
      <c r="BM867" s="484"/>
    </row>
    <row r="868" spans="1:65" s="22" customFormat="1" x14ac:dyDescent="0.25">
      <c r="A868" s="20"/>
      <c r="B868" s="515"/>
      <c r="C868" s="11"/>
      <c r="D868" s="11"/>
      <c r="E868" s="11"/>
      <c r="F868" s="21"/>
      <c r="G868" s="11"/>
      <c r="H868" s="50"/>
      <c r="I868" s="50"/>
      <c r="J868" s="50"/>
      <c r="K868" s="11"/>
      <c r="L868" s="50"/>
      <c r="M868" s="50"/>
      <c r="N868" s="50"/>
      <c r="O868" s="50"/>
      <c r="P868" s="50"/>
      <c r="Q868" s="11"/>
      <c r="R868" s="50"/>
      <c r="S868" s="50"/>
      <c r="T868" s="50"/>
      <c r="U868" s="11"/>
      <c r="V868" s="50"/>
      <c r="W868" s="50"/>
      <c r="X868" s="50"/>
      <c r="Y868" s="50"/>
      <c r="Z868" s="50"/>
      <c r="AA868" s="11"/>
      <c r="AB868" s="50"/>
      <c r="AC868" s="50"/>
      <c r="AD868" s="50"/>
      <c r="AE868" s="11"/>
      <c r="AF868" s="50"/>
      <c r="AG868" s="50"/>
      <c r="AH868" s="50"/>
      <c r="AI868" s="11"/>
      <c r="AJ868" s="50"/>
      <c r="AK868" s="50"/>
      <c r="AL868" s="50"/>
      <c r="AM868" s="11"/>
      <c r="AN868" s="50"/>
      <c r="AO868" s="50"/>
      <c r="AP868" s="50"/>
      <c r="AQ868" s="11"/>
      <c r="AR868" s="50"/>
      <c r="AS868" s="50"/>
      <c r="AT868" s="50"/>
      <c r="AU868" s="11"/>
      <c r="AV868" s="50"/>
      <c r="AW868" s="50"/>
      <c r="AX868" s="50"/>
      <c r="AY868" s="50"/>
      <c r="AZ868" s="50"/>
      <c r="BA868" s="50"/>
      <c r="BB868" s="50"/>
      <c r="BC868" s="50"/>
      <c r="BD868" s="50"/>
      <c r="BE868" s="20"/>
      <c r="BF868" s="518"/>
      <c r="BG868" s="484"/>
      <c r="BH868" s="484"/>
      <c r="BI868" s="527"/>
      <c r="BJ868" s="484"/>
      <c r="BK868" s="484"/>
      <c r="BL868" s="484"/>
      <c r="BM868" s="484"/>
    </row>
    <row r="869" spans="1:65" s="22" customFormat="1" x14ac:dyDescent="0.25">
      <c r="A869" s="20"/>
      <c r="B869" s="515"/>
      <c r="C869" s="11"/>
      <c r="D869" s="11"/>
      <c r="E869" s="11"/>
      <c r="F869" s="21"/>
      <c r="G869" s="11"/>
      <c r="H869" s="50"/>
      <c r="I869" s="50"/>
      <c r="J869" s="50"/>
      <c r="K869" s="11"/>
      <c r="L869" s="50"/>
      <c r="M869" s="50"/>
      <c r="N869" s="50"/>
      <c r="O869" s="50"/>
      <c r="P869" s="50"/>
      <c r="Q869" s="11"/>
      <c r="R869" s="50"/>
      <c r="S869" s="50"/>
      <c r="T869" s="50"/>
      <c r="U869" s="11"/>
      <c r="V869" s="50"/>
      <c r="W869" s="50"/>
      <c r="X869" s="50"/>
      <c r="Y869" s="50"/>
      <c r="Z869" s="50"/>
      <c r="AA869" s="11"/>
      <c r="AB869" s="50"/>
      <c r="AC869" s="50"/>
      <c r="AD869" s="50"/>
      <c r="AE869" s="11"/>
      <c r="AF869" s="50"/>
      <c r="AG869" s="50"/>
      <c r="AH869" s="50"/>
      <c r="AI869" s="11"/>
      <c r="AJ869" s="50"/>
      <c r="AK869" s="50"/>
      <c r="AL869" s="50"/>
      <c r="AM869" s="11"/>
      <c r="AN869" s="50"/>
      <c r="AO869" s="50"/>
      <c r="AP869" s="50"/>
      <c r="AQ869" s="11"/>
      <c r="AR869" s="50"/>
      <c r="AS869" s="50"/>
      <c r="AT869" s="50"/>
      <c r="AU869" s="11"/>
      <c r="AV869" s="50"/>
      <c r="AW869" s="50"/>
      <c r="AX869" s="50"/>
      <c r="AY869" s="50"/>
      <c r="AZ869" s="50"/>
      <c r="BA869" s="50"/>
      <c r="BB869" s="50"/>
      <c r="BC869" s="50"/>
      <c r="BD869" s="50"/>
      <c r="BE869" s="20"/>
      <c r="BF869" s="518"/>
      <c r="BG869" s="484"/>
      <c r="BH869" s="484"/>
      <c r="BI869" s="527"/>
      <c r="BJ869" s="484"/>
      <c r="BK869" s="484"/>
      <c r="BL869" s="484"/>
      <c r="BM869" s="484"/>
    </row>
    <row r="870" spans="1:65" s="22" customFormat="1" x14ac:dyDescent="0.25">
      <c r="A870" s="20"/>
      <c r="B870" s="515"/>
      <c r="C870" s="11"/>
      <c r="D870" s="11"/>
      <c r="E870" s="11"/>
      <c r="F870" s="21"/>
      <c r="G870" s="11"/>
      <c r="H870" s="50"/>
      <c r="I870" s="50"/>
      <c r="J870" s="50"/>
      <c r="K870" s="11"/>
      <c r="L870" s="50"/>
      <c r="M870" s="50"/>
      <c r="N870" s="50"/>
      <c r="O870" s="50"/>
      <c r="P870" s="50"/>
      <c r="Q870" s="11"/>
      <c r="R870" s="50"/>
      <c r="S870" s="50"/>
      <c r="T870" s="50"/>
      <c r="U870" s="11"/>
      <c r="V870" s="50"/>
      <c r="W870" s="50"/>
      <c r="X870" s="50"/>
      <c r="Y870" s="50"/>
      <c r="Z870" s="50"/>
      <c r="AA870" s="11"/>
      <c r="AB870" s="50"/>
      <c r="AC870" s="50"/>
      <c r="AD870" s="50"/>
      <c r="AE870" s="11"/>
      <c r="AF870" s="50"/>
      <c r="AG870" s="50"/>
      <c r="AH870" s="50"/>
      <c r="AI870" s="11"/>
      <c r="AJ870" s="50"/>
      <c r="AK870" s="50"/>
      <c r="AL870" s="50"/>
      <c r="AM870" s="11"/>
      <c r="AN870" s="50"/>
      <c r="AO870" s="50"/>
      <c r="AP870" s="50"/>
      <c r="AQ870" s="11"/>
      <c r="AR870" s="50"/>
      <c r="AS870" s="50"/>
      <c r="AT870" s="50"/>
      <c r="AU870" s="11"/>
      <c r="AV870" s="50"/>
      <c r="AW870" s="50"/>
      <c r="AX870" s="50"/>
      <c r="AY870" s="50"/>
      <c r="AZ870" s="50"/>
      <c r="BA870" s="50"/>
      <c r="BB870" s="50"/>
      <c r="BC870" s="50"/>
      <c r="BD870" s="50"/>
      <c r="BE870" s="20"/>
      <c r="BF870" s="518"/>
      <c r="BG870" s="484"/>
      <c r="BH870" s="484"/>
      <c r="BI870" s="527"/>
      <c r="BJ870" s="484"/>
      <c r="BK870" s="484"/>
      <c r="BL870" s="484"/>
      <c r="BM870" s="484"/>
    </row>
    <row r="871" spans="1:65" s="22" customFormat="1" x14ac:dyDescent="0.25">
      <c r="A871" s="20"/>
      <c r="B871" s="515"/>
      <c r="C871" s="11"/>
      <c r="D871" s="11"/>
      <c r="E871" s="11"/>
      <c r="F871" s="21"/>
      <c r="G871" s="11"/>
      <c r="H871" s="50"/>
      <c r="I871" s="50"/>
      <c r="J871" s="50"/>
      <c r="K871" s="11"/>
      <c r="L871" s="50"/>
      <c r="M871" s="50"/>
      <c r="N871" s="50"/>
      <c r="O871" s="50"/>
      <c r="P871" s="50"/>
      <c r="Q871" s="11"/>
      <c r="R871" s="50"/>
      <c r="S871" s="50"/>
      <c r="T871" s="50"/>
      <c r="U871" s="11"/>
      <c r="V871" s="50"/>
      <c r="W871" s="50"/>
      <c r="X871" s="50"/>
      <c r="Y871" s="50"/>
      <c r="Z871" s="50"/>
      <c r="AA871" s="11"/>
      <c r="AB871" s="50"/>
      <c r="AC871" s="50"/>
      <c r="AD871" s="50"/>
      <c r="AE871" s="11"/>
      <c r="AF871" s="50"/>
      <c r="AG871" s="50"/>
      <c r="AH871" s="50"/>
      <c r="AI871" s="11"/>
      <c r="AJ871" s="50"/>
      <c r="AK871" s="50"/>
      <c r="AL871" s="50"/>
      <c r="AM871" s="11"/>
      <c r="AN871" s="50"/>
      <c r="AO871" s="50"/>
      <c r="AP871" s="50"/>
      <c r="AQ871" s="11"/>
      <c r="AR871" s="50"/>
      <c r="AS871" s="50"/>
      <c r="AT871" s="50"/>
      <c r="AU871" s="11"/>
      <c r="AV871" s="50"/>
      <c r="AW871" s="50"/>
      <c r="AX871" s="50"/>
      <c r="AY871" s="50"/>
      <c r="AZ871" s="50"/>
      <c r="BA871" s="50"/>
      <c r="BB871" s="50"/>
      <c r="BC871" s="50"/>
      <c r="BD871" s="50"/>
      <c r="BE871" s="20"/>
      <c r="BF871" s="518"/>
      <c r="BG871" s="484"/>
      <c r="BH871" s="484"/>
      <c r="BI871" s="527"/>
      <c r="BJ871" s="484"/>
      <c r="BK871" s="484"/>
      <c r="BL871" s="484"/>
      <c r="BM871" s="484"/>
    </row>
    <row r="872" spans="1:65" s="22" customFormat="1" x14ac:dyDescent="0.25">
      <c r="A872" s="20"/>
      <c r="B872" s="515"/>
      <c r="C872" s="11"/>
      <c r="D872" s="11"/>
      <c r="E872" s="11"/>
      <c r="F872" s="21"/>
      <c r="G872" s="11"/>
      <c r="H872" s="50"/>
      <c r="I872" s="50"/>
      <c r="J872" s="50"/>
      <c r="K872" s="11"/>
      <c r="L872" s="50"/>
      <c r="M872" s="50"/>
      <c r="N872" s="50"/>
      <c r="O872" s="50"/>
      <c r="P872" s="50"/>
      <c r="Q872" s="11"/>
      <c r="R872" s="50"/>
      <c r="S872" s="50"/>
      <c r="T872" s="50"/>
      <c r="U872" s="11"/>
      <c r="V872" s="50"/>
      <c r="W872" s="50"/>
      <c r="X872" s="50"/>
      <c r="Y872" s="50"/>
      <c r="Z872" s="50"/>
      <c r="AA872" s="11"/>
      <c r="AB872" s="50"/>
      <c r="AC872" s="50"/>
      <c r="AD872" s="50"/>
      <c r="AE872" s="11"/>
      <c r="AF872" s="50"/>
      <c r="AG872" s="50"/>
      <c r="AH872" s="50"/>
      <c r="AI872" s="11"/>
      <c r="AJ872" s="50"/>
      <c r="AK872" s="50"/>
      <c r="AL872" s="50"/>
      <c r="AM872" s="11"/>
      <c r="AN872" s="50"/>
      <c r="AO872" s="50"/>
      <c r="AP872" s="50"/>
      <c r="AQ872" s="11"/>
      <c r="AR872" s="50"/>
      <c r="AS872" s="50"/>
      <c r="AT872" s="50"/>
      <c r="AU872" s="11"/>
      <c r="AV872" s="50"/>
      <c r="AW872" s="50"/>
      <c r="AX872" s="50"/>
      <c r="AY872" s="50"/>
      <c r="AZ872" s="50"/>
      <c r="BA872" s="50"/>
      <c r="BB872" s="50"/>
      <c r="BC872" s="50"/>
      <c r="BD872" s="50"/>
      <c r="BE872" s="20"/>
      <c r="BF872" s="518"/>
      <c r="BG872" s="484"/>
      <c r="BH872" s="484"/>
      <c r="BI872" s="527"/>
      <c r="BJ872" s="484"/>
      <c r="BK872" s="484"/>
      <c r="BL872" s="484"/>
      <c r="BM872" s="484"/>
    </row>
    <row r="873" spans="1:65" s="22" customFormat="1" x14ac:dyDescent="0.25">
      <c r="A873" s="20"/>
      <c r="B873" s="515"/>
      <c r="C873" s="11"/>
      <c r="D873" s="11"/>
      <c r="E873" s="11"/>
      <c r="F873" s="21"/>
      <c r="G873" s="11"/>
      <c r="H873" s="50"/>
      <c r="I873" s="50"/>
      <c r="J873" s="50"/>
      <c r="K873" s="11"/>
      <c r="L873" s="50"/>
      <c r="M873" s="50"/>
      <c r="N873" s="50"/>
      <c r="O873" s="50"/>
      <c r="P873" s="50"/>
      <c r="Q873" s="11"/>
      <c r="R873" s="50"/>
      <c r="S873" s="50"/>
      <c r="T873" s="50"/>
      <c r="U873" s="11"/>
      <c r="V873" s="50"/>
      <c r="W873" s="50"/>
      <c r="X873" s="50"/>
      <c r="Y873" s="50"/>
      <c r="Z873" s="50"/>
      <c r="AA873" s="11"/>
      <c r="AB873" s="50"/>
      <c r="AC873" s="50"/>
      <c r="AD873" s="50"/>
      <c r="AE873" s="11"/>
      <c r="AF873" s="50"/>
      <c r="AG873" s="50"/>
      <c r="AH873" s="50"/>
      <c r="AI873" s="11"/>
      <c r="AJ873" s="50"/>
      <c r="AK873" s="50"/>
      <c r="AL873" s="50"/>
      <c r="AM873" s="11"/>
      <c r="AN873" s="50"/>
      <c r="AO873" s="50"/>
      <c r="AP873" s="50"/>
      <c r="AQ873" s="11"/>
      <c r="AR873" s="50"/>
      <c r="AS873" s="50"/>
      <c r="AT873" s="50"/>
      <c r="AU873" s="11"/>
      <c r="AV873" s="50"/>
      <c r="AW873" s="50"/>
      <c r="AX873" s="50"/>
      <c r="AY873" s="50"/>
      <c r="AZ873" s="50"/>
      <c r="BA873" s="50"/>
      <c r="BB873" s="50"/>
      <c r="BC873" s="50"/>
      <c r="BD873" s="50"/>
      <c r="BE873" s="20"/>
      <c r="BF873" s="518"/>
      <c r="BG873" s="484"/>
      <c r="BH873" s="484"/>
      <c r="BI873" s="527"/>
      <c r="BJ873" s="484"/>
      <c r="BK873" s="484"/>
      <c r="BL873" s="484"/>
      <c r="BM873" s="484"/>
    </row>
    <row r="874" spans="1:65" s="22" customFormat="1" x14ac:dyDescent="0.25">
      <c r="A874" s="20"/>
      <c r="B874" s="515"/>
      <c r="C874" s="11"/>
      <c r="D874" s="11"/>
      <c r="E874" s="11"/>
      <c r="F874" s="21"/>
      <c r="G874" s="11"/>
      <c r="H874" s="50"/>
      <c r="I874" s="50"/>
      <c r="J874" s="50"/>
      <c r="K874" s="11"/>
      <c r="L874" s="50"/>
      <c r="M874" s="50"/>
      <c r="N874" s="50"/>
      <c r="O874" s="50"/>
      <c r="P874" s="50"/>
      <c r="Q874" s="11"/>
      <c r="R874" s="50"/>
      <c r="S874" s="50"/>
      <c r="T874" s="50"/>
      <c r="U874" s="11"/>
      <c r="V874" s="50"/>
      <c r="W874" s="50"/>
      <c r="X874" s="50"/>
      <c r="Y874" s="50"/>
      <c r="Z874" s="50"/>
      <c r="AA874" s="11"/>
      <c r="AB874" s="50"/>
      <c r="AC874" s="50"/>
      <c r="AD874" s="50"/>
      <c r="AE874" s="11"/>
      <c r="AF874" s="50"/>
      <c r="AG874" s="50"/>
      <c r="AH874" s="50"/>
      <c r="AI874" s="11"/>
      <c r="AJ874" s="50"/>
      <c r="AK874" s="50"/>
      <c r="AL874" s="50"/>
      <c r="AM874" s="11"/>
      <c r="AN874" s="50"/>
      <c r="AO874" s="50"/>
      <c r="AP874" s="50"/>
      <c r="AQ874" s="11"/>
      <c r="AR874" s="50"/>
      <c r="AS874" s="50"/>
      <c r="AT874" s="50"/>
      <c r="AU874" s="11"/>
      <c r="AV874" s="50"/>
      <c r="AW874" s="50"/>
      <c r="AX874" s="50"/>
      <c r="AY874" s="50"/>
      <c r="AZ874" s="50"/>
      <c r="BA874" s="50"/>
      <c r="BB874" s="50"/>
      <c r="BC874" s="50"/>
      <c r="BD874" s="50"/>
      <c r="BE874" s="20"/>
      <c r="BF874" s="518"/>
      <c r="BG874" s="484"/>
      <c r="BH874" s="484"/>
      <c r="BI874" s="527"/>
      <c r="BJ874" s="484"/>
      <c r="BK874" s="484"/>
      <c r="BL874" s="484"/>
      <c r="BM874" s="484"/>
    </row>
    <row r="875" spans="1:65" s="22" customFormat="1" x14ac:dyDescent="0.25">
      <c r="A875" s="20"/>
      <c r="B875" s="515"/>
      <c r="C875" s="11"/>
      <c r="D875" s="11"/>
      <c r="E875" s="11"/>
      <c r="F875" s="21"/>
      <c r="G875" s="11"/>
      <c r="H875" s="50"/>
      <c r="I875" s="50"/>
      <c r="J875" s="50"/>
      <c r="K875" s="11"/>
      <c r="L875" s="50"/>
      <c r="M875" s="50"/>
      <c r="N875" s="50"/>
      <c r="O875" s="50"/>
      <c r="P875" s="50"/>
      <c r="Q875" s="11"/>
      <c r="R875" s="50"/>
      <c r="S875" s="50"/>
      <c r="T875" s="50"/>
      <c r="U875" s="11"/>
      <c r="V875" s="50"/>
      <c r="W875" s="50"/>
      <c r="X875" s="50"/>
      <c r="Y875" s="50"/>
      <c r="Z875" s="50"/>
      <c r="AA875" s="11"/>
      <c r="AB875" s="50"/>
      <c r="AC875" s="50"/>
      <c r="AD875" s="50"/>
      <c r="AE875" s="11"/>
      <c r="AF875" s="50"/>
      <c r="AG875" s="50"/>
      <c r="AH875" s="50"/>
      <c r="AI875" s="11"/>
      <c r="AJ875" s="50"/>
      <c r="AK875" s="50"/>
      <c r="AL875" s="50"/>
      <c r="AM875" s="11"/>
      <c r="AN875" s="50"/>
      <c r="AO875" s="50"/>
      <c r="AP875" s="50"/>
      <c r="AQ875" s="11"/>
      <c r="AR875" s="50"/>
      <c r="AS875" s="50"/>
      <c r="AT875" s="50"/>
      <c r="AU875" s="11"/>
      <c r="AV875" s="50"/>
      <c r="AW875" s="50"/>
      <c r="AX875" s="50"/>
      <c r="AY875" s="50"/>
      <c r="AZ875" s="50"/>
      <c r="BA875" s="50"/>
      <c r="BB875" s="50"/>
      <c r="BC875" s="50"/>
      <c r="BD875" s="50"/>
      <c r="BE875" s="20"/>
      <c r="BF875" s="518"/>
      <c r="BG875" s="484"/>
      <c r="BH875" s="484"/>
      <c r="BI875" s="527"/>
      <c r="BJ875" s="484"/>
      <c r="BK875" s="484"/>
      <c r="BL875" s="484"/>
      <c r="BM875" s="484"/>
    </row>
    <row r="876" spans="1:65" s="22" customFormat="1" x14ac:dyDescent="0.25">
      <c r="A876" s="20"/>
      <c r="B876" s="515"/>
      <c r="C876" s="11"/>
      <c r="D876" s="11"/>
      <c r="E876" s="11"/>
      <c r="F876" s="21"/>
      <c r="G876" s="11"/>
      <c r="H876" s="50"/>
      <c r="I876" s="50"/>
      <c r="J876" s="50"/>
      <c r="K876" s="11"/>
      <c r="L876" s="50"/>
      <c r="M876" s="50"/>
      <c r="N876" s="50"/>
      <c r="O876" s="50"/>
      <c r="P876" s="50"/>
      <c r="Q876" s="11"/>
      <c r="R876" s="50"/>
      <c r="S876" s="50"/>
      <c r="T876" s="50"/>
      <c r="U876" s="11"/>
      <c r="V876" s="50"/>
      <c r="W876" s="50"/>
      <c r="X876" s="50"/>
      <c r="Y876" s="50"/>
      <c r="Z876" s="50"/>
      <c r="AA876" s="11"/>
      <c r="AB876" s="50"/>
      <c r="AC876" s="50"/>
      <c r="AD876" s="50"/>
      <c r="AE876" s="11"/>
      <c r="AF876" s="50"/>
      <c r="AG876" s="50"/>
      <c r="AH876" s="50"/>
      <c r="AI876" s="11"/>
      <c r="AJ876" s="50"/>
      <c r="AK876" s="50"/>
      <c r="AL876" s="50"/>
      <c r="AM876" s="11"/>
      <c r="AN876" s="50"/>
      <c r="AO876" s="50"/>
      <c r="AP876" s="50"/>
      <c r="AQ876" s="11"/>
      <c r="AR876" s="50"/>
      <c r="AS876" s="50"/>
      <c r="AT876" s="50"/>
      <c r="AU876" s="11"/>
      <c r="AV876" s="50"/>
      <c r="AW876" s="50"/>
      <c r="AX876" s="50"/>
      <c r="AY876" s="50"/>
      <c r="AZ876" s="50"/>
      <c r="BA876" s="50"/>
      <c r="BB876" s="50"/>
      <c r="BC876" s="50"/>
      <c r="BD876" s="50"/>
      <c r="BE876" s="20"/>
      <c r="BF876" s="518"/>
      <c r="BG876" s="484"/>
      <c r="BH876" s="484"/>
      <c r="BI876" s="527"/>
      <c r="BJ876" s="484"/>
      <c r="BK876" s="484"/>
      <c r="BL876" s="484"/>
      <c r="BM876" s="484"/>
    </row>
    <row r="877" spans="1:65" s="22" customFormat="1" x14ac:dyDescent="0.25">
      <c r="A877" s="20"/>
      <c r="B877" s="515"/>
      <c r="C877" s="11"/>
      <c r="D877" s="11"/>
      <c r="E877" s="11"/>
      <c r="F877" s="21"/>
      <c r="G877" s="11"/>
      <c r="H877" s="50"/>
      <c r="I877" s="50"/>
      <c r="J877" s="50"/>
      <c r="K877" s="11"/>
      <c r="L877" s="50"/>
      <c r="M877" s="50"/>
      <c r="N877" s="50"/>
      <c r="O877" s="50"/>
      <c r="P877" s="50"/>
      <c r="Q877" s="11"/>
      <c r="R877" s="50"/>
      <c r="S877" s="50"/>
      <c r="T877" s="50"/>
      <c r="U877" s="11"/>
      <c r="V877" s="50"/>
      <c r="W877" s="50"/>
      <c r="X877" s="50"/>
      <c r="Y877" s="50"/>
      <c r="Z877" s="50"/>
      <c r="AA877" s="11"/>
      <c r="AB877" s="50"/>
      <c r="AC877" s="50"/>
      <c r="AD877" s="50"/>
      <c r="AE877" s="11"/>
      <c r="AF877" s="50"/>
      <c r="AG877" s="50"/>
      <c r="AH877" s="50"/>
      <c r="AI877" s="11"/>
      <c r="AJ877" s="50"/>
      <c r="AK877" s="50"/>
      <c r="AL877" s="50"/>
      <c r="AM877" s="11"/>
      <c r="AN877" s="50"/>
      <c r="AO877" s="50"/>
      <c r="AP877" s="50"/>
      <c r="AQ877" s="11"/>
      <c r="AR877" s="50"/>
      <c r="AS877" s="50"/>
      <c r="AT877" s="50"/>
      <c r="AU877" s="11"/>
      <c r="AV877" s="50"/>
      <c r="AW877" s="50"/>
      <c r="AX877" s="50"/>
      <c r="AY877" s="50"/>
      <c r="AZ877" s="50"/>
      <c r="BA877" s="50"/>
      <c r="BB877" s="50"/>
      <c r="BC877" s="50"/>
      <c r="BD877" s="50"/>
      <c r="BE877" s="20"/>
      <c r="BF877" s="518"/>
      <c r="BG877" s="484"/>
      <c r="BH877" s="484"/>
      <c r="BI877" s="527"/>
      <c r="BJ877" s="484"/>
      <c r="BK877" s="484"/>
      <c r="BL877" s="484"/>
      <c r="BM877" s="484"/>
    </row>
    <row r="878" spans="1:65" s="22" customFormat="1" x14ac:dyDescent="0.25">
      <c r="A878" s="20"/>
      <c r="B878" s="515"/>
      <c r="C878" s="11"/>
      <c r="D878" s="11"/>
      <c r="E878" s="11"/>
      <c r="F878" s="21"/>
      <c r="G878" s="11"/>
      <c r="H878" s="50"/>
      <c r="I878" s="50"/>
      <c r="J878" s="50"/>
      <c r="K878" s="11"/>
      <c r="L878" s="50"/>
      <c r="M878" s="50"/>
      <c r="N878" s="50"/>
      <c r="O878" s="50"/>
      <c r="P878" s="50"/>
      <c r="Q878" s="11"/>
      <c r="R878" s="50"/>
      <c r="S878" s="50"/>
      <c r="T878" s="50"/>
      <c r="U878" s="11"/>
      <c r="V878" s="50"/>
      <c r="W878" s="50"/>
      <c r="X878" s="50"/>
      <c r="Y878" s="50"/>
      <c r="Z878" s="50"/>
      <c r="AA878" s="11"/>
      <c r="AB878" s="50"/>
      <c r="AC878" s="50"/>
      <c r="AD878" s="50"/>
      <c r="AE878" s="11"/>
      <c r="AF878" s="50"/>
      <c r="AG878" s="50"/>
      <c r="AH878" s="50"/>
      <c r="AI878" s="11"/>
      <c r="AJ878" s="50"/>
      <c r="AK878" s="50"/>
      <c r="AL878" s="50"/>
      <c r="AM878" s="11"/>
      <c r="AN878" s="50"/>
      <c r="AO878" s="50"/>
      <c r="AP878" s="50"/>
      <c r="AQ878" s="11"/>
      <c r="AR878" s="50"/>
      <c r="AS878" s="50"/>
      <c r="AT878" s="50"/>
      <c r="AU878" s="11"/>
      <c r="AV878" s="50"/>
      <c r="AW878" s="50"/>
      <c r="AX878" s="50"/>
      <c r="AY878" s="50"/>
      <c r="AZ878" s="50"/>
      <c r="BA878" s="50"/>
      <c r="BB878" s="50"/>
      <c r="BC878" s="50"/>
      <c r="BD878" s="50"/>
      <c r="BE878" s="20"/>
      <c r="BF878" s="518"/>
      <c r="BG878" s="484"/>
      <c r="BH878" s="484"/>
      <c r="BI878" s="527"/>
      <c r="BJ878" s="484"/>
      <c r="BK878" s="484"/>
      <c r="BL878" s="484"/>
      <c r="BM878" s="484"/>
    </row>
    <row r="879" spans="1:65" s="22" customFormat="1" x14ac:dyDescent="0.25">
      <c r="A879" s="20"/>
      <c r="B879" s="515"/>
      <c r="C879" s="11"/>
      <c r="D879" s="11"/>
      <c r="E879" s="11"/>
      <c r="F879" s="21"/>
      <c r="G879" s="11"/>
      <c r="H879" s="50"/>
      <c r="I879" s="50"/>
      <c r="J879" s="50"/>
      <c r="K879" s="11"/>
      <c r="L879" s="50"/>
      <c r="M879" s="50"/>
      <c r="N879" s="50"/>
      <c r="O879" s="50"/>
      <c r="P879" s="50"/>
      <c r="Q879" s="11"/>
      <c r="R879" s="50"/>
      <c r="S879" s="50"/>
      <c r="T879" s="50"/>
      <c r="U879" s="11"/>
      <c r="V879" s="50"/>
      <c r="W879" s="50"/>
      <c r="X879" s="50"/>
      <c r="Y879" s="50"/>
      <c r="Z879" s="50"/>
      <c r="AA879" s="11"/>
      <c r="AB879" s="50"/>
      <c r="AC879" s="50"/>
      <c r="AD879" s="50"/>
      <c r="AE879" s="11"/>
      <c r="AF879" s="50"/>
      <c r="AG879" s="50"/>
      <c r="AH879" s="50"/>
      <c r="AI879" s="11"/>
      <c r="AJ879" s="50"/>
      <c r="AK879" s="50"/>
      <c r="AL879" s="50"/>
      <c r="AM879" s="11"/>
      <c r="AN879" s="50"/>
      <c r="AO879" s="50"/>
      <c r="AP879" s="50"/>
      <c r="AQ879" s="11"/>
      <c r="AR879" s="50"/>
      <c r="AS879" s="50"/>
      <c r="AT879" s="50"/>
      <c r="AU879" s="11"/>
      <c r="AV879" s="50"/>
      <c r="AW879" s="50"/>
      <c r="AX879" s="50"/>
      <c r="AY879" s="50"/>
      <c r="AZ879" s="50"/>
      <c r="BA879" s="50"/>
      <c r="BB879" s="50"/>
      <c r="BC879" s="50"/>
      <c r="BD879" s="50"/>
      <c r="BE879" s="20"/>
      <c r="BF879" s="518"/>
      <c r="BG879" s="484"/>
      <c r="BH879" s="484"/>
      <c r="BI879" s="527"/>
      <c r="BJ879" s="484"/>
      <c r="BK879" s="484"/>
      <c r="BL879" s="484"/>
      <c r="BM879" s="484"/>
    </row>
    <row r="880" spans="1:65" s="22" customFormat="1" x14ac:dyDescent="0.25">
      <c r="A880" s="20"/>
      <c r="B880" s="515"/>
      <c r="C880" s="11"/>
      <c r="D880" s="11"/>
      <c r="E880" s="11"/>
      <c r="F880" s="21"/>
      <c r="G880" s="11"/>
      <c r="H880" s="50"/>
      <c r="I880" s="50"/>
      <c r="J880" s="50"/>
      <c r="K880" s="11"/>
      <c r="L880" s="50"/>
      <c r="M880" s="50"/>
      <c r="N880" s="50"/>
      <c r="O880" s="50"/>
      <c r="P880" s="50"/>
      <c r="Q880" s="11"/>
      <c r="R880" s="50"/>
      <c r="S880" s="50"/>
      <c r="T880" s="50"/>
      <c r="U880" s="11"/>
      <c r="V880" s="50"/>
      <c r="W880" s="50"/>
      <c r="X880" s="50"/>
      <c r="Y880" s="50"/>
      <c r="Z880" s="50"/>
      <c r="AA880" s="11"/>
      <c r="AB880" s="50"/>
      <c r="AC880" s="50"/>
      <c r="AD880" s="50"/>
      <c r="AE880" s="11"/>
      <c r="AF880" s="50"/>
      <c r="AG880" s="50"/>
      <c r="AH880" s="50"/>
      <c r="AI880" s="11"/>
      <c r="AJ880" s="50"/>
      <c r="AK880" s="50"/>
      <c r="AL880" s="50"/>
      <c r="AM880" s="11"/>
      <c r="AN880" s="50"/>
      <c r="AO880" s="50"/>
      <c r="AP880" s="50"/>
      <c r="AQ880" s="11"/>
      <c r="AR880" s="50"/>
      <c r="AS880" s="50"/>
      <c r="AT880" s="50"/>
      <c r="AU880" s="11"/>
      <c r="AV880" s="50"/>
      <c r="AW880" s="50"/>
      <c r="AX880" s="50"/>
      <c r="AY880" s="50"/>
      <c r="AZ880" s="50"/>
      <c r="BA880" s="50"/>
      <c r="BB880" s="50"/>
      <c r="BC880" s="50"/>
      <c r="BD880" s="50"/>
      <c r="BE880" s="20"/>
      <c r="BF880" s="518"/>
      <c r="BG880" s="484"/>
      <c r="BH880" s="484"/>
      <c r="BI880" s="527"/>
      <c r="BJ880" s="484"/>
      <c r="BK880" s="484"/>
      <c r="BL880" s="484"/>
      <c r="BM880" s="484"/>
    </row>
    <row r="881" spans="1:65" s="22" customFormat="1" x14ac:dyDescent="0.25">
      <c r="A881" s="20"/>
      <c r="B881" s="515"/>
      <c r="C881" s="11"/>
      <c r="D881" s="11"/>
      <c r="E881" s="11"/>
      <c r="F881" s="21"/>
      <c r="G881" s="11"/>
      <c r="H881" s="50"/>
      <c r="I881" s="50"/>
      <c r="J881" s="50"/>
      <c r="K881" s="11"/>
      <c r="L881" s="50"/>
      <c r="M881" s="50"/>
      <c r="N881" s="50"/>
      <c r="O881" s="50"/>
      <c r="P881" s="50"/>
      <c r="Q881" s="11"/>
      <c r="R881" s="50"/>
      <c r="S881" s="50"/>
      <c r="T881" s="50"/>
      <c r="U881" s="11"/>
      <c r="V881" s="50"/>
      <c r="W881" s="50"/>
      <c r="X881" s="50"/>
      <c r="Y881" s="50"/>
      <c r="Z881" s="50"/>
      <c r="AA881" s="11"/>
      <c r="AB881" s="50"/>
      <c r="AC881" s="50"/>
      <c r="AD881" s="50"/>
      <c r="AE881" s="11"/>
      <c r="AF881" s="50"/>
      <c r="AG881" s="50"/>
      <c r="AH881" s="50"/>
      <c r="AI881" s="11"/>
      <c r="AJ881" s="50"/>
      <c r="AK881" s="50"/>
      <c r="AL881" s="50"/>
      <c r="AM881" s="11"/>
      <c r="AN881" s="50"/>
      <c r="AO881" s="50"/>
      <c r="AP881" s="50"/>
      <c r="AQ881" s="11"/>
      <c r="AR881" s="50"/>
      <c r="AS881" s="50"/>
      <c r="AT881" s="50"/>
      <c r="AU881" s="11"/>
      <c r="AV881" s="50"/>
      <c r="AW881" s="50"/>
      <c r="AX881" s="50"/>
      <c r="AY881" s="50"/>
      <c r="AZ881" s="50"/>
      <c r="BA881" s="50"/>
      <c r="BB881" s="50"/>
      <c r="BC881" s="50"/>
      <c r="BD881" s="50"/>
      <c r="BE881" s="20"/>
      <c r="BF881" s="518"/>
      <c r="BG881" s="484"/>
      <c r="BH881" s="484"/>
      <c r="BI881" s="527"/>
      <c r="BJ881" s="484"/>
      <c r="BK881" s="484"/>
      <c r="BL881" s="484"/>
      <c r="BM881" s="484"/>
    </row>
    <row r="882" spans="1:65" s="22" customFormat="1" x14ac:dyDescent="0.25">
      <c r="A882" s="20"/>
      <c r="B882" s="515"/>
      <c r="C882" s="11"/>
      <c r="D882" s="11"/>
      <c r="E882" s="11"/>
      <c r="F882" s="21"/>
      <c r="G882" s="11"/>
      <c r="H882" s="50"/>
      <c r="I882" s="50"/>
      <c r="J882" s="50"/>
      <c r="K882" s="11"/>
      <c r="L882" s="50"/>
      <c r="M882" s="50"/>
      <c r="N882" s="50"/>
      <c r="O882" s="50"/>
      <c r="P882" s="50"/>
      <c r="Q882" s="11"/>
      <c r="R882" s="50"/>
      <c r="S882" s="50"/>
      <c r="T882" s="50"/>
      <c r="U882" s="11"/>
      <c r="V882" s="50"/>
      <c r="W882" s="50"/>
      <c r="X882" s="50"/>
      <c r="Y882" s="50"/>
      <c r="Z882" s="50"/>
      <c r="AA882" s="11"/>
      <c r="AB882" s="50"/>
      <c r="AC882" s="50"/>
      <c r="AD882" s="50"/>
      <c r="AE882" s="11"/>
      <c r="AF882" s="50"/>
      <c r="AG882" s="50"/>
      <c r="AH882" s="50"/>
      <c r="AI882" s="11"/>
      <c r="AJ882" s="50"/>
      <c r="AK882" s="50"/>
      <c r="AL882" s="50"/>
      <c r="AM882" s="11"/>
      <c r="AN882" s="50"/>
      <c r="AO882" s="50"/>
      <c r="AP882" s="50"/>
      <c r="AQ882" s="11"/>
      <c r="AR882" s="50"/>
      <c r="AS882" s="50"/>
      <c r="AT882" s="50"/>
      <c r="AU882" s="11"/>
      <c r="AV882" s="50"/>
      <c r="AW882" s="50"/>
      <c r="AX882" s="50"/>
      <c r="AY882" s="50"/>
      <c r="AZ882" s="50"/>
      <c r="BA882" s="50"/>
      <c r="BB882" s="50"/>
      <c r="BC882" s="50"/>
      <c r="BD882" s="50"/>
      <c r="BE882" s="20"/>
      <c r="BF882" s="518"/>
      <c r="BG882" s="484"/>
      <c r="BH882" s="484"/>
      <c r="BI882" s="527"/>
      <c r="BJ882" s="484"/>
      <c r="BK882" s="484"/>
      <c r="BL882" s="484"/>
      <c r="BM882" s="484"/>
    </row>
    <row r="883" spans="1:65" s="22" customFormat="1" x14ac:dyDescent="0.25">
      <c r="A883" s="20"/>
      <c r="B883" s="515"/>
      <c r="C883" s="11"/>
      <c r="D883" s="11"/>
      <c r="E883" s="11"/>
      <c r="F883" s="21"/>
      <c r="G883" s="11"/>
      <c r="H883" s="50"/>
      <c r="I883" s="50"/>
      <c r="J883" s="50"/>
      <c r="K883" s="11"/>
      <c r="L883" s="50"/>
      <c r="M883" s="50"/>
      <c r="N883" s="50"/>
      <c r="O883" s="50"/>
      <c r="P883" s="50"/>
      <c r="Q883" s="11"/>
      <c r="R883" s="50"/>
      <c r="S883" s="50"/>
      <c r="T883" s="50"/>
      <c r="U883" s="11"/>
      <c r="V883" s="50"/>
      <c r="W883" s="50"/>
      <c r="X883" s="50"/>
      <c r="Y883" s="50"/>
      <c r="Z883" s="50"/>
      <c r="AA883" s="11"/>
      <c r="AB883" s="50"/>
      <c r="AC883" s="50"/>
      <c r="AD883" s="50"/>
      <c r="AE883" s="11"/>
      <c r="AF883" s="50"/>
      <c r="AG883" s="50"/>
      <c r="AH883" s="50"/>
      <c r="AI883" s="11"/>
      <c r="AJ883" s="50"/>
      <c r="AK883" s="50"/>
      <c r="AL883" s="50"/>
      <c r="AM883" s="11"/>
      <c r="AN883" s="50"/>
      <c r="AO883" s="50"/>
      <c r="AP883" s="50"/>
      <c r="AQ883" s="11"/>
      <c r="AR883" s="50"/>
      <c r="AS883" s="50"/>
      <c r="AT883" s="50"/>
      <c r="AU883" s="11"/>
      <c r="AV883" s="50"/>
      <c r="AW883" s="50"/>
      <c r="AX883" s="50"/>
      <c r="AY883" s="50"/>
      <c r="AZ883" s="50"/>
      <c r="BA883" s="50"/>
      <c r="BB883" s="50"/>
      <c r="BC883" s="50"/>
      <c r="BD883" s="50"/>
      <c r="BE883" s="20"/>
      <c r="BF883" s="518"/>
      <c r="BG883" s="484"/>
      <c r="BH883" s="484"/>
      <c r="BI883" s="527"/>
      <c r="BJ883" s="484"/>
      <c r="BK883" s="484"/>
      <c r="BL883" s="484"/>
      <c r="BM883" s="484"/>
    </row>
    <row r="884" spans="1:65" s="22" customFormat="1" x14ac:dyDescent="0.25">
      <c r="A884" s="20"/>
      <c r="B884" s="515"/>
      <c r="C884" s="11"/>
      <c r="D884" s="11"/>
      <c r="E884" s="11"/>
      <c r="F884" s="21"/>
      <c r="G884" s="11"/>
      <c r="H884" s="50"/>
      <c r="I884" s="50"/>
      <c r="J884" s="50"/>
      <c r="K884" s="11"/>
      <c r="L884" s="50"/>
      <c r="M884" s="50"/>
      <c r="N884" s="50"/>
      <c r="O884" s="50"/>
      <c r="P884" s="50"/>
      <c r="Q884" s="11"/>
      <c r="R884" s="50"/>
      <c r="S884" s="50"/>
      <c r="T884" s="50"/>
      <c r="U884" s="11"/>
      <c r="V884" s="50"/>
      <c r="W884" s="50"/>
      <c r="X884" s="50"/>
      <c r="Y884" s="50"/>
      <c r="Z884" s="50"/>
      <c r="AA884" s="11"/>
      <c r="AB884" s="50"/>
      <c r="AC884" s="50"/>
      <c r="AD884" s="50"/>
      <c r="AE884" s="11"/>
      <c r="AF884" s="50"/>
      <c r="AG884" s="50"/>
      <c r="AH884" s="50"/>
      <c r="AI884" s="11"/>
      <c r="AJ884" s="50"/>
      <c r="AK884" s="50"/>
      <c r="AL884" s="50"/>
      <c r="AM884" s="11"/>
      <c r="AN884" s="50"/>
      <c r="AO884" s="50"/>
      <c r="AP884" s="50"/>
      <c r="AQ884" s="11"/>
      <c r="AR884" s="50"/>
      <c r="AS884" s="50"/>
      <c r="AT884" s="50"/>
      <c r="AU884" s="11"/>
      <c r="AV884" s="50"/>
      <c r="AW884" s="50"/>
      <c r="AX884" s="50"/>
      <c r="AY884" s="50"/>
      <c r="AZ884" s="50"/>
      <c r="BA884" s="50"/>
      <c r="BB884" s="50"/>
      <c r="BC884" s="50"/>
      <c r="BD884" s="50"/>
      <c r="BE884" s="20"/>
      <c r="BF884" s="518"/>
      <c r="BG884" s="484"/>
      <c r="BH884" s="484"/>
      <c r="BI884" s="527"/>
      <c r="BJ884" s="484"/>
      <c r="BK884" s="484"/>
      <c r="BL884" s="484"/>
      <c r="BM884" s="484"/>
    </row>
    <row r="885" spans="1:65" s="22" customFormat="1" x14ac:dyDescent="0.25">
      <c r="A885" s="20"/>
      <c r="B885" s="515"/>
      <c r="C885" s="11"/>
      <c r="D885" s="11"/>
      <c r="E885" s="11"/>
      <c r="F885" s="21"/>
      <c r="G885" s="11"/>
      <c r="H885" s="50"/>
      <c r="I885" s="50"/>
      <c r="J885" s="50"/>
      <c r="K885" s="11"/>
      <c r="L885" s="50"/>
      <c r="M885" s="50"/>
      <c r="N885" s="50"/>
      <c r="O885" s="50"/>
      <c r="P885" s="50"/>
      <c r="Q885" s="11"/>
      <c r="R885" s="50"/>
      <c r="S885" s="50"/>
      <c r="T885" s="50"/>
      <c r="U885" s="11"/>
      <c r="V885" s="50"/>
      <c r="W885" s="50"/>
      <c r="X885" s="50"/>
      <c r="Y885" s="50"/>
      <c r="Z885" s="50"/>
      <c r="AA885" s="11"/>
      <c r="AB885" s="50"/>
      <c r="AC885" s="50"/>
      <c r="AD885" s="50"/>
      <c r="AE885" s="11"/>
      <c r="AF885" s="50"/>
      <c r="AG885" s="50"/>
      <c r="AH885" s="50"/>
      <c r="AI885" s="11"/>
      <c r="AJ885" s="50"/>
      <c r="AK885" s="50"/>
      <c r="AL885" s="50"/>
      <c r="AM885" s="11"/>
      <c r="AN885" s="50"/>
      <c r="AO885" s="50"/>
      <c r="AP885" s="50"/>
      <c r="AQ885" s="11"/>
      <c r="AR885" s="50"/>
      <c r="AS885" s="50"/>
      <c r="AT885" s="50"/>
      <c r="AU885" s="11"/>
      <c r="AV885" s="50"/>
      <c r="AW885" s="50"/>
      <c r="AX885" s="50"/>
      <c r="AY885" s="50"/>
      <c r="AZ885" s="50"/>
      <c r="BA885" s="50"/>
      <c r="BB885" s="50"/>
      <c r="BC885" s="50"/>
      <c r="BD885" s="50"/>
      <c r="BE885" s="20"/>
      <c r="BF885" s="518"/>
      <c r="BG885" s="484"/>
      <c r="BH885" s="484"/>
      <c r="BI885" s="527"/>
      <c r="BJ885" s="484"/>
      <c r="BK885" s="484"/>
      <c r="BL885" s="484"/>
      <c r="BM885" s="484"/>
    </row>
    <row r="886" spans="1:65" s="22" customFormat="1" x14ac:dyDescent="0.25">
      <c r="A886" s="20"/>
      <c r="B886" s="515"/>
      <c r="C886" s="11"/>
      <c r="D886" s="11"/>
      <c r="E886" s="11"/>
      <c r="F886" s="21"/>
      <c r="G886" s="11"/>
      <c r="H886" s="50"/>
      <c r="I886" s="50"/>
      <c r="J886" s="50"/>
      <c r="K886" s="11"/>
      <c r="L886" s="50"/>
      <c r="M886" s="50"/>
      <c r="N886" s="50"/>
      <c r="O886" s="50"/>
      <c r="P886" s="50"/>
      <c r="Q886" s="11"/>
      <c r="R886" s="50"/>
      <c r="S886" s="50"/>
      <c r="T886" s="50"/>
      <c r="U886" s="11"/>
      <c r="V886" s="50"/>
      <c r="W886" s="50"/>
      <c r="X886" s="50"/>
      <c r="Y886" s="50"/>
      <c r="Z886" s="50"/>
      <c r="AA886" s="11"/>
      <c r="AB886" s="50"/>
      <c r="AC886" s="50"/>
      <c r="AD886" s="50"/>
      <c r="AE886" s="11"/>
      <c r="AF886" s="50"/>
      <c r="AG886" s="50"/>
      <c r="AH886" s="50"/>
      <c r="AI886" s="11"/>
      <c r="AJ886" s="50"/>
      <c r="AK886" s="50"/>
      <c r="AL886" s="50"/>
      <c r="AM886" s="11"/>
      <c r="AN886" s="50"/>
      <c r="AO886" s="50"/>
      <c r="AP886" s="50"/>
      <c r="AQ886" s="11"/>
      <c r="AR886" s="50"/>
      <c r="AS886" s="50"/>
      <c r="AT886" s="50"/>
      <c r="AU886" s="11"/>
      <c r="AV886" s="50"/>
      <c r="AW886" s="50"/>
      <c r="AX886" s="50"/>
      <c r="AY886" s="50"/>
      <c r="AZ886" s="50"/>
      <c r="BA886" s="50"/>
      <c r="BB886" s="50"/>
      <c r="BC886" s="50"/>
      <c r="BD886" s="50"/>
      <c r="BE886" s="20"/>
      <c r="BF886" s="518"/>
      <c r="BG886" s="484"/>
      <c r="BH886" s="484"/>
      <c r="BI886" s="527"/>
      <c r="BJ886" s="484"/>
      <c r="BK886" s="484"/>
      <c r="BL886" s="484"/>
      <c r="BM886" s="484"/>
    </row>
    <row r="887" spans="1:65" s="22" customFormat="1" x14ac:dyDescent="0.25">
      <c r="A887" s="20"/>
      <c r="B887" s="515"/>
      <c r="C887" s="11"/>
      <c r="D887" s="11"/>
      <c r="E887" s="11"/>
      <c r="F887" s="21"/>
      <c r="G887" s="11"/>
      <c r="H887" s="50"/>
      <c r="I887" s="50"/>
      <c r="J887" s="50"/>
      <c r="K887" s="11"/>
      <c r="L887" s="50"/>
      <c r="M887" s="50"/>
      <c r="N887" s="50"/>
      <c r="O887" s="50"/>
      <c r="P887" s="50"/>
      <c r="Q887" s="11"/>
      <c r="R887" s="50"/>
      <c r="S887" s="50"/>
      <c r="T887" s="50"/>
      <c r="U887" s="11"/>
      <c r="V887" s="50"/>
      <c r="W887" s="50"/>
      <c r="X887" s="50"/>
      <c r="Y887" s="50"/>
      <c r="Z887" s="50"/>
      <c r="AA887" s="11"/>
      <c r="AB887" s="50"/>
      <c r="AC887" s="50"/>
      <c r="AD887" s="50"/>
      <c r="AE887" s="11"/>
      <c r="AF887" s="50"/>
      <c r="AG887" s="50"/>
      <c r="AH887" s="50"/>
      <c r="AI887" s="11"/>
      <c r="AJ887" s="50"/>
      <c r="AK887" s="50"/>
      <c r="AL887" s="50"/>
      <c r="AM887" s="11"/>
      <c r="AN887" s="50"/>
      <c r="AO887" s="50"/>
      <c r="AP887" s="50"/>
      <c r="AQ887" s="11"/>
      <c r="AR887" s="50"/>
      <c r="AS887" s="50"/>
      <c r="AT887" s="50"/>
      <c r="AU887" s="11"/>
      <c r="AV887" s="50"/>
      <c r="AW887" s="50"/>
      <c r="AX887" s="50"/>
      <c r="AY887" s="50"/>
      <c r="AZ887" s="50"/>
      <c r="BA887" s="50"/>
      <c r="BB887" s="50"/>
      <c r="BC887" s="50"/>
      <c r="BD887" s="50"/>
      <c r="BE887" s="20"/>
      <c r="BF887" s="518"/>
      <c r="BG887" s="484"/>
      <c r="BH887" s="484"/>
      <c r="BI887" s="527"/>
      <c r="BJ887" s="484"/>
      <c r="BK887" s="484"/>
      <c r="BL887" s="484"/>
      <c r="BM887" s="484"/>
    </row>
    <row r="888" spans="1:65" s="22" customFormat="1" x14ac:dyDescent="0.25">
      <c r="A888" s="20"/>
      <c r="B888" s="515"/>
      <c r="C888" s="11"/>
      <c r="D888" s="11"/>
      <c r="E888" s="11"/>
      <c r="F888" s="21"/>
      <c r="G888" s="11"/>
      <c r="H888" s="50"/>
      <c r="I888" s="50"/>
      <c r="J888" s="50"/>
      <c r="K888" s="11"/>
      <c r="L888" s="50"/>
      <c r="M888" s="50"/>
      <c r="N888" s="50"/>
      <c r="O888" s="50"/>
      <c r="P888" s="50"/>
      <c r="Q888" s="11"/>
      <c r="R888" s="50"/>
      <c r="S888" s="50"/>
      <c r="T888" s="50"/>
      <c r="U888" s="11"/>
      <c r="V888" s="50"/>
      <c r="W888" s="50"/>
      <c r="X888" s="50"/>
      <c r="Y888" s="50"/>
      <c r="Z888" s="50"/>
      <c r="AA888" s="11"/>
      <c r="AB888" s="50"/>
      <c r="AC888" s="50"/>
      <c r="AD888" s="50"/>
      <c r="AE888" s="11"/>
      <c r="AF888" s="50"/>
      <c r="AG888" s="50"/>
      <c r="AH888" s="50"/>
      <c r="AI888" s="11"/>
      <c r="AJ888" s="50"/>
      <c r="AK888" s="50"/>
      <c r="AL888" s="50"/>
      <c r="AM888" s="11"/>
      <c r="AN888" s="50"/>
      <c r="AO888" s="50"/>
      <c r="AP888" s="50"/>
      <c r="AQ888" s="11"/>
      <c r="AR888" s="50"/>
      <c r="AS888" s="50"/>
      <c r="AT888" s="50"/>
      <c r="AU888" s="11"/>
      <c r="AV888" s="50"/>
      <c r="AW888" s="50"/>
      <c r="AX888" s="50"/>
      <c r="AY888" s="50"/>
      <c r="AZ888" s="50"/>
      <c r="BA888" s="50"/>
      <c r="BB888" s="50"/>
      <c r="BC888" s="50"/>
      <c r="BD888" s="50"/>
      <c r="BE888" s="20"/>
      <c r="BF888" s="518"/>
      <c r="BG888" s="484"/>
      <c r="BH888" s="484"/>
      <c r="BI888" s="527"/>
      <c r="BJ888" s="484"/>
      <c r="BK888" s="484"/>
      <c r="BL888" s="484"/>
      <c r="BM888" s="484"/>
    </row>
    <row r="889" spans="1:65" s="22" customFormat="1" x14ac:dyDescent="0.25">
      <c r="A889" s="20"/>
      <c r="B889" s="515"/>
      <c r="C889" s="11"/>
      <c r="D889" s="11"/>
      <c r="E889" s="11"/>
      <c r="F889" s="21"/>
      <c r="G889" s="11"/>
      <c r="H889" s="50"/>
      <c r="I889" s="50"/>
      <c r="J889" s="50"/>
      <c r="K889" s="11"/>
      <c r="L889" s="50"/>
      <c r="M889" s="50"/>
      <c r="N889" s="50"/>
      <c r="O889" s="50"/>
      <c r="P889" s="50"/>
      <c r="Q889" s="11"/>
      <c r="R889" s="50"/>
      <c r="S889" s="50"/>
      <c r="T889" s="50"/>
      <c r="U889" s="11"/>
      <c r="V889" s="50"/>
      <c r="W889" s="50"/>
      <c r="X889" s="50"/>
      <c r="Y889" s="50"/>
      <c r="Z889" s="50"/>
      <c r="AA889" s="11"/>
      <c r="AB889" s="50"/>
      <c r="AC889" s="50"/>
      <c r="AD889" s="50"/>
      <c r="AE889" s="11"/>
      <c r="AF889" s="50"/>
      <c r="AG889" s="50"/>
      <c r="AH889" s="50"/>
      <c r="AI889" s="11"/>
      <c r="AJ889" s="50"/>
      <c r="AK889" s="50"/>
      <c r="AL889" s="50"/>
      <c r="AM889" s="11"/>
      <c r="AN889" s="50"/>
      <c r="AO889" s="50"/>
      <c r="AP889" s="50"/>
      <c r="AQ889" s="11"/>
      <c r="AR889" s="50"/>
      <c r="AS889" s="50"/>
      <c r="AT889" s="50"/>
      <c r="AU889" s="11"/>
      <c r="AV889" s="50"/>
      <c r="AW889" s="50"/>
      <c r="AX889" s="50"/>
      <c r="AY889" s="50"/>
      <c r="AZ889" s="50"/>
      <c r="BA889" s="50"/>
      <c r="BB889" s="50"/>
      <c r="BC889" s="50"/>
      <c r="BD889" s="50"/>
      <c r="BE889" s="20"/>
      <c r="BF889" s="518"/>
      <c r="BG889" s="484"/>
      <c r="BH889" s="484"/>
      <c r="BI889" s="527"/>
      <c r="BJ889" s="484"/>
      <c r="BK889" s="484"/>
      <c r="BL889" s="484"/>
      <c r="BM889" s="484"/>
    </row>
    <row r="890" spans="1:65" s="22" customFormat="1" x14ac:dyDescent="0.25">
      <c r="A890" s="20"/>
      <c r="B890" s="515"/>
      <c r="C890" s="11"/>
      <c r="D890" s="11"/>
      <c r="E890" s="11"/>
      <c r="F890" s="21"/>
      <c r="G890" s="11"/>
      <c r="H890" s="50"/>
      <c r="I890" s="50"/>
      <c r="J890" s="50"/>
      <c r="K890" s="11"/>
      <c r="L890" s="50"/>
      <c r="M890" s="50"/>
      <c r="N890" s="50"/>
      <c r="O890" s="50"/>
      <c r="P890" s="50"/>
      <c r="Q890" s="11"/>
      <c r="R890" s="50"/>
      <c r="S890" s="50"/>
      <c r="T890" s="50"/>
      <c r="U890" s="11"/>
      <c r="V890" s="50"/>
      <c r="W890" s="50"/>
      <c r="X890" s="50"/>
      <c r="Y890" s="50"/>
      <c r="Z890" s="50"/>
      <c r="AA890" s="11"/>
      <c r="AB890" s="50"/>
      <c r="AC890" s="50"/>
      <c r="AD890" s="50"/>
      <c r="AE890" s="11"/>
      <c r="AF890" s="50"/>
      <c r="AG890" s="50"/>
      <c r="AH890" s="50"/>
      <c r="AI890" s="11"/>
      <c r="AJ890" s="50"/>
      <c r="AK890" s="50"/>
      <c r="AL890" s="50"/>
      <c r="AM890" s="11"/>
      <c r="AN890" s="50"/>
      <c r="AO890" s="50"/>
      <c r="AP890" s="50"/>
      <c r="AQ890" s="11"/>
      <c r="AR890" s="50"/>
      <c r="AS890" s="50"/>
      <c r="AT890" s="50"/>
      <c r="AU890" s="11"/>
      <c r="AV890" s="50"/>
      <c r="AW890" s="50"/>
      <c r="AX890" s="50"/>
      <c r="AY890" s="50"/>
      <c r="AZ890" s="50"/>
      <c r="BA890" s="50"/>
      <c r="BB890" s="50"/>
      <c r="BC890" s="50"/>
      <c r="BD890" s="50"/>
      <c r="BE890" s="20"/>
      <c r="BF890" s="518"/>
      <c r="BG890" s="484"/>
      <c r="BH890" s="484"/>
      <c r="BI890" s="527"/>
      <c r="BJ890" s="484"/>
      <c r="BK890" s="484"/>
      <c r="BL890" s="484"/>
      <c r="BM890" s="484"/>
    </row>
    <row r="891" spans="1:65" s="22" customFormat="1" x14ac:dyDescent="0.25">
      <c r="A891" s="20"/>
      <c r="B891" s="515"/>
      <c r="C891" s="11"/>
      <c r="D891" s="11"/>
      <c r="E891" s="11"/>
      <c r="F891" s="21"/>
      <c r="G891" s="11"/>
      <c r="H891" s="50"/>
      <c r="I891" s="50"/>
      <c r="J891" s="50"/>
      <c r="K891" s="11"/>
      <c r="L891" s="50"/>
      <c r="M891" s="50"/>
      <c r="N891" s="50"/>
      <c r="O891" s="50"/>
      <c r="P891" s="50"/>
      <c r="Q891" s="11"/>
      <c r="R891" s="50"/>
      <c r="S891" s="50"/>
      <c r="T891" s="50"/>
      <c r="U891" s="11"/>
      <c r="V891" s="50"/>
      <c r="W891" s="50"/>
      <c r="X891" s="50"/>
      <c r="Y891" s="50"/>
      <c r="Z891" s="50"/>
      <c r="AA891" s="11"/>
      <c r="AB891" s="50"/>
      <c r="AC891" s="50"/>
      <c r="AD891" s="50"/>
      <c r="AE891" s="11"/>
      <c r="AF891" s="50"/>
      <c r="AG891" s="50"/>
      <c r="AH891" s="50"/>
      <c r="AI891" s="11"/>
      <c r="AJ891" s="50"/>
      <c r="AK891" s="50"/>
      <c r="AL891" s="50"/>
      <c r="AM891" s="11"/>
      <c r="AN891" s="50"/>
      <c r="AO891" s="50"/>
      <c r="AP891" s="50"/>
      <c r="AQ891" s="11"/>
      <c r="AR891" s="50"/>
      <c r="AS891" s="50"/>
      <c r="AT891" s="50"/>
      <c r="AU891" s="11"/>
      <c r="AV891" s="50"/>
      <c r="AW891" s="50"/>
      <c r="AX891" s="50"/>
      <c r="AY891" s="50"/>
      <c r="AZ891" s="50"/>
      <c r="BA891" s="50"/>
      <c r="BB891" s="50"/>
      <c r="BC891" s="50"/>
      <c r="BD891" s="50"/>
      <c r="BE891" s="20"/>
      <c r="BF891" s="518"/>
      <c r="BG891" s="484"/>
      <c r="BH891" s="484"/>
      <c r="BI891" s="527"/>
      <c r="BJ891" s="484"/>
      <c r="BK891" s="484"/>
      <c r="BL891" s="484"/>
      <c r="BM891" s="484"/>
    </row>
    <row r="892" spans="1:65" s="22" customFormat="1" x14ac:dyDescent="0.25">
      <c r="A892" s="20"/>
      <c r="B892" s="515"/>
      <c r="C892" s="11"/>
      <c r="D892" s="11"/>
      <c r="E892" s="11"/>
      <c r="F892" s="21"/>
      <c r="G892" s="11"/>
      <c r="H892" s="50"/>
      <c r="I892" s="50"/>
      <c r="J892" s="50"/>
      <c r="K892" s="11"/>
      <c r="L892" s="50"/>
      <c r="M892" s="50"/>
      <c r="N892" s="50"/>
      <c r="O892" s="50"/>
      <c r="P892" s="50"/>
      <c r="Q892" s="11"/>
      <c r="R892" s="50"/>
      <c r="S892" s="50"/>
      <c r="T892" s="50"/>
      <c r="U892" s="11"/>
      <c r="V892" s="50"/>
      <c r="W892" s="50"/>
      <c r="X892" s="50"/>
      <c r="Y892" s="50"/>
      <c r="Z892" s="50"/>
      <c r="AA892" s="11"/>
      <c r="AB892" s="50"/>
      <c r="AC892" s="50"/>
      <c r="AD892" s="50"/>
      <c r="AE892" s="11"/>
      <c r="AF892" s="50"/>
      <c r="AG892" s="50"/>
      <c r="AH892" s="50"/>
      <c r="AI892" s="11"/>
      <c r="AJ892" s="50"/>
      <c r="AK892" s="50"/>
      <c r="AL892" s="50"/>
      <c r="AM892" s="11"/>
      <c r="AN892" s="50"/>
      <c r="AO892" s="50"/>
      <c r="AP892" s="50"/>
      <c r="AQ892" s="11"/>
      <c r="AR892" s="50"/>
      <c r="AS892" s="50"/>
      <c r="AT892" s="50"/>
      <c r="AU892" s="11"/>
      <c r="AV892" s="50"/>
      <c r="AW892" s="50"/>
      <c r="AX892" s="50"/>
      <c r="AY892" s="50"/>
      <c r="AZ892" s="50"/>
      <c r="BA892" s="50"/>
      <c r="BB892" s="50"/>
      <c r="BC892" s="50"/>
      <c r="BD892" s="50"/>
      <c r="BE892" s="20"/>
      <c r="BF892" s="518"/>
      <c r="BG892" s="484"/>
      <c r="BH892" s="484"/>
      <c r="BI892" s="527"/>
      <c r="BJ892" s="484"/>
      <c r="BK892" s="484"/>
      <c r="BL892" s="484"/>
      <c r="BM892" s="484"/>
    </row>
    <row r="893" spans="1:65" s="22" customFormat="1" x14ac:dyDescent="0.25">
      <c r="A893" s="20"/>
      <c r="B893" s="515"/>
      <c r="C893" s="11"/>
      <c r="D893" s="11"/>
      <c r="E893" s="11"/>
      <c r="F893" s="21"/>
      <c r="G893" s="11"/>
      <c r="H893" s="50"/>
      <c r="I893" s="50"/>
      <c r="J893" s="50"/>
      <c r="K893" s="11"/>
      <c r="L893" s="50"/>
      <c r="M893" s="50"/>
      <c r="N893" s="50"/>
      <c r="O893" s="50"/>
      <c r="P893" s="50"/>
      <c r="Q893" s="11"/>
      <c r="R893" s="50"/>
      <c r="S893" s="50"/>
      <c r="T893" s="50"/>
      <c r="U893" s="11"/>
      <c r="V893" s="50"/>
      <c r="W893" s="50"/>
      <c r="X893" s="50"/>
      <c r="Y893" s="50"/>
      <c r="Z893" s="50"/>
      <c r="AA893" s="11"/>
      <c r="AB893" s="50"/>
      <c r="AC893" s="50"/>
      <c r="AD893" s="50"/>
      <c r="AE893" s="11"/>
      <c r="AF893" s="50"/>
      <c r="AG893" s="50"/>
      <c r="AH893" s="50"/>
      <c r="AI893" s="11"/>
      <c r="AJ893" s="50"/>
      <c r="AK893" s="50"/>
      <c r="AL893" s="50"/>
      <c r="AM893" s="11"/>
      <c r="AN893" s="50"/>
      <c r="AO893" s="50"/>
      <c r="AP893" s="50"/>
      <c r="AQ893" s="11"/>
      <c r="AR893" s="50"/>
      <c r="AS893" s="50"/>
      <c r="AT893" s="50"/>
      <c r="AU893" s="11"/>
      <c r="AV893" s="50"/>
      <c r="AW893" s="50"/>
      <c r="AX893" s="50"/>
      <c r="AY893" s="50"/>
      <c r="AZ893" s="50"/>
      <c r="BA893" s="50"/>
      <c r="BB893" s="50"/>
      <c r="BC893" s="50"/>
      <c r="BD893" s="50"/>
      <c r="BE893" s="20"/>
      <c r="BF893" s="518"/>
      <c r="BG893" s="484"/>
      <c r="BH893" s="484"/>
      <c r="BI893" s="527"/>
      <c r="BJ893" s="484"/>
      <c r="BK893" s="484"/>
      <c r="BL893" s="484"/>
      <c r="BM893" s="484"/>
    </row>
    <row r="894" spans="1:65" s="22" customFormat="1" x14ac:dyDescent="0.25">
      <c r="A894" s="20"/>
      <c r="B894" s="515"/>
      <c r="C894" s="11"/>
      <c r="D894" s="11"/>
      <c r="E894" s="11"/>
      <c r="F894" s="21"/>
      <c r="G894" s="11"/>
      <c r="H894" s="50"/>
      <c r="I894" s="50"/>
      <c r="J894" s="50"/>
      <c r="K894" s="11"/>
      <c r="L894" s="50"/>
      <c r="M894" s="50"/>
      <c r="N894" s="50"/>
      <c r="O894" s="50"/>
      <c r="P894" s="50"/>
      <c r="Q894" s="11"/>
      <c r="R894" s="50"/>
      <c r="S894" s="50"/>
      <c r="T894" s="50"/>
      <c r="U894" s="11"/>
      <c r="V894" s="50"/>
      <c r="W894" s="50"/>
      <c r="X894" s="50"/>
      <c r="Y894" s="50"/>
      <c r="Z894" s="50"/>
      <c r="AA894" s="11"/>
      <c r="AB894" s="50"/>
      <c r="AC894" s="50"/>
      <c r="AD894" s="50"/>
      <c r="AE894" s="11"/>
      <c r="AF894" s="50"/>
      <c r="AG894" s="50"/>
      <c r="AH894" s="50"/>
      <c r="AI894" s="11"/>
      <c r="AJ894" s="50"/>
      <c r="AK894" s="50"/>
      <c r="AL894" s="50"/>
      <c r="AM894" s="11"/>
      <c r="AN894" s="50"/>
      <c r="AO894" s="50"/>
      <c r="AP894" s="50"/>
      <c r="AQ894" s="11"/>
      <c r="AR894" s="50"/>
      <c r="AS894" s="50"/>
      <c r="AT894" s="50"/>
      <c r="AU894" s="11"/>
      <c r="AV894" s="50"/>
      <c r="AW894" s="50"/>
      <c r="AX894" s="50"/>
      <c r="AY894" s="50"/>
      <c r="AZ894" s="50"/>
      <c r="BA894" s="50"/>
      <c r="BB894" s="50"/>
      <c r="BC894" s="50"/>
      <c r="BD894" s="50"/>
      <c r="BE894" s="20"/>
      <c r="BF894" s="518"/>
      <c r="BG894" s="484"/>
      <c r="BH894" s="484"/>
      <c r="BI894" s="527"/>
      <c r="BJ894" s="484"/>
      <c r="BK894" s="484"/>
      <c r="BL894" s="484"/>
      <c r="BM894" s="484"/>
    </row>
    <row r="895" spans="1:65" s="22" customFormat="1" x14ac:dyDescent="0.25">
      <c r="A895" s="20"/>
      <c r="B895" s="515"/>
      <c r="C895" s="11"/>
      <c r="D895" s="11"/>
      <c r="E895" s="11"/>
      <c r="F895" s="21"/>
      <c r="G895" s="11"/>
      <c r="H895" s="50"/>
      <c r="I895" s="50"/>
      <c r="J895" s="50"/>
      <c r="K895" s="11"/>
      <c r="L895" s="50"/>
      <c r="M895" s="50"/>
      <c r="N895" s="50"/>
      <c r="O895" s="50"/>
      <c r="P895" s="50"/>
      <c r="Q895" s="11"/>
      <c r="R895" s="50"/>
      <c r="S895" s="50"/>
      <c r="T895" s="50"/>
      <c r="U895" s="11"/>
      <c r="V895" s="50"/>
      <c r="W895" s="50"/>
      <c r="X895" s="50"/>
      <c r="Y895" s="50"/>
      <c r="Z895" s="50"/>
      <c r="AA895" s="11"/>
      <c r="AB895" s="50"/>
      <c r="AC895" s="50"/>
      <c r="AD895" s="50"/>
      <c r="AE895" s="11"/>
      <c r="AF895" s="50"/>
      <c r="AG895" s="50"/>
      <c r="AH895" s="50"/>
      <c r="AI895" s="11"/>
      <c r="AJ895" s="50"/>
      <c r="AK895" s="50"/>
      <c r="AL895" s="50"/>
      <c r="AM895" s="11"/>
      <c r="AN895" s="50"/>
      <c r="AO895" s="50"/>
      <c r="AP895" s="50"/>
      <c r="AQ895" s="11"/>
      <c r="AR895" s="50"/>
      <c r="AS895" s="50"/>
      <c r="AT895" s="50"/>
      <c r="AU895" s="11"/>
      <c r="AV895" s="50"/>
      <c r="AW895" s="50"/>
      <c r="AX895" s="50"/>
      <c r="AY895" s="50"/>
      <c r="AZ895" s="50"/>
      <c r="BA895" s="50"/>
      <c r="BB895" s="50"/>
      <c r="BC895" s="50"/>
      <c r="BD895" s="50"/>
      <c r="BE895" s="20"/>
      <c r="BF895" s="518"/>
      <c r="BG895" s="484"/>
      <c r="BH895" s="484"/>
      <c r="BI895" s="527"/>
      <c r="BJ895" s="484"/>
      <c r="BK895" s="484"/>
      <c r="BL895" s="484"/>
      <c r="BM895" s="484"/>
    </row>
    <row r="896" spans="1:65" s="22" customFormat="1" x14ac:dyDescent="0.25">
      <c r="A896" s="20"/>
      <c r="B896" s="515"/>
      <c r="C896" s="11"/>
      <c r="D896" s="11"/>
      <c r="E896" s="11"/>
      <c r="F896" s="21"/>
      <c r="G896" s="11"/>
      <c r="H896" s="50"/>
      <c r="I896" s="50"/>
      <c r="J896" s="50"/>
      <c r="K896" s="11"/>
      <c r="L896" s="50"/>
      <c r="M896" s="50"/>
      <c r="N896" s="50"/>
      <c r="O896" s="50"/>
      <c r="P896" s="50"/>
      <c r="Q896" s="11"/>
      <c r="R896" s="50"/>
      <c r="S896" s="50"/>
      <c r="T896" s="50"/>
      <c r="U896" s="11"/>
      <c r="V896" s="50"/>
      <c r="W896" s="50"/>
      <c r="X896" s="50"/>
      <c r="Y896" s="50"/>
      <c r="Z896" s="50"/>
      <c r="AA896" s="11"/>
      <c r="AB896" s="50"/>
      <c r="AC896" s="50"/>
      <c r="AD896" s="50"/>
      <c r="AE896" s="11"/>
      <c r="AF896" s="50"/>
      <c r="AG896" s="50"/>
      <c r="AH896" s="50"/>
      <c r="AI896" s="11"/>
      <c r="AJ896" s="50"/>
      <c r="AK896" s="50"/>
      <c r="AL896" s="50"/>
      <c r="AM896" s="11"/>
      <c r="AN896" s="50"/>
      <c r="AO896" s="50"/>
      <c r="AP896" s="50"/>
      <c r="AQ896" s="11"/>
      <c r="AR896" s="50"/>
      <c r="AS896" s="50"/>
      <c r="AT896" s="50"/>
      <c r="AU896" s="11"/>
      <c r="AV896" s="50"/>
      <c r="AW896" s="50"/>
      <c r="AX896" s="50"/>
      <c r="AY896" s="50"/>
      <c r="AZ896" s="50"/>
      <c r="BA896" s="50"/>
      <c r="BB896" s="50"/>
      <c r="BC896" s="50"/>
      <c r="BD896" s="50"/>
      <c r="BE896" s="20"/>
      <c r="BF896" s="518"/>
      <c r="BG896" s="484"/>
      <c r="BH896" s="484"/>
      <c r="BI896" s="527"/>
      <c r="BJ896" s="484"/>
      <c r="BK896" s="484"/>
      <c r="BL896" s="484"/>
      <c r="BM896" s="484"/>
    </row>
    <row r="897" spans="1:65" s="22" customFormat="1" x14ac:dyDescent="0.25">
      <c r="A897" s="20"/>
      <c r="B897" s="515"/>
      <c r="C897" s="11"/>
      <c r="D897" s="11"/>
      <c r="E897" s="11"/>
      <c r="F897" s="21"/>
      <c r="G897" s="11"/>
      <c r="H897" s="50"/>
      <c r="I897" s="50"/>
      <c r="J897" s="50"/>
      <c r="K897" s="11"/>
      <c r="L897" s="50"/>
      <c r="M897" s="50"/>
      <c r="N897" s="50"/>
      <c r="O897" s="50"/>
      <c r="P897" s="50"/>
      <c r="Q897" s="11"/>
      <c r="R897" s="50"/>
      <c r="S897" s="50"/>
      <c r="T897" s="50"/>
      <c r="U897" s="11"/>
      <c r="V897" s="50"/>
      <c r="W897" s="50"/>
      <c r="X897" s="50"/>
      <c r="Y897" s="50"/>
      <c r="Z897" s="50"/>
      <c r="AA897" s="11"/>
      <c r="AB897" s="50"/>
      <c r="AC897" s="50"/>
      <c r="AD897" s="50"/>
      <c r="AE897" s="11"/>
      <c r="AF897" s="50"/>
      <c r="AG897" s="50"/>
      <c r="AH897" s="50"/>
      <c r="AI897" s="11"/>
      <c r="AJ897" s="50"/>
      <c r="AK897" s="50"/>
      <c r="AL897" s="50"/>
      <c r="AM897" s="11"/>
      <c r="AN897" s="50"/>
      <c r="AO897" s="50"/>
      <c r="AP897" s="50"/>
      <c r="AQ897" s="11"/>
      <c r="AR897" s="50"/>
      <c r="AS897" s="50"/>
      <c r="AT897" s="50"/>
      <c r="AU897" s="11"/>
      <c r="AV897" s="50"/>
      <c r="AW897" s="50"/>
      <c r="AX897" s="50"/>
      <c r="AY897" s="50"/>
      <c r="AZ897" s="50"/>
      <c r="BA897" s="50"/>
      <c r="BB897" s="50"/>
      <c r="BC897" s="50"/>
      <c r="BD897" s="50"/>
      <c r="BE897" s="20"/>
      <c r="BF897" s="518"/>
      <c r="BG897" s="484"/>
      <c r="BH897" s="484"/>
      <c r="BI897" s="527"/>
      <c r="BJ897" s="484"/>
      <c r="BK897" s="484"/>
      <c r="BL897" s="484"/>
      <c r="BM897" s="484"/>
    </row>
    <row r="898" spans="1:65" s="22" customFormat="1" x14ac:dyDescent="0.25">
      <c r="A898" s="20"/>
      <c r="B898" s="515"/>
      <c r="C898" s="11"/>
      <c r="D898" s="11"/>
      <c r="E898" s="11"/>
      <c r="F898" s="21"/>
      <c r="G898" s="11"/>
      <c r="H898" s="50"/>
      <c r="I898" s="50"/>
      <c r="J898" s="50"/>
      <c r="K898" s="11"/>
      <c r="L898" s="50"/>
      <c r="M898" s="50"/>
      <c r="N898" s="50"/>
      <c r="O898" s="50"/>
      <c r="P898" s="50"/>
      <c r="Q898" s="11"/>
      <c r="R898" s="50"/>
      <c r="S898" s="50"/>
      <c r="T898" s="50"/>
      <c r="U898" s="11"/>
      <c r="V898" s="50"/>
      <c r="W898" s="50"/>
      <c r="X898" s="50"/>
      <c r="Y898" s="50"/>
      <c r="Z898" s="50"/>
      <c r="AA898" s="11"/>
      <c r="AB898" s="50"/>
      <c r="AC898" s="50"/>
      <c r="AD898" s="50"/>
      <c r="AE898" s="11"/>
      <c r="AF898" s="50"/>
      <c r="AG898" s="50"/>
      <c r="AH898" s="50"/>
      <c r="AI898" s="11"/>
      <c r="AJ898" s="50"/>
      <c r="AK898" s="50"/>
      <c r="AL898" s="50"/>
      <c r="AM898" s="11"/>
      <c r="AN898" s="50"/>
      <c r="AO898" s="50"/>
      <c r="AP898" s="50"/>
      <c r="AQ898" s="11"/>
      <c r="AR898" s="50"/>
      <c r="AS898" s="50"/>
      <c r="AT898" s="50"/>
      <c r="AU898" s="11"/>
      <c r="AV898" s="50"/>
      <c r="AW898" s="50"/>
      <c r="AX898" s="50"/>
      <c r="AY898" s="50"/>
      <c r="AZ898" s="50"/>
      <c r="BA898" s="50"/>
      <c r="BB898" s="50"/>
      <c r="BC898" s="50"/>
      <c r="BD898" s="50"/>
      <c r="BE898" s="20"/>
      <c r="BF898" s="518"/>
      <c r="BG898" s="484"/>
      <c r="BH898" s="484"/>
      <c r="BI898" s="527"/>
      <c r="BJ898" s="484"/>
      <c r="BK898" s="484"/>
      <c r="BL898" s="484"/>
      <c r="BM898" s="484"/>
    </row>
    <row r="899" spans="1:65" s="22" customFormat="1" x14ac:dyDescent="0.25">
      <c r="A899" s="20"/>
      <c r="B899" s="515"/>
      <c r="C899" s="11"/>
      <c r="D899" s="11"/>
      <c r="E899" s="11"/>
      <c r="F899" s="21"/>
      <c r="G899" s="11"/>
      <c r="H899" s="50"/>
      <c r="I899" s="50"/>
      <c r="J899" s="50"/>
      <c r="K899" s="11"/>
      <c r="L899" s="50"/>
      <c r="M899" s="50"/>
      <c r="N899" s="50"/>
      <c r="O899" s="50"/>
      <c r="P899" s="50"/>
      <c r="Q899" s="11"/>
      <c r="R899" s="50"/>
      <c r="S899" s="50"/>
      <c r="T899" s="50"/>
      <c r="U899" s="11"/>
      <c r="V899" s="50"/>
      <c r="W899" s="50"/>
      <c r="X899" s="50"/>
      <c r="Y899" s="50"/>
      <c r="Z899" s="50"/>
      <c r="AA899" s="11"/>
      <c r="AB899" s="50"/>
      <c r="AC899" s="50"/>
      <c r="AD899" s="50"/>
      <c r="AE899" s="11"/>
      <c r="AF899" s="50"/>
      <c r="AG899" s="50"/>
      <c r="AH899" s="50"/>
      <c r="AI899" s="11"/>
      <c r="AJ899" s="50"/>
      <c r="AK899" s="50"/>
      <c r="AL899" s="50"/>
      <c r="AM899" s="11"/>
      <c r="AN899" s="50"/>
      <c r="AO899" s="50"/>
      <c r="AP899" s="50"/>
      <c r="AQ899" s="11"/>
      <c r="AR899" s="50"/>
      <c r="AS899" s="50"/>
      <c r="AT899" s="50"/>
      <c r="AU899" s="11"/>
      <c r="AV899" s="50"/>
      <c r="AW899" s="50"/>
      <c r="AX899" s="50"/>
      <c r="AY899" s="50"/>
      <c r="AZ899" s="50"/>
      <c r="BA899" s="50"/>
      <c r="BB899" s="50"/>
      <c r="BC899" s="50"/>
      <c r="BD899" s="50"/>
      <c r="BE899" s="20"/>
      <c r="BF899" s="518"/>
      <c r="BG899" s="484"/>
      <c r="BH899" s="484"/>
      <c r="BI899" s="527"/>
      <c r="BJ899" s="484"/>
      <c r="BK899" s="484"/>
      <c r="BL899" s="484"/>
      <c r="BM899" s="484"/>
    </row>
    <row r="900" spans="1:65" s="22" customFormat="1" x14ac:dyDescent="0.25">
      <c r="A900" s="20"/>
      <c r="B900" s="515"/>
      <c r="C900" s="11"/>
      <c r="D900" s="11"/>
      <c r="E900" s="11"/>
      <c r="F900" s="21"/>
      <c r="G900" s="11"/>
      <c r="H900" s="50"/>
      <c r="I900" s="50"/>
      <c r="J900" s="50"/>
      <c r="K900" s="11"/>
      <c r="L900" s="50"/>
      <c r="M900" s="50"/>
      <c r="N900" s="50"/>
      <c r="O900" s="50"/>
      <c r="P900" s="50"/>
      <c r="Q900" s="11"/>
      <c r="R900" s="50"/>
      <c r="S900" s="50"/>
      <c r="T900" s="50"/>
      <c r="U900" s="11"/>
      <c r="V900" s="50"/>
      <c r="W900" s="50"/>
      <c r="X900" s="50"/>
      <c r="Y900" s="50"/>
      <c r="Z900" s="50"/>
      <c r="AA900" s="11"/>
      <c r="AB900" s="50"/>
      <c r="AC900" s="50"/>
      <c r="AD900" s="50"/>
      <c r="AE900" s="11"/>
      <c r="AF900" s="50"/>
      <c r="AG900" s="50"/>
      <c r="AH900" s="50"/>
      <c r="AI900" s="11"/>
      <c r="AJ900" s="50"/>
      <c r="AK900" s="50"/>
      <c r="AL900" s="50"/>
      <c r="AM900" s="11"/>
      <c r="AN900" s="50"/>
      <c r="AO900" s="50"/>
      <c r="AP900" s="50"/>
      <c r="AQ900" s="11"/>
      <c r="AR900" s="50"/>
      <c r="AS900" s="50"/>
      <c r="AT900" s="50"/>
      <c r="AU900" s="11"/>
      <c r="AV900" s="50"/>
      <c r="AW900" s="50"/>
      <c r="AX900" s="50"/>
      <c r="AY900" s="50"/>
      <c r="AZ900" s="50"/>
      <c r="BA900" s="50"/>
      <c r="BB900" s="50"/>
      <c r="BC900" s="50"/>
      <c r="BD900" s="50"/>
      <c r="BE900" s="20"/>
      <c r="BF900" s="518"/>
      <c r="BG900" s="484"/>
      <c r="BH900" s="484"/>
      <c r="BI900" s="527"/>
      <c r="BJ900" s="484"/>
      <c r="BK900" s="484"/>
      <c r="BL900" s="484"/>
      <c r="BM900" s="484"/>
    </row>
    <row r="901" spans="1:65" s="22" customFormat="1" x14ac:dyDescent="0.25">
      <c r="A901" s="20"/>
      <c r="B901" s="515"/>
      <c r="C901" s="11"/>
      <c r="D901" s="11"/>
      <c r="E901" s="11"/>
      <c r="F901" s="21"/>
      <c r="G901" s="11"/>
      <c r="H901" s="50"/>
      <c r="I901" s="50"/>
      <c r="J901" s="50"/>
      <c r="K901" s="11"/>
      <c r="L901" s="50"/>
      <c r="M901" s="50"/>
      <c r="N901" s="50"/>
      <c r="O901" s="50"/>
      <c r="P901" s="50"/>
      <c r="Q901" s="11"/>
      <c r="R901" s="50"/>
      <c r="S901" s="50"/>
      <c r="T901" s="50"/>
      <c r="U901" s="11"/>
      <c r="V901" s="50"/>
      <c r="W901" s="50"/>
      <c r="X901" s="50"/>
      <c r="Y901" s="50"/>
      <c r="Z901" s="50"/>
      <c r="AA901" s="11"/>
      <c r="AB901" s="50"/>
      <c r="AC901" s="50"/>
      <c r="AD901" s="50"/>
      <c r="AE901" s="11"/>
      <c r="AF901" s="50"/>
      <c r="AG901" s="50"/>
      <c r="AH901" s="50"/>
      <c r="AI901" s="11"/>
      <c r="AJ901" s="50"/>
      <c r="AK901" s="50"/>
      <c r="AL901" s="50"/>
      <c r="AM901" s="11"/>
      <c r="AN901" s="50"/>
      <c r="AO901" s="50"/>
      <c r="AP901" s="50"/>
      <c r="AQ901" s="11"/>
      <c r="AR901" s="50"/>
      <c r="AS901" s="50"/>
      <c r="AT901" s="50"/>
      <c r="AU901" s="11"/>
      <c r="AV901" s="50"/>
      <c r="AW901" s="50"/>
      <c r="AX901" s="50"/>
      <c r="AY901" s="50"/>
      <c r="AZ901" s="50"/>
      <c r="BA901" s="50"/>
      <c r="BB901" s="50"/>
      <c r="BC901" s="50"/>
      <c r="BD901" s="50"/>
      <c r="BE901" s="20"/>
      <c r="BF901" s="518"/>
      <c r="BG901" s="484"/>
      <c r="BH901" s="484"/>
      <c r="BI901" s="527"/>
      <c r="BJ901" s="484"/>
      <c r="BK901" s="484"/>
      <c r="BL901" s="484"/>
      <c r="BM901" s="484"/>
    </row>
    <row r="902" spans="1:65" s="22" customFormat="1" x14ac:dyDescent="0.25">
      <c r="A902" s="20"/>
      <c r="B902" s="515"/>
      <c r="C902" s="11"/>
      <c r="D902" s="11"/>
      <c r="E902" s="11"/>
      <c r="F902" s="21"/>
      <c r="G902" s="11"/>
      <c r="H902" s="50"/>
      <c r="I902" s="50"/>
      <c r="J902" s="50"/>
      <c r="K902" s="11"/>
      <c r="L902" s="50"/>
      <c r="M902" s="50"/>
      <c r="N902" s="50"/>
      <c r="O902" s="50"/>
      <c r="P902" s="50"/>
      <c r="Q902" s="11"/>
      <c r="R902" s="50"/>
      <c r="S902" s="50"/>
      <c r="T902" s="50"/>
      <c r="U902" s="11"/>
      <c r="V902" s="50"/>
      <c r="W902" s="50"/>
      <c r="X902" s="50"/>
      <c r="Y902" s="50"/>
      <c r="Z902" s="50"/>
      <c r="AA902" s="11"/>
      <c r="AB902" s="50"/>
      <c r="AC902" s="50"/>
      <c r="AD902" s="50"/>
      <c r="AE902" s="11"/>
      <c r="AF902" s="50"/>
      <c r="AG902" s="50"/>
      <c r="AH902" s="50"/>
      <c r="AI902" s="11"/>
      <c r="AJ902" s="50"/>
      <c r="AK902" s="50"/>
      <c r="AL902" s="50"/>
      <c r="AM902" s="11"/>
      <c r="AN902" s="50"/>
      <c r="AO902" s="50"/>
      <c r="AP902" s="50"/>
      <c r="AQ902" s="11"/>
      <c r="AR902" s="50"/>
      <c r="AS902" s="50"/>
      <c r="AT902" s="50"/>
      <c r="AU902" s="11"/>
      <c r="AV902" s="50"/>
      <c r="AW902" s="50"/>
      <c r="AX902" s="50"/>
      <c r="AY902" s="50"/>
      <c r="AZ902" s="50"/>
      <c r="BA902" s="50"/>
      <c r="BB902" s="50"/>
      <c r="BC902" s="50"/>
      <c r="BD902" s="50"/>
      <c r="BE902" s="20"/>
      <c r="BF902" s="518"/>
      <c r="BG902" s="484"/>
      <c r="BH902" s="484"/>
      <c r="BI902" s="527"/>
      <c r="BJ902" s="484"/>
      <c r="BK902" s="484"/>
      <c r="BL902" s="484"/>
      <c r="BM902" s="484"/>
    </row>
    <row r="903" spans="1:65" s="22" customFormat="1" x14ac:dyDescent="0.25">
      <c r="A903" s="20"/>
      <c r="B903" s="515"/>
      <c r="C903" s="11"/>
      <c r="D903" s="11"/>
      <c r="E903" s="11"/>
      <c r="F903" s="21"/>
      <c r="G903" s="11"/>
      <c r="H903" s="50"/>
      <c r="I903" s="50"/>
      <c r="J903" s="50"/>
      <c r="K903" s="11"/>
      <c r="L903" s="50"/>
      <c r="M903" s="50"/>
      <c r="N903" s="50"/>
      <c r="O903" s="50"/>
      <c r="P903" s="50"/>
      <c r="Q903" s="11"/>
      <c r="R903" s="50"/>
      <c r="S903" s="50"/>
      <c r="T903" s="50"/>
      <c r="U903" s="11"/>
      <c r="V903" s="50"/>
      <c r="W903" s="50"/>
      <c r="X903" s="50"/>
      <c r="Y903" s="50"/>
      <c r="Z903" s="50"/>
      <c r="AA903" s="11"/>
      <c r="AB903" s="50"/>
      <c r="AC903" s="50"/>
      <c r="AD903" s="50"/>
      <c r="AE903" s="11"/>
      <c r="AF903" s="50"/>
      <c r="AG903" s="50"/>
      <c r="AH903" s="50"/>
      <c r="AI903" s="11"/>
      <c r="AJ903" s="50"/>
      <c r="AK903" s="50"/>
      <c r="AL903" s="50"/>
      <c r="AM903" s="11"/>
      <c r="AN903" s="50"/>
      <c r="AO903" s="50"/>
      <c r="AP903" s="50"/>
      <c r="AQ903" s="11"/>
      <c r="AR903" s="50"/>
      <c r="AS903" s="50"/>
      <c r="AT903" s="50"/>
      <c r="AU903" s="11"/>
      <c r="AV903" s="50"/>
      <c r="AW903" s="50"/>
      <c r="AX903" s="50"/>
      <c r="AY903" s="50"/>
      <c r="AZ903" s="50"/>
      <c r="BA903" s="50"/>
      <c r="BB903" s="50"/>
      <c r="BC903" s="50"/>
      <c r="BD903" s="50"/>
      <c r="BE903" s="20"/>
      <c r="BF903" s="518"/>
      <c r="BG903" s="484"/>
      <c r="BH903" s="484"/>
      <c r="BI903" s="527"/>
      <c r="BJ903" s="484"/>
      <c r="BK903" s="484"/>
      <c r="BL903" s="484"/>
      <c r="BM903" s="484"/>
    </row>
    <row r="904" spans="1:65" s="22" customFormat="1" x14ac:dyDescent="0.25">
      <c r="A904" s="20"/>
      <c r="B904" s="515"/>
      <c r="C904" s="11"/>
      <c r="D904" s="11"/>
      <c r="E904" s="11"/>
      <c r="F904" s="21"/>
      <c r="G904" s="11"/>
      <c r="H904" s="50"/>
      <c r="I904" s="50"/>
      <c r="J904" s="50"/>
      <c r="K904" s="11"/>
      <c r="L904" s="50"/>
      <c r="M904" s="50"/>
      <c r="N904" s="50"/>
      <c r="O904" s="50"/>
      <c r="P904" s="50"/>
      <c r="Q904" s="11"/>
      <c r="R904" s="50"/>
      <c r="S904" s="50"/>
      <c r="T904" s="50"/>
      <c r="U904" s="11"/>
      <c r="V904" s="50"/>
      <c r="W904" s="50"/>
      <c r="X904" s="50"/>
      <c r="Y904" s="50"/>
      <c r="Z904" s="50"/>
      <c r="AA904" s="11"/>
      <c r="AB904" s="50"/>
      <c r="AC904" s="50"/>
      <c r="AD904" s="50"/>
      <c r="AE904" s="11"/>
      <c r="AF904" s="50"/>
      <c r="AG904" s="50"/>
      <c r="AH904" s="50"/>
      <c r="AI904" s="11"/>
      <c r="AJ904" s="50"/>
      <c r="AK904" s="50"/>
      <c r="AL904" s="50"/>
      <c r="AM904" s="11"/>
      <c r="AN904" s="50"/>
      <c r="AO904" s="50"/>
      <c r="AP904" s="50"/>
      <c r="AQ904" s="11"/>
      <c r="AR904" s="50"/>
      <c r="AS904" s="50"/>
      <c r="AT904" s="50"/>
      <c r="AU904" s="11"/>
      <c r="AV904" s="50"/>
      <c r="AW904" s="50"/>
      <c r="AX904" s="50"/>
      <c r="AY904" s="50"/>
      <c r="AZ904" s="50"/>
      <c r="BA904" s="50"/>
      <c r="BB904" s="50"/>
      <c r="BC904" s="50"/>
      <c r="BD904" s="50"/>
      <c r="BE904" s="20"/>
      <c r="BF904" s="518"/>
      <c r="BG904" s="484"/>
      <c r="BH904" s="484"/>
      <c r="BI904" s="527"/>
      <c r="BJ904" s="484"/>
      <c r="BK904" s="484"/>
      <c r="BL904" s="484"/>
      <c r="BM904" s="484"/>
    </row>
    <row r="905" spans="1:65" s="22" customFormat="1" x14ac:dyDescent="0.25">
      <c r="A905" s="20"/>
      <c r="B905" s="515"/>
      <c r="C905" s="11"/>
      <c r="D905" s="11"/>
      <c r="E905" s="11"/>
      <c r="F905" s="21"/>
      <c r="G905" s="11"/>
      <c r="H905" s="50"/>
      <c r="I905" s="50"/>
      <c r="J905" s="50"/>
      <c r="K905" s="11"/>
      <c r="L905" s="50"/>
      <c r="M905" s="50"/>
      <c r="N905" s="50"/>
      <c r="O905" s="50"/>
      <c r="P905" s="50"/>
      <c r="Q905" s="11"/>
      <c r="R905" s="50"/>
      <c r="S905" s="50"/>
      <c r="T905" s="50"/>
      <c r="U905" s="11"/>
      <c r="V905" s="50"/>
      <c r="W905" s="50"/>
      <c r="X905" s="50"/>
      <c r="Y905" s="50"/>
      <c r="Z905" s="50"/>
      <c r="AA905" s="11"/>
      <c r="AB905" s="50"/>
      <c r="AC905" s="50"/>
      <c r="AD905" s="50"/>
      <c r="AE905" s="11"/>
      <c r="AF905" s="50"/>
      <c r="AG905" s="50"/>
      <c r="AH905" s="50"/>
      <c r="AI905" s="11"/>
      <c r="AJ905" s="50"/>
      <c r="AK905" s="50"/>
      <c r="AL905" s="50"/>
      <c r="AM905" s="11"/>
      <c r="AN905" s="50"/>
      <c r="AO905" s="50"/>
      <c r="AP905" s="50"/>
      <c r="AQ905" s="11"/>
      <c r="AR905" s="50"/>
      <c r="AS905" s="50"/>
      <c r="AT905" s="50"/>
      <c r="AU905" s="11"/>
      <c r="AV905" s="50"/>
      <c r="AW905" s="50"/>
      <c r="AX905" s="50"/>
      <c r="AY905" s="50"/>
      <c r="AZ905" s="50"/>
      <c r="BA905" s="50"/>
      <c r="BB905" s="50"/>
      <c r="BC905" s="50"/>
      <c r="BD905" s="50"/>
      <c r="BE905" s="20"/>
      <c r="BF905" s="518"/>
      <c r="BG905" s="484"/>
      <c r="BH905" s="484"/>
      <c r="BI905" s="527"/>
      <c r="BJ905" s="484"/>
      <c r="BK905" s="484"/>
      <c r="BL905" s="484"/>
      <c r="BM905" s="484"/>
    </row>
    <row r="906" spans="1:65" s="22" customFormat="1" x14ac:dyDescent="0.25">
      <c r="A906" s="20"/>
      <c r="B906" s="515"/>
      <c r="C906" s="11"/>
      <c r="D906" s="11"/>
      <c r="E906" s="11"/>
      <c r="F906" s="21"/>
      <c r="G906" s="11"/>
      <c r="H906" s="50"/>
      <c r="I906" s="50"/>
      <c r="J906" s="50"/>
      <c r="K906" s="11"/>
      <c r="L906" s="50"/>
      <c r="M906" s="50"/>
      <c r="N906" s="50"/>
      <c r="O906" s="50"/>
      <c r="P906" s="50"/>
      <c r="Q906" s="11"/>
      <c r="R906" s="50"/>
      <c r="S906" s="50"/>
      <c r="T906" s="50"/>
      <c r="U906" s="11"/>
      <c r="V906" s="50"/>
      <c r="W906" s="50"/>
      <c r="X906" s="50"/>
      <c r="Y906" s="50"/>
      <c r="Z906" s="50"/>
      <c r="AA906" s="11"/>
      <c r="AB906" s="50"/>
      <c r="AC906" s="50"/>
      <c r="AD906" s="50"/>
      <c r="AE906" s="11"/>
      <c r="AF906" s="50"/>
      <c r="AG906" s="50"/>
      <c r="AH906" s="50"/>
      <c r="AI906" s="11"/>
      <c r="AJ906" s="50"/>
      <c r="AK906" s="50"/>
      <c r="AL906" s="50"/>
      <c r="AM906" s="11"/>
      <c r="AN906" s="50"/>
      <c r="AO906" s="50"/>
      <c r="AP906" s="50"/>
      <c r="AQ906" s="11"/>
      <c r="AR906" s="50"/>
      <c r="AS906" s="50"/>
      <c r="AT906" s="50"/>
      <c r="AU906" s="11"/>
      <c r="AV906" s="50"/>
      <c r="AW906" s="50"/>
      <c r="AX906" s="50"/>
      <c r="AY906" s="50"/>
      <c r="AZ906" s="50"/>
      <c r="BA906" s="50"/>
      <c r="BB906" s="50"/>
      <c r="BC906" s="50"/>
      <c r="BD906" s="50"/>
      <c r="BE906" s="20"/>
      <c r="BF906" s="518"/>
      <c r="BG906" s="484"/>
      <c r="BH906" s="484"/>
      <c r="BI906" s="527"/>
      <c r="BJ906" s="484"/>
      <c r="BK906" s="484"/>
      <c r="BL906" s="484"/>
      <c r="BM906" s="484"/>
    </row>
    <row r="907" spans="1:65" s="22" customFormat="1" x14ac:dyDescent="0.25">
      <c r="A907" s="20"/>
      <c r="B907" s="515"/>
      <c r="C907" s="11"/>
      <c r="D907" s="11"/>
      <c r="E907" s="11"/>
      <c r="F907" s="21"/>
      <c r="G907" s="11"/>
      <c r="H907" s="50"/>
      <c r="I907" s="50"/>
      <c r="J907" s="50"/>
      <c r="K907" s="11"/>
      <c r="L907" s="50"/>
      <c r="M907" s="50"/>
      <c r="N907" s="50"/>
      <c r="O907" s="50"/>
      <c r="P907" s="50"/>
      <c r="Q907" s="11"/>
      <c r="R907" s="50"/>
      <c r="S907" s="50"/>
      <c r="T907" s="50"/>
      <c r="U907" s="11"/>
      <c r="V907" s="50"/>
      <c r="W907" s="50"/>
      <c r="X907" s="50"/>
      <c r="Y907" s="50"/>
      <c r="Z907" s="50"/>
      <c r="AA907" s="11"/>
      <c r="AB907" s="50"/>
      <c r="AC907" s="50"/>
      <c r="AD907" s="50"/>
      <c r="AE907" s="11"/>
      <c r="AF907" s="50"/>
      <c r="AG907" s="50"/>
      <c r="AH907" s="50"/>
      <c r="AI907" s="11"/>
      <c r="AJ907" s="50"/>
      <c r="AK907" s="50"/>
      <c r="AL907" s="50"/>
      <c r="AM907" s="11"/>
      <c r="AN907" s="50"/>
      <c r="AO907" s="50"/>
      <c r="AP907" s="50"/>
      <c r="AQ907" s="11"/>
      <c r="AR907" s="50"/>
      <c r="AS907" s="50"/>
      <c r="AT907" s="50"/>
      <c r="AU907" s="11"/>
      <c r="AV907" s="50"/>
      <c r="AW907" s="50"/>
      <c r="AX907" s="50"/>
      <c r="AY907" s="50"/>
      <c r="AZ907" s="50"/>
      <c r="BA907" s="50"/>
      <c r="BB907" s="50"/>
      <c r="BC907" s="50"/>
      <c r="BD907" s="50"/>
      <c r="BE907" s="20"/>
      <c r="BF907" s="518"/>
      <c r="BG907" s="484"/>
      <c r="BH907" s="484"/>
      <c r="BI907" s="527"/>
      <c r="BJ907" s="484"/>
      <c r="BK907" s="484"/>
      <c r="BL907" s="484"/>
      <c r="BM907" s="484"/>
    </row>
    <row r="908" spans="1:65" s="22" customFormat="1" x14ac:dyDescent="0.25">
      <c r="A908" s="20"/>
      <c r="B908" s="515"/>
      <c r="C908" s="11"/>
      <c r="D908" s="11"/>
      <c r="E908" s="11"/>
      <c r="F908" s="21"/>
      <c r="G908" s="11"/>
      <c r="H908" s="50"/>
      <c r="I908" s="50"/>
      <c r="J908" s="50"/>
      <c r="K908" s="11"/>
      <c r="L908" s="50"/>
      <c r="M908" s="50"/>
      <c r="N908" s="50"/>
      <c r="O908" s="50"/>
      <c r="P908" s="50"/>
      <c r="Q908" s="11"/>
      <c r="R908" s="50"/>
      <c r="S908" s="50"/>
      <c r="T908" s="50"/>
      <c r="U908" s="11"/>
      <c r="V908" s="50"/>
      <c r="W908" s="50"/>
      <c r="X908" s="50"/>
      <c r="Y908" s="50"/>
      <c r="Z908" s="50"/>
      <c r="AA908" s="11"/>
      <c r="AB908" s="50"/>
      <c r="AC908" s="50"/>
      <c r="AD908" s="50"/>
      <c r="AE908" s="11"/>
      <c r="AF908" s="50"/>
      <c r="AG908" s="50"/>
      <c r="AH908" s="50"/>
      <c r="AI908" s="11"/>
      <c r="AJ908" s="50"/>
      <c r="AK908" s="50"/>
      <c r="AL908" s="50"/>
      <c r="AM908" s="11"/>
      <c r="AN908" s="50"/>
      <c r="AO908" s="50"/>
      <c r="AP908" s="50"/>
      <c r="AQ908" s="11"/>
      <c r="AR908" s="50"/>
      <c r="AS908" s="50"/>
      <c r="AT908" s="50"/>
      <c r="AU908" s="11"/>
      <c r="AV908" s="50"/>
      <c r="AW908" s="50"/>
      <c r="AX908" s="50"/>
      <c r="AY908" s="50"/>
      <c r="AZ908" s="50"/>
      <c r="BA908" s="50"/>
      <c r="BB908" s="50"/>
      <c r="BC908" s="50"/>
      <c r="BD908" s="50"/>
      <c r="BE908" s="20"/>
      <c r="BF908" s="518"/>
      <c r="BG908" s="484"/>
      <c r="BH908" s="484"/>
      <c r="BI908" s="527"/>
      <c r="BJ908" s="484"/>
      <c r="BK908" s="484"/>
      <c r="BL908" s="484"/>
      <c r="BM908" s="484"/>
    </row>
    <row r="909" spans="1:65" s="22" customFormat="1" x14ac:dyDescent="0.25">
      <c r="A909" s="20"/>
      <c r="B909" s="515"/>
      <c r="C909" s="11"/>
      <c r="D909" s="11"/>
      <c r="E909" s="11"/>
      <c r="F909" s="21"/>
      <c r="G909" s="11"/>
      <c r="H909" s="50"/>
      <c r="I909" s="50"/>
      <c r="J909" s="50"/>
      <c r="K909" s="11"/>
      <c r="L909" s="50"/>
      <c r="M909" s="50"/>
      <c r="N909" s="50"/>
      <c r="O909" s="50"/>
      <c r="P909" s="50"/>
      <c r="Q909" s="11"/>
      <c r="R909" s="50"/>
      <c r="S909" s="50"/>
      <c r="T909" s="50"/>
      <c r="U909" s="11"/>
      <c r="V909" s="50"/>
      <c r="W909" s="50"/>
      <c r="X909" s="50"/>
      <c r="Y909" s="50"/>
      <c r="Z909" s="50"/>
      <c r="AA909" s="11"/>
      <c r="AB909" s="50"/>
      <c r="AC909" s="50"/>
      <c r="AD909" s="50"/>
      <c r="AE909" s="11"/>
      <c r="AF909" s="50"/>
      <c r="AG909" s="50"/>
      <c r="AH909" s="50"/>
      <c r="AI909" s="11"/>
      <c r="AJ909" s="50"/>
      <c r="AK909" s="50"/>
      <c r="AL909" s="50"/>
      <c r="AM909" s="11"/>
      <c r="AN909" s="50"/>
      <c r="AO909" s="50"/>
      <c r="AP909" s="50"/>
      <c r="AQ909" s="11"/>
      <c r="AR909" s="50"/>
      <c r="AS909" s="50"/>
      <c r="AT909" s="50"/>
      <c r="AU909" s="11"/>
      <c r="AV909" s="50"/>
      <c r="AW909" s="50"/>
      <c r="AX909" s="50"/>
      <c r="AY909" s="50"/>
      <c r="AZ909" s="50"/>
      <c r="BA909" s="50"/>
      <c r="BB909" s="50"/>
      <c r="BC909" s="50"/>
      <c r="BD909" s="50"/>
      <c r="BE909" s="20"/>
      <c r="BF909" s="518"/>
      <c r="BG909" s="484"/>
      <c r="BH909" s="484"/>
      <c r="BI909" s="527"/>
      <c r="BJ909" s="484"/>
      <c r="BK909" s="484"/>
      <c r="BL909" s="484"/>
      <c r="BM909" s="484"/>
    </row>
    <row r="910" spans="1:65" s="22" customFormat="1" x14ac:dyDescent="0.25">
      <c r="A910" s="20"/>
      <c r="B910" s="515"/>
      <c r="C910" s="11"/>
      <c r="D910" s="11"/>
      <c r="E910" s="11"/>
      <c r="F910" s="21"/>
      <c r="G910" s="11"/>
      <c r="H910" s="50"/>
      <c r="I910" s="50"/>
      <c r="J910" s="50"/>
      <c r="K910" s="11"/>
      <c r="L910" s="50"/>
      <c r="M910" s="50"/>
      <c r="N910" s="50"/>
      <c r="O910" s="50"/>
      <c r="P910" s="50"/>
      <c r="Q910" s="11"/>
      <c r="R910" s="50"/>
      <c r="S910" s="50"/>
      <c r="T910" s="50"/>
      <c r="U910" s="11"/>
      <c r="V910" s="50"/>
      <c r="W910" s="50"/>
      <c r="X910" s="50"/>
      <c r="Y910" s="50"/>
      <c r="Z910" s="50"/>
      <c r="AA910" s="11"/>
      <c r="AB910" s="50"/>
      <c r="AC910" s="50"/>
      <c r="AD910" s="50"/>
      <c r="AE910" s="11"/>
      <c r="AF910" s="50"/>
      <c r="AG910" s="50"/>
      <c r="AH910" s="50"/>
      <c r="AI910" s="11"/>
      <c r="AJ910" s="50"/>
      <c r="AK910" s="50"/>
      <c r="AL910" s="50"/>
      <c r="AM910" s="11"/>
      <c r="AN910" s="50"/>
      <c r="AO910" s="50"/>
      <c r="AP910" s="50"/>
      <c r="AQ910" s="11"/>
      <c r="AR910" s="50"/>
      <c r="AS910" s="50"/>
      <c r="AT910" s="50"/>
      <c r="AU910" s="11"/>
      <c r="AV910" s="50"/>
      <c r="AW910" s="50"/>
      <c r="AX910" s="50"/>
      <c r="AY910" s="50"/>
      <c r="AZ910" s="50"/>
      <c r="BA910" s="50"/>
      <c r="BB910" s="50"/>
      <c r="BC910" s="50"/>
      <c r="BD910" s="50"/>
      <c r="BE910" s="20"/>
      <c r="BF910" s="518"/>
      <c r="BG910" s="484"/>
      <c r="BH910" s="484"/>
      <c r="BI910" s="527"/>
      <c r="BJ910" s="484"/>
      <c r="BK910" s="484"/>
      <c r="BL910" s="484"/>
      <c r="BM910" s="484"/>
    </row>
    <row r="911" spans="1:65" s="22" customFormat="1" x14ac:dyDescent="0.25">
      <c r="A911" s="20"/>
      <c r="B911" s="515"/>
      <c r="C911" s="11"/>
      <c r="D911" s="11"/>
      <c r="E911" s="11"/>
      <c r="F911" s="21"/>
      <c r="G911" s="11"/>
      <c r="H911" s="50"/>
      <c r="I911" s="50"/>
      <c r="J911" s="50"/>
      <c r="K911" s="11"/>
      <c r="L911" s="50"/>
      <c r="M911" s="50"/>
      <c r="N911" s="50"/>
      <c r="O911" s="50"/>
      <c r="P911" s="50"/>
      <c r="Q911" s="11"/>
      <c r="R911" s="50"/>
      <c r="S911" s="50"/>
      <c r="T911" s="50"/>
      <c r="U911" s="11"/>
      <c r="V911" s="50"/>
      <c r="W911" s="50"/>
      <c r="X911" s="50"/>
      <c r="Y911" s="50"/>
      <c r="Z911" s="50"/>
      <c r="AA911" s="11"/>
      <c r="AB911" s="50"/>
      <c r="AC911" s="50"/>
      <c r="AD911" s="50"/>
      <c r="AE911" s="11"/>
      <c r="AF911" s="50"/>
      <c r="AG911" s="50"/>
      <c r="AH911" s="50"/>
      <c r="AI911" s="11"/>
      <c r="AJ911" s="50"/>
      <c r="AK911" s="50"/>
      <c r="AL911" s="50"/>
      <c r="AM911" s="11"/>
      <c r="AN911" s="50"/>
      <c r="AO911" s="50"/>
      <c r="AP911" s="50"/>
      <c r="AQ911" s="11"/>
      <c r="AR911" s="50"/>
      <c r="AS911" s="50"/>
      <c r="AT911" s="50"/>
      <c r="AU911" s="11"/>
      <c r="AV911" s="50"/>
      <c r="AW911" s="50"/>
      <c r="AX911" s="50"/>
      <c r="AY911" s="50"/>
      <c r="AZ911" s="50"/>
      <c r="BA911" s="50"/>
      <c r="BB911" s="50"/>
      <c r="BC911" s="50"/>
      <c r="BD911" s="50"/>
      <c r="BE911" s="20"/>
      <c r="BF911" s="518"/>
      <c r="BG911" s="484"/>
      <c r="BH911" s="484"/>
      <c r="BI911" s="527"/>
      <c r="BJ911" s="484"/>
      <c r="BK911" s="484"/>
      <c r="BL911" s="484"/>
      <c r="BM911" s="484"/>
    </row>
    <row r="912" spans="1:65" s="22" customFormat="1" x14ac:dyDescent="0.25">
      <c r="A912" s="20"/>
      <c r="B912" s="515"/>
      <c r="C912" s="11"/>
      <c r="D912" s="11"/>
      <c r="E912" s="11"/>
      <c r="F912" s="21"/>
      <c r="G912" s="11"/>
      <c r="H912" s="50"/>
      <c r="I912" s="50"/>
      <c r="J912" s="50"/>
      <c r="K912" s="11"/>
      <c r="L912" s="50"/>
      <c r="M912" s="50"/>
      <c r="N912" s="50"/>
      <c r="O912" s="50"/>
      <c r="P912" s="50"/>
      <c r="Q912" s="11"/>
      <c r="R912" s="50"/>
      <c r="S912" s="50"/>
      <c r="T912" s="50"/>
      <c r="U912" s="11"/>
      <c r="V912" s="50"/>
      <c r="W912" s="50"/>
      <c r="X912" s="50"/>
      <c r="Y912" s="50"/>
      <c r="Z912" s="50"/>
      <c r="AA912" s="11"/>
      <c r="AB912" s="50"/>
      <c r="AC912" s="50"/>
      <c r="AD912" s="50"/>
      <c r="AE912" s="11"/>
      <c r="AF912" s="50"/>
      <c r="AG912" s="50"/>
      <c r="AH912" s="50"/>
      <c r="AI912" s="11"/>
      <c r="AJ912" s="50"/>
      <c r="AK912" s="50"/>
      <c r="AL912" s="50"/>
      <c r="AM912" s="11"/>
      <c r="AN912" s="50"/>
      <c r="AO912" s="50"/>
      <c r="AP912" s="50"/>
      <c r="AQ912" s="11"/>
      <c r="AR912" s="50"/>
      <c r="AS912" s="50"/>
      <c r="AT912" s="50"/>
      <c r="AU912" s="11"/>
      <c r="AV912" s="50"/>
      <c r="AW912" s="50"/>
      <c r="AX912" s="50"/>
      <c r="AY912" s="50"/>
      <c r="AZ912" s="50"/>
      <c r="BA912" s="50"/>
      <c r="BB912" s="50"/>
      <c r="BC912" s="50"/>
      <c r="BD912" s="50"/>
      <c r="BE912" s="20"/>
      <c r="BF912" s="518"/>
      <c r="BG912" s="484"/>
      <c r="BH912" s="484"/>
      <c r="BI912" s="527"/>
      <c r="BJ912" s="484"/>
      <c r="BK912" s="484"/>
      <c r="BL912" s="484"/>
      <c r="BM912" s="484"/>
    </row>
    <row r="913" spans="1:65" s="22" customFormat="1" x14ac:dyDescent="0.25">
      <c r="A913" s="20"/>
      <c r="B913" s="515"/>
      <c r="C913" s="11"/>
      <c r="D913" s="11"/>
      <c r="E913" s="11"/>
      <c r="F913" s="21"/>
      <c r="G913" s="11"/>
      <c r="H913" s="50"/>
      <c r="I913" s="50"/>
      <c r="J913" s="50"/>
      <c r="K913" s="11"/>
      <c r="L913" s="50"/>
      <c r="M913" s="50"/>
      <c r="N913" s="50"/>
      <c r="O913" s="50"/>
      <c r="P913" s="50"/>
      <c r="Q913" s="11"/>
      <c r="R913" s="50"/>
      <c r="S913" s="50"/>
      <c r="T913" s="50"/>
      <c r="U913" s="11"/>
      <c r="V913" s="50"/>
      <c r="W913" s="50"/>
      <c r="X913" s="50"/>
      <c r="Y913" s="50"/>
      <c r="Z913" s="50"/>
      <c r="AA913" s="11"/>
      <c r="AB913" s="50"/>
      <c r="AC913" s="50"/>
      <c r="AD913" s="50"/>
      <c r="AE913" s="11"/>
      <c r="AF913" s="50"/>
      <c r="AG913" s="50"/>
      <c r="AH913" s="50"/>
      <c r="AI913" s="11"/>
      <c r="AJ913" s="50"/>
      <c r="AK913" s="50"/>
      <c r="AL913" s="50"/>
      <c r="AM913" s="11"/>
      <c r="AN913" s="50"/>
      <c r="AO913" s="50"/>
      <c r="AP913" s="50"/>
      <c r="AQ913" s="11"/>
      <c r="AR913" s="50"/>
      <c r="AS913" s="50"/>
      <c r="AT913" s="50"/>
      <c r="AU913" s="11"/>
      <c r="AV913" s="50"/>
      <c r="AW913" s="50"/>
      <c r="AX913" s="50"/>
      <c r="AY913" s="50"/>
      <c r="AZ913" s="50"/>
      <c r="BA913" s="50"/>
      <c r="BB913" s="50"/>
      <c r="BC913" s="50"/>
      <c r="BD913" s="50"/>
      <c r="BE913" s="20"/>
      <c r="BF913" s="518"/>
      <c r="BG913" s="484"/>
      <c r="BH913" s="484"/>
      <c r="BI913" s="527"/>
      <c r="BJ913" s="484"/>
      <c r="BK913" s="484"/>
      <c r="BL913" s="484"/>
      <c r="BM913" s="484"/>
    </row>
    <row r="914" spans="1:65" s="22" customFormat="1" x14ac:dyDescent="0.25">
      <c r="A914" s="20"/>
      <c r="B914" s="515"/>
      <c r="C914" s="11"/>
      <c r="D914" s="11"/>
      <c r="E914" s="11"/>
      <c r="F914" s="21"/>
      <c r="G914" s="11"/>
      <c r="H914" s="50"/>
      <c r="I914" s="50"/>
      <c r="J914" s="50"/>
      <c r="K914" s="11"/>
      <c r="L914" s="50"/>
      <c r="M914" s="50"/>
      <c r="N914" s="50"/>
      <c r="O914" s="50"/>
      <c r="P914" s="50"/>
      <c r="Q914" s="11"/>
      <c r="R914" s="50"/>
      <c r="S914" s="50"/>
      <c r="T914" s="50"/>
      <c r="U914" s="11"/>
      <c r="V914" s="50"/>
      <c r="W914" s="50"/>
      <c r="X914" s="50"/>
      <c r="Y914" s="50"/>
      <c r="Z914" s="50"/>
      <c r="AA914" s="11"/>
      <c r="AB914" s="50"/>
      <c r="AC914" s="50"/>
      <c r="AD914" s="50"/>
      <c r="AE914" s="11"/>
      <c r="AF914" s="50"/>
      <c r="AG914" s="50"/>
      <c r="AH914" s="50"/>
      <c r="AI914" s="11"/>
      <c r="AJ914" s="50"/>
      <c r="AK914" s="50"/>
      <c r="AL914" s="50"/>
      <c r="AM914" s="11"/>
      <c r="AN914" s="50"/>
      <c r="AO914" s="50"/>
      <c r="AP914" s="50"/>
      <c r="AQ914" s="11"/>
      <c r="AR914" s="50"/>
      <c r="AS914" s="50"/>
      <c r="AT914" s="50"/>
      <c r="AU914" s="11"/>
      <c r="AV914" s="50"/>
      <c r="AW914" s="50"/>
      <c r="AX914" s="50"/>
      <c r="AY914" s="50"/>
      <c r="AZ914" s="50"/>
      <c r="BA914" s="50"/>
      <c r="BB914" s="50"/>
      <c r="BC914" s="50"/>
      <c r="BD914" s="50"/>
      <c r="BE914" s="20"/>
      <c r="BF914" s="518"/>
      <c r="BG914" s="484"/>
      <c r="BH914" s="484"/>
      <c r="BI914" s="527"/>
      <c r="BJ914" s="484"/>
      <c r="BK914" s="484"/>
      <c r="BL914" s="484"/>
      <c r="BM914" s="484"/>
    </row>
    <row r="915" spans="1:65" s="22" customFormat="1" x14ac:dyDescent="0.25">
      <c r="A915" s="20"/>
      <c r="B915" s="515"/>
      <c r="C915" s="11"/>
      <c r="D915" s="11"/>
      <c r="E915" s="11"/>
      <c r="F915" s="21"/>
      <c r="G915" s="11"/>
      <c r="H915" s="50"/>
      <c r="I915" s="50"/>
      <c r="J915" s="50"/>
      <c r="K915" s="11"/>
      <c r="L915" s="50"/>
      <c r="M915" s="50"/>
      <c r="N915" s="50"/>
      <c r="O915" s="50"/>
      <c r="P915" s="50"/>
      <c r="Q915" s="11"/>
      <c r="R915" s="50"/>
      <c r="S915" s="50"/>
      <c r="T915" s="50"/>
      <c r="U915" s="11"/>
      <c r="V915" s="50"/>
      <c r="W915" s="50"/>
      <c r="X915" s="50"/>
      <c r="Y915" s="50"/>
      <c r="Z915" s="50"/>
      <c r="AA915" s="11"/>
      <c r="AB915" s="50"/>
      <c r="AC915" s="50"/>
      <c r="AD915" s="50"/>
      <c r="AE915" s="11"/>
      <c r="AF915" s="50"/>
      <c r="AG915" s="50"/>
      <c r="AH915" s="50"/>
      <c r="AI915" s="11"/>
      <c r="AJ915" s="50"/>
      <c r="AK915" s="50"/>
      <c r="AL915" s="50"/>
      <c r="AM915" s="11"/>
      <c r="AN915" s="50"/>
      <c r="AO915" s="50"/>
      <c r="AP915" s="50"/>
      <c r="AQ915" s="11"/>
      <c r="AR915" s="50"/>
      <c r="AS915" s="50"/>
      <c r="AT915" s="50"/>
      <c r="AU915" s="11"/>
      <c r="AV915" s="50"/>
      <c r="AW915" s="50"/>
      <c r="AX915" s="50"/>
      <c r="AY915" s="50"/>
      <c r="AZ915" s="50"/>
      <c r="BA915" s="50"/>
      <c r="BB915" s="50"/>
      <c r="BC915" s="50"/>
      <c r="BD915" s="50"/>
      <c r="BE915" s="20"/>
      <c r="BF915" s="518"/>
      <c r="BG915" s="484"/>
      <c r="BH915" s="484"/>
      <c r="BI915" s="527"/>
      <c r="BJ915" s="484"/>
      <c r="BK915" s="484"/>
      <c r="BL915" s="484"/>
      <c r="BM915" s="484"/>
    </row>
    <row r="916" spans="1:65" s="22" customFormat="1" x14ac:dyDescent="0.25">
      <c r="A916" s="20"/>
      <c r="B916" s="515"/>
      <c r="C916" s="11"/>
      <c r="D916" s="11"/>
      <c r="E916" s="11"/>
      <c r="F916" s="21"/>
      <c r="G916" s="11"/>
      <c r="H916" s="50"/>
      <c r="I916" s="50"/>
      <c r="J916" s="50"/>
      <c r="K916" s="11"/>
      <c r="L916" s="50"/>
      <c r="M916" s="50"/>
      <c r="N916" s="50"/>
      <c r="O916" s="50"/>
      <c r="P916" s="50"/>
      <c r="Q916" s="11"/>
      <c r="R916" s="50"/>
      <c r="S916" s="50"/>
      <c r="T916" s="50"/>
      <c r="U916" s="11"/>
      <c r="V916" s="50"/>
      <c r="W916" s="50"/>
      <c r="X916" s="50"/>
      <c r="Y916" s="50"/>
      <c r="Z916" s="50"/>
      <c r="AA916" s="11"/>
      <c r="AB916" s="50"/>
      <c r="AC916" s="50"/>
      <c r="AD916" s="50"/>
      <c r="AE916" s="11"/>
      <c r="AF916" s="50"/>
      <c r="AG916" s="50"/>
      <c r="AH916" s="50"/>
      <c r="AI916" s="11"/>
      <c r="AJ916" s="50"/>
      <c r="AK916" s="50"/>
      <c r="AL916" s="50"/>
      <c r="AM916" s="11"/>
      <c r="AN916" s="50"/>
      <c r="AO916" s="50"/>
      <c r="AP916" s="50"/>
      <c r="AQ916" s="11"/>
      <c r="AR916" s="50"/>
      <c r="AS916" s="50"/>
      <c r="AT916" s="50"/>
      <c r="AU916" s="11"/>
      <c r="AV916" s="50"/>
      <c r="AW916" s="50"/>
      <c r="AX916" s="50"/>
      <c r="AY916" s="50"/>
      <c r="AZ916" s="50"/>
      <c r="BA916" s="50"/>
      <c r="BB916" s="50"/>
      <c r="BC916" s="50"/>
      <c r="BD916" s="50"/>
      <c r="BE916" s="20"/>
      <c r="BF916" s="518"/>
      <c r="BG916" s="484"/>
      <c r="BH916" s="484"/>
      <c r="BI916" s="527"/>
      <c r="BJ916" s="484"/>
      <c r="BK916" s="484"/>
      <c r="BL916" s="484"/>
      <c r="BM916" s="484"/>
    </row>
    <row r="917" spans="1:65" s="22" customFormat="1" x14ac:dyDescent="0.25">
      <c r="A917" s="20"/>
      <c r="B917" s="515"/>
      <c r="C917" s="11"/>
      <c r="D917" s="11"/>
      <c r="E917" s="11"/>
      <c r="F917" s="21"/>
      <c r="G917" s="11"/>
      <c r="H917" s="50"/>
      <c r="I917" s="50"/>
      <c r="J917" s="50"/>
      <c r="K917" s="11"/>
      <c r="L917" s="50"/>
      <c r="M917" s="50"/>
      <c r="N917" s="50"/>
      <c r="O917" s="50"/>
      <c r="P917" s="50"/>
      <c r="Q917" s="11"/>
      <c r="R917" s="50"/>
      <c r="S917" s="50"/>
      <c r="T917" s="50"/>
      <c r="U917" s="11"/>
      <c r="V917" s="50"/>
      <c r="W917" s="50"/>
      <c r="X917" s="50"/>
      <c r="Y917" s="50"/>
      <c r="Z917" s="50"/>
      <c r="AA917" s="11"/>
      <c r="AB917" s="50"/>
      <c r="AC917" s="50"/>
      <c r="AD917" s="50"/>
      <c r="AE917" s="11"/>
      <c r="AF917" s="50"/>
      <c r="AG917" s="50"/>
      <c r="AH917" s="50"/>
      <c r="AI917" s="11"/>
      <c r="AJ917" s="50"/>
      <c r="AK917" s="50"/>
      <c r="AL917" s="50"/>
      <c r="AM917" s="11"/>
      <c r="AN917" s="50"/>
      <c r="AO917" s="50"/>
      <c r="AP917" s="50"/>
      <c r="AQ917" s="11"/>
      <c r="AR917" s="50"/>
      <c r="AS917" s="50"/>
      <c r="AT917" s="50"/>
      <c r="AU917" s="11"/>
      <c r="AV917" s="50"/>
      <c r="AW917" s="50"/>
      <c r="AX917" s="50"/>
      <c r="AY917" s="50"/>
      <c r="AZ917" s="50"/>
      <c r="BA917" s="50"/>
      <c r="BB917" s="50"/>
      <c r="BC917" s="50"/>
      <c r="BD917" s="50"/>
      <c r="BE917" s="20"/>
      <c r="BF917" s="518"/>
      <c r="BG917" s="484"/>
      <c r="BH917" s="484"/>
      <c r="BI917" s="527"/>
      <c r="BJ917" s="484"/>
      <c r="BK917" s="484"/>
      <c r="BL917" s="484"/>
      <c r="BM917" s="484"/>
    </row>
    <row r="918" spans="1:65" s="22" customFormat="1" x14ac:dyDescent="0.25">
      <c r="A918" s="20"/>
      <c r="B918" s="515"/>
      <c r="C918" s="11"/>
      <c r="D918" s="11"/>
      <c r="E918" s="11"/>
      <c r="F918" s="21"/>
      <c r="G918" s="11"/>
      <c r="H918" s="50"/>
      <c r="I918" s="50"/>
      <c r="J918" s="50"/>
      <c r="K918" s="11"/>
      <c r="L918" s="50"/>
      <c r="M918" s="50"/>
      <c r="N918" s="50"/>
      <c r="O918" s="50"/>
      <c r="P918" s="50"/>
      <c r="Q918" s="11"/>
      <c r="R918" s="50"/>
      <c r="S918" s="50"/>
      <c r="T918" s="50"/>
      <c r="U918" s="11"/>
      <c r="V918" s="50"/>
      <c r="W918" s="50"/>
      <c r="X918" s="50"/>
      <c r="Y918" s="50"/>
      <c r="Z918" s="50"/>
      <c r="AA918" s="11"/>
      <c r="AB918" s="50"/>
      <c r="AC918" s="50"/>
      <c r="AD918" s="50"/>
      <c r="AE918" s="11"/>
      <c r="AF918" s="50"/>
      <c r="AG918" s="50"/>
      <c r="AH918" s="50"/>
      <c r="AI918" s="11"/>
      <c r="AJ918" s="50"/>
      <c r="AK918" s="50"/>
      <c r="AL918" s="50"/>
      <c r="AM918" s="11"/>
      <c r="AN918" s="50"/>
      <c r="AO918" s="50"/>
      <c r="AP918" s="50"/>
      <c r="AQ918" s="11"/>
      <c r="AR918" s="50"/>
      <c r="AS918" s="50"/>
      <c r="AT918" s="50"/>
      <c r="AU918" s="11"/>
      <c r="AV918" s="50"/>
      <c r="AW918" s="50"/>
      <c r="AX918" s="50"/>
      <c r="AY918" s="50"/>
      <c r="AZ918" s="50"/>
      <c r="BA918" s="50"/>
      <c r="BB918" s="50"/>
      <c r="BC918" s="50"/>
      <c r="BD918" s="50"/>
      <c r="BE918" s="20"/>
      <c r="BF918" s="518"/>
      <c r="BG918" s="484"/>
      <c r="BH918" s="484"/>
      <c r="BI918" s="527"/>
      <c r="BJ918" s="484"/>
      <c r="BK918" s="484"/>
      <c r="BL918" s="484"/>
      <c r="BM918" s="484"/>
    </row>
    <row r="919" spans="1:65" s="22" customFormat="1" x14ac:dyDescent="0.25">
      <c r="A919" s="20"/>
      <c r="B919" s="515"/>
      <c r="C919" s="11"/>
      <c r="D919" s="11"/>
      <c r="E919" s="11"/>
      <c r="F919" s="21"/>
      <c r="G919" s="11"/>
      <c r="H919" s="50"/>
      <c r="I919" s="50"/>
      <c r="J919" s="50"/>
      <c r="K919" s="11"/>
      <c r="L919" s="50"/>
      <c r="M919" s="50"/>
      <c r="N919" s="50"/>
      <c r="O919" s="50"/>
      <c r="P919" s="50"/>
      <c r="Q919" s="11"/>
      <c r="R919" s="50"/>
      <c r="S919" s="50"/>
      <c r="T919" s="50"/>
      <c r="U919" s="11"/>
      <c r="V919" s="50"/>
      <c r="W919" s="50"/>
      <c r="X919" s="50"/>
      <c r="Y919" s="50"/>
      <c r="Z919" s="50"/>
      <c r="AA919" s="11"/>
      <c r="AB919" s="50"/>
      <c r="AC919" s="50"/>
      <c r="AD919" s="50"/>
      <c r="AE919" s="11"/>
      <c r="AF919" s="50"/>
      <c r="AG919" s="50"/>
      <c r="AH919" s="50"/>
      <c r="AI919" s="11"/>
      <c r="AJ919" s="50"/>
      <c r="AK919" s="50"/>
      <c r="AL919" s="50"/>
      <c r="AM919" s="11"/>
      <c r="AN919" s="50"/>
      <c r="AO919" s="50"/>
      <c r="AP919" s="50"/>
      <c r="AQ919" s="11"/>
      <c r="AR919" s="50"/>
      <c r="AS919" s="50"/>
      <c r="AT919" s="50"/>
      <c r="AU919" s="11"/>
      <c r="AV919" s="50"/>
      <c r="AW919" s="50"/>
      <c r="AX919" s="50"/>
      <c r="AY919" s="50"/>
      <c r="AZ919" s="50"/>
      <c r="BA919" s="50"/>
      <c r="BB919" s="50"/>
      <c r="BC919" s="50"/>
      <c r="BD919" s="50"/>
      <c r="BE919" s="20"/>
      <c r="BF919" s="518"/>
      <c r="BG919" s="484"/>
      <c r="BH919" s="484"/>
      <c r="BI919" s="527"/>
      <c r="BJ919" s="484"/>
      <c r="BK919" s="484"/>
      <c r="BL919" s="484"/>
      <c r="BM919" s="484"/>
    </row>
    <row r="920" spans="1:65" s="22" customFormat="1" x14ac:dyDescent="0.25">
      <c r="A920" s="20"/>
      <c r="B920" s="515"/>
      <c r="C920" s="11"/>
      <c r="D920" s="11"/>
      <c r="E920" s="11"/>
      <c r="F920" s="21"/>
      <c r="G920" s="11"/>
      <c r="H920" s="50"/>
      <c r="I920" s="50"/>
      <c r="J920" s="50"/>
      <c r="K920" s="11"/>
      <c r="L920" s="50"/>
      <c r="M920" s="50"/>
      <c r="N920" s="50"/>
      <c r="O920" s="50"/>
      <c r="P920" s="50"/>
      <c r="Q920" s="11"/>
      <c r="R920" s="50"/>
      <c r="S920" s="50"/>
      <c r="T920" s="50"/>
      <c r="U920" s="11"/>
      <c r="V920" s="50"/>
      <c r="W920" s="50"/>
      <c r="X920" s="50"/>
      <c r="Y920" s="50"/>
      <c r="Z920" s="50"/>
      <c r="AA920" s="11"/>
      <c r="AB920" s="50"/>
      <c r="AC920" s="50"/>
      <c r="AD920" s="50"/>
      <c r="AE920" s="11"/>
      <c r="AF920" s="50"/>
      <c r="AG920" s="50"/>
      <c r="AH920" s="50"/>
      <c r="AI920" s="11"/>
      <c r="AJ920" s="50"/>
      <c r="AK920" s="50"/>
      <c r="AL920" s="50"/>
      <c r="AM920" s="11"/>
      <c r="AN920" s="50"/>
      <c r="AO920" s="50"/>
      <c r="AP920" s="50"/>
      <c r="AQ920" s="11"/>
      <c r="AR920" s="50"/>
      <c r="AS920" s="50"/>
      <c r="AT920" s="50"/>
      <c r="AU920" s="11"/>
      <c r="AV920" s="50"/>
      <c r="AW920" s="50"/>
      <c r="AX920" s="50"/>
      <c r="AY920" s="50"/>
      <c r="AZ920" s="50"/>
      <c r="BA920" s="50"/>
      <c r="BB920" s="50"/>
      <c r="BC920" s="50"/>
      <c r="BD920" s="50"/>
      <c r="BE920" s="20"/>
      <c r="BF920" s="518"/>
      <c r="BG920" s="484"/>
      <c r="BH920" s="484"/>
      <c r="BI920" s="527"/>
      <c r="BJ920" s="484"/>
      <c r="BK920" s="484"/>
      <c r="BL920" s="484"/>
      <c r="BM920" s="484"/>
    </row>
    <row r="921" spans="1:65" s="22" customFormat="1" x14ac:dyDescent="0.25">
      <c r="A921" s="20"/>
      <c r="B921" s="515"/>
      <c r="C921" s="11"/>
      <c r="D921" s="11"/>
      <c r="E921" s="11"/>
      <c r="F921" s="21"/>
      <c r="G921" s="11"/>
      <c r="H921" s="50"/>
      <c r="I921" s="50"/>
      <c r="J921" s="50"/>
      <c r="K921" s="11"/>
      <c r="L921" s="50"/>
      <c r="M921" s="50"/>
      <c r="N921" s="50"/>
      <c r="O921" s="50"/>
      <c r="P921" s="50"/>
      <c r="Q921" s="11"/>
      <c r="R921" s="50"/>
      <c r="S921" s="50"/>
      <c r="T921" s="50"/>
      <c r="U921" s="11"/>
      <c r="V921" s="50"/>
      <c r="W921" s="50"/>
      <c r="X921" s="50"/>
      <c r="Y921" s="50"/>
      <c r="Z921" s="50"/>
      <c r="AA921" s="11"/>
      <c r="AB921" s="50"/>
      <c r="AC921" s="50"/>
      <c r="AD921" s="50"/>
      <c r="AE921" s="11"/>
      <c r="AF921" s="50"/>
      <c r="AG921" s="50"/>
      <c r="AH921" s="50"/>
      <c r="AI921" s="11"/>
      <c r="AJ921" s="50"/>
      <c r="AK921" s="50"/>
      <c r="AL921" s="50"/>
      <c r="AM921" s="11"/>
      <c r="AN921" s="50"/>
      <c r="AO921" s="50"/>
      <c r="AP921" s="50"/>
      <c r="AQ921" s="11"/>
      <c r="AR921" s="50"/>
      <c r="AS921" s="50"/>
      <c r="AT921" s="50"/>
      <c r="AU921" s="11"/>
      <c r="AV921" s="50"/>
      <c r="AW921" s="50"/>
      <c r="AX921" s="50"/>
      <c r="AY921" s="50"/>
      <c r="AZ921" s="50"/>
      <c r="BA921" s="50"/>
      <c r="BB921" s="50"/>
      <c r="BC921" s="50"/>
      <c r="BD921" s="50"/>
      <c r="BE921" s="20"/>
      <c r="BF921" s="518"/>
      <c r="BG921" s="484"/>
      <c r="BH921" s="484"/>
      <c r="BI921" s="527"/>
      <c r="BJ921" s="484"/>
      <c r="BK921" s="484"/>
      <c r="BL921" s="484"/>
      <c r="BM921" s="484"/>
    </row>
    <row r="922" spans="1:65" s="22" customFormat="1" x14ac:dyDescent="0.25">
      <c r="A922" s="20"/>
      <c r="B922" s="515"/>
      <c r="C922" s="11"/>
      <c r="D922" s="11"/>
      <c r="E922" s="11"/>
      <c r="F922" s="21"/>
      <c r="G922" s="11"/>
      <c r="H922" s="50"/>
      <c r="I922" s="50"/>
      <c r="J922" s="50"/>
      <c r="K922" s="11"/>
      <c r="L922" s="50"/>
      <c r="M922" s="50"/>
      <c r="N922" s="50"/>
      <c r="O922" s="50"/>
      <c r="P922" s="50"/>
      <c r="Q922" s="11"/>
      <c r="R922" s="50"/>
      <c r="S922" s="50"/>
      <c r="T922" s="50"/>
      <c r="U922" s="11"/>
      <c r="V922" s="50"/>
      <c r="W922" s="50"/>
      <c r="X922" s="50"/>
      <c r="Y922" s="50"/>
      <c r="Z922" s="50"/>
      <c r="AA922" s="11"/>
      <c r="AB922" s="50"/>
      <c r="AC922" s="50"/>
      <c r="AD922" s="50"/>
      <c r="AE922" s="11"/>
      <c r="AF922" s="50"/>
      <c r="AG922" s="50"/>
      <c r="AH922" s="50"/>
      <c r="AI922" s="11"/>
      <c r="AJ922" s="50"/>
      <c r="AK922" s="50"/>
      <c r="AL922" s="50"/>
      <c r="AM922" s="11"/>
      <c r="AN922" s="50"/>
      <c r="AO922" s="50"/>
      <c r="AP922" s="50"/>
      <c r="AQ922" s="11"/>
      <c r="AR922" s="50"/>
      <c r="AS922" s="50"/>
      <c r="AT922" s="50"/>
      <c r="AU922" s="11"/>
      <c r="AV922" s="50"/>
      <c r="AW922" s="50"/>
      <c r="AX922" s="50"/>
      <c r="AY922" s="50"/>
      <c r="AZ922" s="50"/>
      <c r="BA922" s="50"/>
      <c r="BB922" s="50"/>
      <c r="BC922" s="50"/>
      <c r="BD922" s="50"/>
      <c r="BE922" s="20"/>
      <c r="BF922" s="518"/>
      <c r="BG922" s="484"/>
      <c r="BH922" s="484"/>
      <c r="BI922" s="527"/>
      <c r="BJ922" s="484"/>
      <c r="BK922" s="484"/>
      <c r="BL922" s="484"/>
      <c r="BM922" s="484"/>
    </row>
    <row r="923" spans="1:65" s="22" customFormat="1" x14ac:dyDescent="0.25">
      <c r="A923" s="20"/>
      <c r="B923" s="515"/>
      <c r="C923" s="11"/>
      <c r="D923" s="11"/>
      <c r="E923" s="11"/>
      <c r="F923" s="21"/>
      <c r="G923" s="11"/>
      <c r="H923" s="50"/>
      <c r="I923" s="50"/>
      <c r="J923" s="50"/>
      <c r="K923" s="11"/>
      <c r="L923" s="50"/>
      <c r="M923" s="50"/>
      <c r="N923" s="50"/>
      <c r="O923" s="50"/>
      <c r="P923" s="50"/>
      <c r="Q923" s="11"/>
      <c r="R923" s="50"/>
      <c r="S923" s="50"/>
      <c r="T923" s="50"/>
      <c r="U923" s="11"/>
      <c r="V923" s="50"/>
      <c r="W923" s="50"/>
      <c r="X923" s="50"/>
      <c r="Y923" s="50"/>
      <c r="Z923" s="50"/>
      <c r="AA923" s="11"/>
      <c r="AB923" s="50"/>
      <c r="AC923" s="50"/>
      <c r="AD923" s="50"/>
      <c r="AE923" s="11"/>
      <c r="AF923" s="50"/>
      <c r="AG923" s="50"/>
      <c r="AH923" s="50"/>
      <c r="AI923" s="11"/>
      <c r="AJ923" s="50"/>
      <c r="AK923" s="50"/>
      <c r="AL923" s="50"/>
      <c r="AM923" s="11"/>
      <c r="AN923" s="50"/>
      <c r="AO923" s="50"/>
      <c r="AP923" s="50"/>
      <c r="AQ923" s="11"/>
      <c r="AR923" s="50"/>
      <c r="AS923" s="50"/>
      <c r="AT923" s="50"/>
      <c r="AU923" s="11"/>
      <c r="AV923" s="50"/>
      <c r="AW923" s="50"/>
      <c r="AX923" s="50"/>
      <c r="AY923" s="50"/>
      <c r="AZ923" s="50"/>
      <c r="BA923" s="50"/>
      <c r="BB923" s="50"/>
      <c r="BC923" s="50"/>
      <c r="BD923" s="50"/>
      <c r="BE923" s="20"/>
      <c r="BF923" s="518"/>
      <c r="BG923" s="484"/>
      <c r="BH923" s="484"/>
      <c r="BI923" s="527"/>
      <c r="BJ923" s="484"/>
      <c r="BK923" s="484"/>
      <c r="BL923" s="484"/>
      <c r="BM923" s="484"/>
    </row>
    <row r="924" spans="1:65" s="22" customFormat="1" x14ac:dyDescent="0.25">
      <c r="A924" s="20"/>
      <c r="B924" s="515"/>
      <c r="C924" s="11"/>
      <c r="D924" s="11"/>
      <c r="E924" s="11"/>
      <c r="F924" s="21"/>
      <c r="G924" s="11"/>
      <c r="H924" s="50"/>
      <c r="I924" s="50"/>
      <c r="J924" s="50"/>
      <c r="K924" s="11"/>
      <c r="L924" s="50"/>
      <c r="M924" s="50"/>
      <c r="N924" s="50"/>
      <c r="O924" s="50"/>
      <c r="P924" s="50"/>
      <c r="Q924" s="11"/>
      <c r="R924" s="50"/>
      <c r="S924" s="50"/>
      <c r="T924" s="50"/>
      <c r="U924" s="11"/>
      <c r="V924" s="50"/>
      <c r="W924" s="50"/>
      <c r="X924" s="50"/>
      <c r="Y924" s="50"/>
      <c r="Z924" s="50"/>
      <c r="AA924" s="11"/>
      <c r="AB924" s="50"/>
      <c r="AC924" s="50"/>
      <c r="AD924" s="50"/>
      <c r="AE924" s="11"/>
      <c r="AF924" s="50"/>
      <c r="AG924" s="50"/>
      <c r="AH924" s="50"/>
      <c r="AI924" s="11"/>
      <c r="AJ924" s="50"/>
      <c r="AK924" s="50"/>
      <c r="AL924" s="50"/>
      <c r="AM924" s="11"/>
      <c r="AN924" s="50"/>
      <c r="AO924" s="50"/>
      <c r="AP924" s="50"/>
      <c r="AQ924" s="11"/>
      <c r="AR924" s="50"/>
      <c r="AS924" s="50"/>
      <c r="AT924" s="50"/>
      <c r="AU924" s="11"/>
      <c r="AV924" s="50"/>
      <c r="AW924" s="50"/>
      <c r="AX924" s="50"/>
      <c r="AY924" s="50"/>
      <c r="AZ924" s="50"/>
      <c r="BA924" s="50"/>
      <c r="BB924" s="50"/>
      <c r="BC924" s="50"/>
      <c r="BD924" s="50"/>
      <c r="BE924" s="20"/>
      <c r="BF924" s="518"/>
      <c r="BG924" s="484"/>
      <c r="BH924" s="484"/>
      <c r="BI924" s="527"/>
      <c r="BJ924" s="484"/>
      <c r="BK924" s="484"/>
      <c r="BL924" s="484"/>
      <c r="BM924" s="484"/>
    </row>
    <row r="925" spans="1:65" s="22" customFormat="1" x14ac:dyDescent="0.25">
      <c r="A925" s="20"/>
      <c r="B925" s="515"/>
      <c r="C925" s="11"/>
      <c r="D925" s="11"/>
      <c r="E925" s="11"/>
      <c r="F925" s="21"/>
      <c r="G925" s="11"/>
      <c r="H925" s="50"/>
      <c r="I925" s="50"/>
      <c r="J925" s="50"/>
      <c r="K925" s="11"/>
      <c r="L925" s="50"/>
      <c r="M925" s="50"/>
      <c r="N925" s="50"/>
      <c r="O925" s="50"/>
      <c r="P925" s="50"/>
      <c r="Q925" s="11"/>
      <c r="R925" s="50"/>
      <c r="S925" s="50"/>
      <c r="T925" s="50"/>
      <c r="U925" s="11"/>
      <c r="V925" s="50"/>
      <c r="W925" s="50"/>
      <c r="X925" s="50"/>
      <c r="Y925" s="50"/>
      <c r="Z925" s="50"/>
      <c r="AA925" s="11"/>
      <c r="AB925" s="50"/>
      <c r="AC925" s="50"/>
      <c r="AD925" s="50"/>
      <c r="AE925" s="11"/>
      <c r="AF925" s="50"/>
      <c r="AG925" s="50"/>
      <c r="AH925" s="50"/>
      <c r="AI925" s="11"/>
      <c r="AJ925" s="50"/>
      <c r="AK925" s="50"/>
      <c r="AL925" s="50"/>
      <c r="AM925" s="11"/>
      <c r="AN925" s="50"/>
      <c r="AO925" s="50"/>
      <c r="AP925" s="50"/>
      <c r="AQ925" s="11"/>
      <c r="AR925" s="50"/>
      <c r="AS925" s="50"/>
      <c r="AT925" s="50"/>
      <c r="AU925" s="11"/>
      <c r="AV925" s="50"/>
      <c r="AW925" s="50"/>
      <c r="AX925" s="50"/>
      <c r="AY925" s="50"/>
      <c r="AZ925" s="50"/>
      <c r="BA925" s="50"/>
      <c r="BB925" s="50"/>
      <c r="BC925" s="50"/>
      <c r="BD925" s="50"/>
      <c r="BE925" s="20"/>
      <c r="BF925" s="518"/>
      <c r="BG925" s="484"/>
      <c r="BH925" s="484"/>
      <c r="BI925" s="527"/>
      <c r="BJ925" s="484"/>
      <c r="BK925" s="484"/>
      <c r="BL925" s="484"/>
      <c r="BM925" s="484"/>
    </row>
    <row r="926" spans="1:65" s="22" customFormat="1" x14ac:dyDescent="0.25">
      <c r="A926" s="20"/>
      <c r="B926" s="515"/>
      <c r="C926" s="11"/>
      <c r="D926" s="11"/>
      <c r="E926" s="11"/>
      <c r="F926" s="21"/>
      <c r="G926" s="11"/>
      <c r="H926" s="50"/>
      <c r="I926" s="50"/>
      <c r="J926" s="50"/>
      <c r="K926" s="11"/>
      <c r="L926" s="50"/>
      <c r="M926" s="50"/>
      <c r="N926" s="50"/>
      <c r="O926" s="50"/>
      <c r="P926" s="50"/>
      <c r="Q926" s="11"/>
      <c r="R926" s="50"/>
      <c r="S926" s="50"/>
      <c r="T926" s="50"/>
      <c r="U926" s="11"/>
      <c r="V926" s="50"/>
      <c r="W926" s="50"/>
      <c r="X926" s="50"/>
      <c r="Y926" s="50"/>
      <c r="Z926" s="50"/>
      <c r="AA926" s="11"/>
      <c r="AB926" s="50"/>
      <c r="AC926" s="50"/>
      <c r="AD926" s="50"/>
      <c r="AE926" s="11"/>
      <c r="AF926" s="50"/>
      <c r="AG926" s="50"/>
      <c r="AH926" s="50"/>
      <c r="AI926" s="11"/>
      <c r="AJ926" s="50"/>
      <c r="AK926" s="50"/>
      <c r="AL926" s="50"/>
      <c r="AM926" s="11"/>
      <c r="AN926" s="50"/>
      <c r="AO926" s="50"/>
      <c r="AP926" s="50"/>
      <c r="AQ926" s="11"/>
      <c r="AR926" s="50"/>
      <c r="AS926" s="50"/>
      <c r="AT926" s="50"/>
      <c r="AU926" s="11"/>
      <c r="AV926" s="50"/>
      <c r="AW926" s="50"/>
      <c r="AX926" s="50"/>
      <c r="AY926" s="50"/>
      <c r="AZ926" s="50"/>
      <c r="BA926" s="50"/>
      <c r="BB926" s="50"/>
      <c r="BC926" s="50"/>
      <c r="BD926" s="50"/>
      <c r="BE926" s="20"/>
      <c r="BF926" s="518"/>
      <c r="BG926" s="484"/>
      <c r="BH926" s="484"/>
      <c r="BI926" s="527"/>
      <c r="BJ926" s="484"/>
      <c r="BK926" s="484"/>
      <c r="BL926" s="484"/>
      <c r="BM926" s="484"/>
    </row>
    <row r="927" spans="1:65" s="22" customFormat="1" x14ac:dyDescent="0.25">
      <c r="A927" s="20"/>
      <c r="B927" s="515"/>
      <c r="C927" s="11"/>
      <c r="D927" s="11"/>
      <c r="E927" s="11"/>
      <c r="F927" s="21"/>
      <c r="G927" s="11"/>
      <c r="H927" s="50"/>
      <c r="I927" s="50"/>
      <c r="J927" s="50"/>
      <c r="K927" s="11"/>
      <c r="L927" s="50"/>
      <c r="M927" s="50"/>
      <c r="N927" s="50"/>
      <c r="O927" s="50"/>
      <c r="P927" s="50"/>
      <c r="Q927" s="11"/>
      <c r="R927" s="50"/>
      <c r="S927" s="50"/>
      <c r="T927" s="50"/>
      <c r="U927" s="11"/>
      <c r="V927" s="50"/>
      <c r="W927" s="50"/>
      <c r="X927" s="50"/>
      <c r="Y927" s="50"/>
      <c r="Z927" s="50"/>
      <c r="AA927" s="11"/>
      <c r="AB927" s="50"/>
      <c r="AC927" s="50"/>
      <c r="AD927" s="50"/>
      <c r="AE927" s="11"/>
      <c r="AF927" s="50"/>
      <c r="AG927" s="50"/>
      <c r="AH927" s="50"/>
      <c r="AI927" s="11"/>
      <c r="AJ927" s="50"/>
      <c r="AK927" s="50"/>
      <c r="AL927" s="50"/>
      <c r="AM927" s="11"/>
      <c r="AN927" s="50"/>
      <c r="AO927" s="50"/>
      <c r="AP927" s="50"/>
      <c r="AQ927" s="11"/>
      <c r="AR927" s="50"/>
      <c r="AS927" s="50"/>
      <c r="AT927" s="50"/>
      <c r="AU927" s="11"/>
      <c r="AV927" s="50"/>
      <c r="AW927" s="50"/>
      <c r="AX927" s="50"/>
      <c r="AY927" s="50"/>
      <c r="AZ927" s="50"/>
      <c r="BA927" s="50"/>
      <c r="BB927" s="50"/>
      <c r="BC927" s="50"/>
      <c r="BD927" s="50"/>
      <c r="BE927" s="20"/>
      <c r="BF927" s="518"/>
      <c r="BG927" s="484"/>
      <c r="BH927" s="484"/>
      <c r="BI927" s="527"/>
      <c r="BJ927" s="484"/>
      <c r="BK927" s="484"/>
      <c r="BL927" s="484"/>
      <c r="BM927" s="484"/>
    </row>
    <row r="928" spans="1:65" s="22" customFormat="1" x14ac:dyDescent="0.25">
      <c r="A928" s="20"/>
      <c r="B928" s="515"/>
      <c r="C928" s="11"/>
      <c r="D928" s="11"/>
      <c r="E928" s="11"/>
      <c r="F928" s="21"/>
      <c r="G928" s="11"/>
      <c r="H928" s="50"/>
      <c r="I928" s="50"/>
      <c r="J928" s="50"/>
      <c r="K928" s="11"/>
      <c r="L928" s="50"/>
      <c r="M928" s="50"/>
      <c r="N928" s="50"/>
      <c r="O928" s="50"/>
      <c r="P928" s="50"/>
      <c r="Q928" s="11"/>
      <c r="R928" s="50"/>
      <c r="S928" s="50"/>
      <c r="T928" s="50"/>
      <c r="U928" s="11"/>
      <c r="V928" s="50"/>
      <c r="W928" s="50"/>
      <c r="X928" s="50"/>
      <c r="Y928" s="50"/>
      <c r="Z928" s="50"/>
      <c r="AA928" s="11"/>
      <c r="AB928" s="50"/>
      <c r="AC928" s="50"/>
      <c r="AD928" s="50"/>
      <c r="AE928" s="11"/>
      <c r="AF928" s="50"/>
      <c r="AG928" s="50"/>
      <c r="AH928" s="50"/>
      <c r="AI928" s="11"/>
      <c r="AJ928" s="50"/>
      <c r="AK928" s="50"/>
      <c r="AL928" s="50"/>
      <c r="AM928" s="11"/>
      <c r="AN928" s="50"/>
      <c r="AO928" s="50"/>
      <c r="AP928" s="50"/>
      <c r="AQ928" s="11"/>
      <c r="AR928" s="50"/>
      <c r="AS928" s="50"/>
      <c r="AT928" s="50"/>
      <c r="AU928" s="11"/>
      <c r="AV928" s="50"/>
      <c r="AW928" s="50"/>
      <c r="AX928" s="50"/>
      <c r="AY928" s="50"/>
      <c r="AZ928" s="50"/>
      <c r="BA928" s="50"/>
      <c r="BB928" s="50"/>
      <c r="BC928" s="50"/>
      <c r="BD928" s="50"/>
      <c r="BE928" s="20"/>
      <c r="BF928" s="518"/>
      <c r="BG928" s="484"/>
      <c r="BH928" s="484"/>
      <c r="BI928" s="527"/>
      <c r="BJ928" s="484"/>
      <c r="BK928" s="484"/>
      <c r="BL928" s="484"/>
      <c r="BM928" s="484"/>
    </row>
    <row r="929" spans="1:65" s="22" customFormat="1" x14ac:dyDescent="0.25">
      <c r="A929" s="20"/>
      <c r="B929" s="515"/>
      <c r="C929" s="11"/>
      <c r="D929" s="11"/>
      <c r="E929" s="11"/>
      <c r="F929" s="21"/>
      <c r="G929" s="11"/>
      <c r="H929" s="50"/>
      <c r="I929" s="50"/>
      <c r="J929" s="50"/>
      <c r="K929" s="11"/>
      <c r="L929" s="50"/>
      <c r="M929" s="50"/>
      <c r="N929" s="50"/>
      <c r="O929" s="50"/>
      <c r="P929" s="50"/>
      <c r="Q929" s="11"/>
      <c r="R929" s="50"/>
      <c r="S929" s="50"/>
      <c r="T929" s="50"/>
      <c r="U929" s="11"/>
      <c r="V929" s="50"/>
      <c r="W929" s="50"/>
      <c r="X929" s="50"/>
      <c r="Y929" s="50"/>
      <c r="Z929" s="50"/>
      <c r="AA929" s="11"/>
      <c r="AB929" s="50"/>
      <c r="AC929" s="50"/>
      <c r="AD929" s="50"/>
      <c r="AE929" s="11"/>
      <c r="AF929" s="50"/>
      <c r="AG929" s="50"/>
      <c r="AH929" s="50"/>
      <c r="AI929" s="11"/>
      <c r="AJ929" s="50"/>
      <c r="AK929" s="50"/>
      <c r="AL929" s="50"/>
      <c r="AM929" s="11"/>
      <c r="AN929" s="50"/>
      <c r="AO929" s="50"/>
      <c r="AP929" s="50"/>
      <c r="AQ929" s="11"/>
      <c r="AR929" s="50"/>
      <c r="AS929" s="50"/>
      <c r="AT929" s="50"/>
      <c r="AU929" s="11"/>
      <c r="AV929" s="50"/>
      <c r="AW929" s="50"/>
      <c r="AX929" s="50"/>
      <c r="AY929" s="50"/>
      <c r="AZ929" s="50"/>
      <c r="BA929" s="50"/>
      <c r="BB929" s="50"/>
      <c r="BC929" s="50"/>
      <c r="BD929" s="50"/>
      <c r="BE929" s="20"/>
      <c r="BF929" s="518"/>
      <c r="BG929" s="484"/>
      <c r="BH929" s="484"/>
      <c r="BI929" s="527"/>
      <c r="BJ929" s="484"/>
      <c r="BK929" s="484"/>
      <c r="BL929" s="484"/>
      <c r="BM929" s="484"/>
    </row>
    <row r="930" spans="1:65" s="22" customFormat="1" x14ac:dyDescent="0.25">
      <c r="A930" s="20"/>
      <c r="B930" s="515"/>
      <c r="C930" s="11"/>
      <c r="D930" s="11"/>
      <c r="E930" s="11"/>
      <c r="F930" s="21"/>
      <c r="G930" s="11"/>
      <c r="H930" s="50"/>
      <c r="I930" s="50"/>
      <c r="J930" s="50"/>
      <c r="K930" s="11"/>
      <c r="L930" s="50"/>
      <c r="M930" s="50"/>
      <c r="N930" s="50"/>
      <c r="O930" s="50"/>
      <c r="P930" s="50"/>
      <c r="Q930" s="11"/>
      <c r="R930" s="50"/>
      <c r="S930" s="50"/>
      <c r="T930" s="50"/>
      <c r="U930" s="11"/>
      <c r="V930" s="50"/>
      <c r="W930" s="50"/>
      <c r="X930" s="50"/>
      <c r="Y930" s="50"/>
      <c r="Z930" s="50"/>
      <c r="AA930" s="11"/>
      <c r="AB930" s="50"/>
      <c r="AC930" s="50"/>
      <c r="AD930" s="50"/>
      <c r="AE930" s="11"/>
      <c r="AF930" s="50"/>
      <c r="AG930" s="50"/>
      <c r="AH930" s="50"/>
      <c r="AI930" s="11"/>
      <c r="AJ930" s="50"/>
      <c r="AK930" s="50"/>
      <c r="AL930" s="50"/>
      <c r="AM930" s="11"/>
      <c r="AN930" s="50"/>
      <c r="AO930" s="50"/>
      <c r="AP930" s="50"/>
      <c r="AQ930" s="11"/>
      <c r="AR930" s="50"/>
      <c r="AS930" s="50"/>
      <c r="AT930" s="50"/>
      <c r="AU930" s="11"/>
      <c r="AV930" s="50"/>
      <c r="AW930" s="50"/>
      <c r="AX930" s="50"/>
      <c r="AY930" s="50"/>
      <c r="AZ930" s="50"/>
      <c r="BA930" s="50"/>
      <c r="BB930" s="50"/>
      <c r="BC930" s="50"/>
      <c r="BD930" s="50"/>
      <c r="BE930" s="20"/>
      <c r="BF930" s="518"/>
      <c r="BG930" s="484"/>
      <c r="BH930" s="484"/>
      <c r="BI930" s="527"/>
      <c r="BJ930" s="484"/>
      <c r="BK930" s="484"/>
      <c r="BL930" s="484"/>
      <c r="BM930" s="484"/>
    </row>
    <row r="931" spans="1:65" s="22" customFormat="1" x14ac:dyDescent="0.25">
      <c r="A931" s="20"/>
      <c r="B931" s="515"/>
      <c r="C931" s="11"/>
      <c r="D931" s="11"/>
      <c r="E931" s="11"/>
      <c r="F931" s="21"/>
      <c r="G931" s="11"/>
      <c r="H931" s="50"/>
      <c r="I931" s="50"/>
      <c r="J931" s="50"/>
      <c r="K931" s="11"/>
      <c r="L931" s="50"/>
      <c r="M931" s="50"/>
      <c r="N931" s="50"/>
      <c r="O931" s="50"/>
      <c r="P931" s="50"/>
      <c r="Q931" s="11"/>
      <c r="R931" s="50"/>
      <c r="S931" s="50"/>
      <c r="T931" s="50"/>
      <c r="U931" s="11"/>
      <c r="V931" s="50"/>
      <c r="W931" s="50"/>
      <c r="X931" s="50"/>
      <c r="Y931" s="50"/>
      <c r="Z931" s="50"/>
      <c r="AA931" s="11"/>
      <c r="AB931" s="50"/>
      <c r="AC931" s="50"/>
      <c r="AD931" s="50"/>
      <c r="AE931" s="11"/>
      <c r="AF931" s="50"/>
      <c r="AG931" s="50"/>
      <c r="AH931" s="50"/>
      <c r="AI931" s="11"/>
      <c r="AJ931" s="50"/>
      <c r="AK931" s="50"/>
      <c r="AL931" s="50"/>
      <c r="AM931" s="11"/>
      <c r="AN931" s="50"/>
      <c r="AO931" s="50"/>
      <c r="AP931" s="50"/>
      <c r="AQ931" s="11"/>
      <c r="AR931" s="50"/>
      <c r="AS931" s="50"/>
      <c r="AT931" s="50"/>
      <c r="AU931" s="11"/>
      <c r="AV931" s="50"/>
      <c r="AW931" s="50"/>
      <c r="AX931" s="50"/>
      <c r="AY931" s="50"/>
      <c r="AZ931" s="50"/>
      <c r="BA931" s="50"/>
      <c r="BB931" s="50"/>
      <c r="BC931" s="50"/>
      <c r="BD931" s="50"/>
      <c r="BE931" s="20"/>
      <c r="BF931" s="518"/>
      <c r="BG931" s="484"/>
      <c r="BH931" s="484"/>
      <c r="BI931" s="527"/>
      <c r="BJ931" s="484"/>
      <c r="BK931" s="484"/>
      <c r="BL931" s="484"/>
      <c r="BM931" s="484"/>
    </row>
    <row r="932" spans="1:65" s="22" customFormat="1" x14ac:dyDescent="0.25">
      <c r="A932" s="20"/>
      <c r="B932" s="515"/>
      <c r="C932" s="11"/>
      <c r="D932" s="11"/>
      <c r="E932" s="11"/>
      <c r="F932" s="21"/>
      <c r="G932" s="11"/>
      <c r="H932" s="50"/>
      <c r="I932" s="50"/>
      <c r="J932" s="50"/>
      <c r="K932" s="11"/>
      <c r="L932" s="50"/>
      <c r="M932" s="50"/>
      <c r="N932" s="50"/>
      <c r="O932" s="50"/>
      <c r="P932" s="50"/>
      <c r="Q932" s="11"/>
      <c r="R932" s="50"/>
      <c r="S932" s="50"/>
      <c r="T932" s="50"/>
      <c r="U932" s="11"/>
      <c r="V932" s="50"/>
      <c r="W932" s="50"/>
      <c r="X932" s="50"/>
      <c r="Y932" s="50"/>
      <c r="Z932" s="50"/>
      <c r="AA932" s="11"/>
      <c r="AB932" s="50"/>
      <c r="AC932" s="50"/>
      <c r="AD932" s="50"/>
      <c r="AE932" s="11"/>
      <c r="AF932" s="50"/>
      <c r="AG932" s="50"/>
      <c r="AH932" s="50"/>
      <c r="AI932" s="11"/>
      <c r="AJ932" s="50"/>
      <c r="AK932" s="50"/>
      <c r="AL932" s="50"/>
      <c r="AM932" s="11"/>
      <c r="AN932" s="50"/>
      <c r="AO932" s="50"/>
      <c r="AP932" s="50"/>
      <c r="AQ932" s="11"/>
      <c r="AR932" s="50"/>
      <c r="AS932" s="50"/>
      <c r="AT932" s="50"/>
      <c r="AU932" s="11"/>
      <c r="AV932" s="50"/>
      <c r="AW932" s="50"/>
      <c r="AX932" s="50"/>
      <c r="AY932" s="50"/>
      <c r="AZ932" s="50"/>
      <c r="BA932" s="50"/>
      <c r="BB932" s="50"/>
      <c r="BC932" s="50"/>
      <c r="BD932" s="50"/>
      <c r="BE932" s="20"/>
      <c r="BF932" s="518"/>
      <c r="BG932" s="484"/>
      <c r="BH932" s="484"/>
      <c r="BI932" s="527"/>
      <c r="BJ932" s="484"/>
      <c r="BK932" s="484"/>
      <c r="BL932" s="484"/>
      <c r="BM932" s="484"/>
    </row>
    <row r="933" spans="1:65" s="22" customFormat="1" x14ac:dyDescent="0.25">
      <c r="A933" s="20"/>
      <c r="B933" s="515"/>
      <c r="C933" s="11"/>
      <c r="D933" s="11"/>
      <c r="E933" s="11"/>
      <c r="F933" s="21"/>
      <c r="G933" s="11"/>
      <c r="H933" s="50"/>
      <c r="I933" s="50"/>
      <c r="J933" s="50"/>
      <c r="K933" s="11"/>
      <c r="L933" s="50"/>
      <c r="M933" s="50"/>
      <c r="N933" s="50"/>
      <c r="O933" s="50"/>
      <c r="P933" s="50"/>
      <c r="Q933" s="11"/>
      <c r="R933" s="50"/>
      <c r="S933" s="50"/>
      <c r="T933" s="50"/>
      <c r="U933" s="11"/>
      <c r="V933" s="50"/>
      <c r="W933" s="50"/>
      <c r="X933" s="50"/>
      <c r="Y933" s="50"/>
      <c r="Z933" s="50"/>
      <c r="AA933" s="11"/>
      <c r="AB933" s="50"/>
      <c r="AC933" s="50"/>
      <c r="AD933" s="50"/>
      <c r="AE933" s="11"/>
      <c r="AF933" s="50"/>
      <c r="AG933" s="50"/>
      <c r="AH933" s="50"/>
      <c r="AI933" s="11"/>
      <c r="AJ933" s="50"/>
      <c r="AK933" s="50"/>
      <c r="AL933" s="50"/>
      <c r="AM933" s="11"/>
      <c r="AN933" s="50"/>
      <c r="AO933" s="50"/>
      <c r="AP933" s="50"/>
      <c r="AQ933" s="11"/>
      <c r="AR933" s="50"/>
      <c r="AS933" s="50"/>
      <c r="AT933" s="50"/>
      <c r="AU933" s="11"/>
      <c r="AV933" s="50"/>
      <c r="AW933" s="50"/>
      <c r="AX933" s="50"/>
      <c r="AY933" s="50"/>
      <c r="AZ933" s="50"/>
      <c r="BA933" s="50"/>
      <c r="BB933" s="50"/>
      <c r="BC933" s="50"/>
      <c r="BD933" s="50"/>
      <c r="BE933" s="20"/>
      <c r="BF933" s="518"/>
      <c r="BG933" s="484"/>
      <c r="BH933" s="484"/>
      <c r="BI933" s="527"/>
      <c r="BJ933" s="484"/>
      <c r="BK933" s="484"/>
      <c r="BL933" s="484"/>
      <c r="BM933" s="484"/>
    </row>
    <row r="934" spans="1:65" s="22" customFormat="1" x14ac:dyDescent="0.25">
      <c r="A934" s="20"/>
      <c r="B934" s="515"/>
      <c r="C934" s="11"/>
      <c r="D934" s="11"/>
      <c r="E934" s="11"/>
      <c r="F934" s="21"/>
      <c r="G934" s="11"/>
      <c r="H934" s="50"/>
      <c r="I934" s="50"/>
      <c r="J934" s="50"/>
      <c r="K934" s="11"/>
      <c r="L934" s="50"/>
      <c r="M934" s="50"/>
      <c r="N934" s="50"/>
      <c r="O934" s="50"/>
      <c r="P934" s="50"/>
      <c r="Q934" s="11"/>
      <c r="R934" s="50"/>
      <c r="S934" s="50"/>
      <c r="T934" s="50"/>
      <c r="U934" s="11"/>
      <c r="V934" s="50"/>
      <c r="W934" s="50"/>
      <c r="X934" s="50"/>
      <c r="Y934" s="50"/>
      <c r="Z934" s="50"/>
      <c r="AA934" s="11"/>
      <c r="AB934" s="50"/>
      <c r="AC934" s="50"/>
      <c r="AD934" s="50"/>
      <c r="AE934" s="11"/>
      <c r="AF934" s="50"/>
      <c r="AG934" s="50"/>
      <c r="AH934" s="50"/>
      <c r="AI934" s="11"/>
      <c r="AJ934" s="50"/>
      <c r="AK934" s="50"/>
      <c r="AL934" s="50"/>
      <c r="AM934" s="11"/>
      <c r="AN934" s="50"/>
      <c r="AO934" s="50"/>
      <c r="AP934" s="50"/>
      <c r="AQ934" s="11"/>
      <c r="AR934" s="50"/>
      <c r="AS934" s="50"/>
      <c r="AT934" s="50"/>
      <c r="AU934" s="11"/>
      <c r="AV934" s="50"/>
      <c r="AW934" s="50"/>
      <c r="AX934" s="50"/>
      <c r="AY934" s="50"/>
      <c r="AZ934" s="50"/>
      <c r="BA934" s="50"/>
      <c r="BB934" s="50"/>
      <c r="BC934" s="50"/>
      <c r="BD934" s="50"/>
      <c r="BE934" s="20"/>
      <c r="BF934" s="518"/>
      <c r="BG934" s="484"/>
      <c r="BH934" s="484"/>
      <c r="BI934" s="527"/>
      <c r="BJ934" s="484"/>
      <c r="BK934" s="484"/>
      <c r="BL934" s="484"/>
      <c r="BM934" s="484"/>
    </row>
    <row r="935" spans="1:65" s="22" customFormat="1" x14ac:dyDescent="0.25">
      <c r="A935" s="20"/>
      <c r="B935" s="515"/>
      <c r="C935" s="11"/>
      <c r="D935" s="11"/>
      <c r="E935" s="11"/>
      <c r="F935" s="21"/>
      <c r="G935" s="11"/>
      <c r="H935" s="50"/>
      <c r="I935" s="50"/>
      <c r="J935" s="50"/>
      <c r="K935" s="11"/>
      <c r="L935" s="50"/>
      <c r="M935" s="50"/>
      <c r="N935" s="50"/>
      <c r="O935" s="50"/>
      <c r="P935" s="50"/>
      <c r="Q935" s="11"/>
      <c r="R935" s="50"/>
      <c r="S935" s="50"/>
      <c r="T935" s="50"/>
      <c r="U935" s="11"/>
      <c r="V935" s="50"/>
      <c r="W935" s="50"/>
      <c r="X935" s="50"/>
      <c r="Y935" s="50"/>
      <c r="Z935" s="50"/>
      <c r="AA935" s="11"/>
      <c r="AB935" s="50"/>
      <c r="AC935" s="50"/>
      <c r="AD935" s="50"/>
      <c r="AE935" s="11"/>
      <c r="AF935" s="50"/>
      <c r="AG935" s="50"/>
      <c r="AH935" s="50"/>
      <c r="AI935" s="11"/>
      <c r="AJ935" s="50"/>
      <c r="AK935" s="50"/>
      <c r="AL935" s="50"/>
      <c r="AM935" s="11"/>
      <c r="AN935" s="50"/>
      <c r="AO935" s="50"/>
      <c r="AP935" s="50"/>
      <c r="AQ935" s="11"/>
      <c r="AR935" s="50"/>
      <c r="AS935" s="50"/>
      <c r="AT935" s="50"/>
      <c r="AU935" s="11"/>
      <c r="AV935" s="50"/>
      <c r="AW935" s="50"/>
      <c r="AX935" s="50"/>
      <c r="AY935" s="50"/>
      <c r="AZ935" s="50"/>
      <c r="BA935" s="50"/>
      <c r="BB935" s="50"/>
      <c r="BC935" s="50"/>
      <c r="BD935" s="50"/>
      <c r="BE935" s="20"/>
      <c r="BF935" s="518"/>
      <c r="BG935" s="484"/>
      <c r="BH935" s="484"/>
      <c r="BI935" s="527"/>
      <c r="BJ935" s="484"/>
      <c r="BK935" s="484"/>
      <c r="BL935" s="484"/>
      <c r="BM935" s="484"/>
    </row>
    <row r="936" spans="1:65" s="22" customFormat="1" x14ac:dyDescent="0.25">
      <c r="A936" s="20"/>
      <c r="B936" s="515"/>
      <c r="C936" s="11"/>
      <c r="D936" s="11"/>
      <c r="E936" s="11"/>
      <c r="F936" s="21"/>
      <c r="G936" s="11"/>
      <c r="H936" s="50"/>
      <c r="I936" s="50"/>
      <c r="J936" s="50"/>
      <c r="K936" s="11"/>
      <c r="L936" s="50"/>
      <c r="M936" s="50"/>
      <c r="N936" s="50"/>
      <c r="O936" s="50"/>
      <c r="P936" s="50"/>
      <c r="Q936" s="11"/>
      <c r="R936" s="50"/>
      <c r="S936" s="50"/>
      <c r="T936" s="50"/>
      <c r="U936" s="11"/>
      <c r="V936" s="50"/>
      <c r="W936" s="50"/>
      <c r="X936" s="50"/>
      <c r="Y936" s="50"/>
      <c r="Z936" s="50"/>
      <c r="AA936" s="11"/>
      <c r="AB936" s="50"/>
      <c r="AC936" s="50"/>
      <c r="AD936" s="50"/>
      <c r="AE936" s="11"/>
      <c r="AF936" s="50"/>
      <c r="AG936" s="50"/>
      <c r="AH936" s="50"/>
      <c r="AI936" s="11"/>
      <c r="AJ936" s="50"/>
      <c r="AK936" s="50"/>
      <c r="AL936" s="50"/>
      <c r="AM936" s="11"/>
      <c r="AN936" s="50"/>
      <c r="AO936" s="50"/>
      <c r="AP936" s="50"/>
      <c r="AQ936" s="11"/>
      <c r="AR936" s="50"/>
      <c r="AS936" s="50"/>
      <c r="AT936" s="50"/>
      <c r="AU936" s="11"/>
      <c r="AV936" s="50"/>
      <c r="AW936" s="50"/>
      <c r="AX936" s="50"/>
      <c r="AY936" s="50"/>
      <c r="AZ936" s="50"/>
      <c r="BA936" s="50"/>
      <c r="BB936" s="50"/>
      <c r="BC936" s="50"/>
      <c r="BD936" s="50"/>
      <c r="BE936" s="20"/>
      <c r="BF936" s="518"/>
      <c r="BG936" s="484"/>
      <c r="BH936" s="484"/>
      <c r="BI936" s="527"/>
      <c r="BJ936" s="484"/>
      <c r="BK936" s="484"/>
      <c r="BL936" s="484"/>
      <c r="BM936" s="484"/>
    </row>
    <row r="937" spans="1:65" s="22" customFormat="1" x14ac:dyDescent="0.25">
      <c r="A937" s="20"/>
      <c r="B937" s="515"/>
      <c r="C937" s="11"/>
      <c r="D937" s="11"/>
      <c r="E937" s="11"/>
      <c r="F937" s="21"/>
      <c r="G937" s="11"/>
      <c r="H937" s="50"/>
      <c r="I937" s="50"/>
      <c r="J937" s="50"/>
      <c r="K937" s="11"/>
      <c r="L937" s="50"/>
      <c r="M937" s="50"/>
      <c r="N937" s="50"/>
      <c r="O937" s="50"/>
      <c r="P937" s="50"/>
      <c r="Q937" s="11"/>
      <c r="R937" s="50"/>
      <c r="S937" s="50"/>
      <c r="T937" s="50"/>
      <c r="U937" s="11"/>
      <c r="V937" s="50"/>
      <c r="W937" s="50"/>
      <c r="X937" s="50"/>
      <c r="Y937" s="50"/>
      <c r="Z937" s="50"/>
      <c r="AA937" s="11"/>
      <c r="AB937" s="50"/>
      <c r="AC937" s="50"/>
      <c r="AD937" s="50"/>
      <c r="AE937" s="11"/>
      <c r="AF937" s="50"/>
      <c r="AG937" s="50"/>
      <c r="AH937" s="50"/>
      <c r="AI937" s="11"/>
      <c r="AJ937" s="50"/>
      <c r="AK937" s="50"/>
      <c r="AL937" s="50"/>
      <c r="AM937" s="11"/>
      <c r="AN937" s="50"/>
      <c r="AO937" s="50"/>
      <c r="AP937" s="50"/>
      <c r="AQ937" s="11"/>
      <c r="AR937" s="50"/>
      <c r="AS937" s="50"/>
      <c r="AT937" s="50"/>
      <c r="AU937" s="11"/>
      <c r="AV937" s="50"/>
      <c r="AW937" s="50"/>
      <c r="AX937" s="50"/>
      <c r="AY937" s="50"/>
      <c r="AZ937" s="50"/>
      <c r="BA937" s="50"/>
      <c r="BB937" s="50"/>
      <c r="BC937" s="50"/>
      <c r="BD937" s="50"/>
      <c r="BE937" s="20"/>
      <c r="BF937" s="518"/>
      <c r="BG937" s="484"/>
      <c r="BH937" s="484"/>
      <c r="BI937" s="527"/>
      <c r="BJ937" s="484"/>
      <c r="BK937" s="484"/>
      <c r="BL937" s="484"/>
      <c r="BM937" s="484"/>
    </row>
    <row r="938" spans="1:65" s="22" customFormat="1" x14ac:dyDescent="0.25">
      <c r="A938" s="20"/>
      <c r="B938" s="515"/>
      <c r="C938" s="11"/>
      <c r="D938" s="11"/>
      <c r="E938" s="11"/>
      <c r="F938" s="21"/>
      <c r="G938" s="11"/>
      <c r="H938" s="50"/>
      <c r="I938" s="50"/>
      <c r="J938" s="50"/>
      <c r="K938" s="11"/>
      <c r="L938" s="50"/>
      <c r="M938" s="50"/>
      <c r="N938" s="50"/>
      <c r="O938" s="50"/>
      <c r="P938" s="50"/>
      <c r="Q938" s="11"/>
      <c r="R938" s="50"/>
      <c r="S938" s="50"/>
      <c r="T938" s="50"/>
      <c r="U938" s="11"/>
      <c r="V938" s="50"/>
      <c r="W938" s="50"/>
      <c r="X938" s="50"/>
      <c r="Y938" s="50"/>
      <c r="Z938" s="50"/>
      <c r="AA938" s="11"/>
      <c r="AB938" s="50"/>
      <c r="AC938" s="50"/>
      <c r="AD938" s="50"/>
      <c r="AE938" s="11"/>
      <c r="AF938" s="50"/>
      <c r="AG938" s="50"/>
      <c r="AH938" s="50"/>
      <c r="AI938" s="11"/>
      <c r="AJ938" s="50"/>
      <c r="AK938" s="50"/>
      <c r="AL938" s="50"/>
      <c r="AM938" s="11"/>
      <c r="AN938" s="50"/>
      <c r="AO938" s="50"/>
      <c r="AP938" s="50"/>
      <c r="AQ938" s="11"/>
      <c r="AR938" s="50"/>
      <c r="AS938" s="50"/>
      <c r="AT938" s="50"/>
      <c r="AU938" s="11"/>
      <c r="AV938" s="50"/>
      <c r="AW938" s="50"/>
      <c r="AX938" s="50"/>
      <c r="AY938" s="50"/>
      <c r="AZ938" s="50"/>
      <c r="BA938" s="50"/>
      <c r="BB938" s="50"/>
      <c r="BC938" s="50"/>
      <c r="BD938" s="50"/>
      <c r="BE938" s="20"/>
      <c r="BF938" s="518"/>
      <c r="BG938" s="484"/>
      <c r="BH938" s="484"/>
      <c r="BI938" s="527"/>
      <c r="BJ938" s="484"/>
      <c r="BK938" s="484"/>
      <c r="BL938" s="484"/>
      <c r="BM938" s="484"/>
    </row>
    <row r="939" spans="1:65" s="22" customFormat="1" x14ac:dyDescent="0.25">
      <c r="A939" s="20"/>
      <c r="B939" s="515"/>
      <c r="C939" s="11"/>
      <c r="D939" s="11"/>
      <c r="E939" s="11"/>
      <c r="F939" s="21"/>
      <c r="G939" s="11"/>
      <c r="H939" s="50"/>
      <c r="I939" s="50"/>
      <c r="J939" s="50"/>
      <c r="K939" s="11"/>
      <c r="L939" s="50"/>
      <c r="M939" s="50"/>
      <c r="N939" s="50"/>
      <c r="O939" s="50"/>
      <c r="P939" s="50"/>
      <c r="Q939" s="11"/>
      <c r="R939" s="50"/>
      <c r="S939" s="50"/>
      <c r="T939" s="50"/>
      <c r="U939" s="11"/>
      <c r="V939" s="50"/>
      <c r="W939" s="50"/>
      <c r="X939" s="50"/>
      <c r="Y939" s="50"/>
      <c r="Z939" s="50"/>
      <c r="AA939" s="11"/>
      <c r="AB939" s="50"/>
      <c r="AC939" s="50"/>
      <c r="AD939" s="50"/>
      <c r="AE939" s="11"/>
      <c r="AF939" s="50"/>
      <c r="AG939" s="50"/>
      <c r="AH939" s="50"/>
      <c r="AI939" s="11"/>
      <c r="AJ939" s="50"/>
      <c r="AK939" s="50"/>
      <c r="AL939" s="50"/>
      <c r="AM939" s="11"/>
      <c r="AN939" s="50"/>
      <c r="AO939" s="50"/>
      <c r="AP939" s="50"/>
      <c r="AQ939" s="11"/>
      <c r="AR939" s="50"/>
      <c r="AS939" s="50"/>
      <c r="AT939" s="50"/>
      <c r="AU939" s="11"/>
      <c r="AV939" s="50"/>
      <c r="AW939" s="50"/>
      <c r="AX939" s="50"/>
      <c r="AY939" s="50"/>
      <c r="AZ939" s="50"/>
      <c r="BA939" s="50"/>
      <c r="BB939" s="50"/>
      <c r="BC939" s="50"/>
      <c r="BD939" s="50"/>
      <c r="BE939" s="20"/>
      <c r="BF939" s="518"/>
      <c r="BG939" s="484"/>
      <c r="BH939" s="484"/>
      <c r="BI939" s="527"/>
      <c r="BJ939" s="484"/>
      <c r="BK939" s="484"/>
      <c r="BL939" s="484"/>
      <c r="BM939" s="484"/>
    </row>
    <row r="940" spans="1:65" s="22" customFormat="1" x14ac:dyDescent="0.25">
      <c r="A940" s="20"/>
      <c r="B940" s="515"/>
      <c r="C940" s="11"/>
      <c r="D940" s="11"/>
      <c r="E940" s="11"/>
      <c r="F940" s="21"/>
      <c r="G940" s="11"/>
      <c r="H940" s="50"/>
      <c r="I940" s="50"/>
      <c r="J940" s="50"/>
      <c r="K940" s="11"/>
      <c r="L940" s="50"/>
      <c r="M940" s="50"/>
      <c r="N940" s="50"/>
      <c r="O940" s="50"/>
      <c r="P940" s="50"/>
      <c r="Q940" s="11"/>
      <c r="R940" s="50"/>
      <c r="S940" s="50"/>
      <c r="T940" s="50"/>
      <c r="U940" s="11"/>
      <c r="V940" s="50"/>
      <c r="W940" s="50"/>
      <c r="X940" s="50"/>
      <c r="Y940" s="50"/>
      <c r="Z940" s="50"/>
      <c r="AA940" s="11"/>
      <c r="AB940" s="50"/>
      <c r="AC940" s="50"/>
      <c r="AD940" s="50"/>
      <c r="AE940" s="11"/>
      <c r="AF940" s="50"/>
      <c r="AG940" s="50"/>
      <c r="AH940" s="50"/>
      <c r="AI940" s="11"/>
      <c r="AJ940" s="50"/>
      <c r="AK940" s="50"/>
      <c r="AL940" s="50"/>
      <c r="AM940" s="11"/>
      <c r="AN940" s="50"/>
      <c r="AO940" s="50"/>
      <c r="AP940" s="50"/>
      <c r="AQ940" s="11"/>
      <c r="AR940" s="50"/>
      <c r="AS940" s="50"/>
      <c r="AT940" s="50"/>
      <c r="AU940" s="11"/>
      <c r="AV940" s="50"/>
      <c r="AW940" s="50"/>
      <c r="AX940" s="50"/>
      <c r="AY940" s="50"/>
      <c r="AZ940" s="50"/>
      <c r="BA940" s="50"/>
      <c r="BB940" s="50"/>
      <c r="BC940" s="50"/>
      <c r="BD940" s="50"/>
      <c r="BE940" s="20"/>
      <c r="BF940" s="518"/>
      <c r="BG940" s="484"/>
      <c r="BH940" s="484"/>
      <c r="BI940" s="527"/>
      <c r="BJ940" s="484"/>
      <c r="BK940" s="484"/>
      <c r="BL940" s="484"/>
      <c r="BM940" s="484"/>
    </row>
    <row r="941" spans="1:65" s="22" customFormat="1" x14ac:dyDescent="0.25">
      <c r="A941" s="20"/>
      <c r="B941" s="515"/>
      <c r="C941" s="11"/>
      <c r="D941" s="11"/>
      <c r="E941" s="11"/>
      <c r="F941" s="21"/>
      <c r="G941" s="11"/>
      <c r="H941" s="50"/>
      <c r="I941" s="50"/>
      <c r="J941" s="50"/>
      <c r="K941" s="11"/>
      <c r="L941" s="50"/>
      <c r="M941" s="50"/>
      <c r="N941" s="50"/>
      <c r="O941" s="50"/>
      <c r="P941" s="50"/>
      <c r="Q941" s="11"/>
      <c r="R941" s="50"/>
      <c r="S941" s="50"/>
      <c r="T941" s="50"/>
      <c r="U941" s="11"/>
      <c r="V941" s="50"/>
      <c r="W941" s="50"/>
      <c r="X941" s="50"/>
      <c r="Y941" s="50"/>
      <c r="Z941" s="50"/>
      <c r="AA941" s="11"/>
      <c r="AB941" s="50"/>
      <c r="AC941" s="50"/>
      <c r="AD941" s="50"/>
      <c r="AE941" s="11"/>
      <c r="AF941" s="50"/>
      <c r="AG941" s="50"/>
      <c r="AH941" s="50"/>
      <c r="AI941" s="11"/>
      <c r="AJ941" s="50"/>
      <c r="AK941" s="50"/>
      <c r="AL941" s="50"/>
      <c r="AM941" s="11"/>
      <c r="AN941" s="50"/>
      <c r="AO941" s="50"/>
      <c r="AP941" s="50"/>
      <c r="AQ941" s="11"/>
      <c r="AR941" s="50"/>
      <c r="AS941" s="50"/>
      <c r="AT941" s="50"/>
      <c r="AU941" s="11"/>
      <c r="AV941" s="50"/>
      <c r="AW941" s="50"/>
      <c r="AX941" s="50"/>
      <c r="AY941" s="50"/>
      <c r="AZ941" s="50"/>
      <c r="BA941" s="50"/>
      <c r="BB941" s="50"/>
      <c r="BC941" s="50"/>
      <c r="BD941" s="50"/>
      <c r="BE941" s="20"/>
      <c r="BF941" s="518"/>
      <c r="BG941" s="484"/>
      <c r="BH941" s="484"/>
      <c r="BI941" s="527"/>
      <c r="BJ941" s="484"/>
      <c r="BK941" s="484"/>
      <c r="BL941" s="484"/>
      <c r="BM941" s="484"/>
    </row>
    <row r="942" spans="1:65" s="22" customFormat="1" x14ac:dyDescent="0.25">
      <c r="A942" s="20"/>
      <c r="B942" s="515"/>
      <c r="C942" s="11"/>
      <c r="D942" s="11"/>
      <c r="E942" s="11"/>
      <c r="F942" s="21"/>
      <c r="G942" s="11"/>
      <c r="H942" s="50"/>
      <c r="I942" s="50"/>
      <c r="J942" s="50"/>
      <c r="K942" s="11"/>
      <c r="L942" s="50"/>
      <c r="M942" s="50"/>
      <c r="N942" s="50"/>
      <c r="O942" s="50"/>
      <c r="P942" s="50"/>
      <c r="Q942" s="11"/>
      <c r="R942" s="50"/>
      <c r="S942" s="50"/>
      <c r="T942" s="50"/>
      <c r="U942" s="11"/>
      <c r="V942" s="50"/>
      <c r="W942" s="50"/>
      <c r="X942" s="50"/>
      <c r="Y942" s="50"/>
      <c r="Z942" s="50"/>
      <c r="AA942" s="11"/>
      <c r="AB942" s="50"/>
      <c r="AC942" s="50"/>
      <c r="AD942" s="50"/>
      <c r="AE942" s="11"/>
      <c r="AF942" s="50"/>
      <c r="AG942" s="50"/>
      <c r="AH942" s="50"/>
      <c r="AI942" s="11"/>
      <c r="AJ942" s="50"/>
      <c r="AK942" s="50"/>
      <c r="AL942" s="50"/>
      <c r="AM942" s="11"/>
      <c r="AN942" s="50"/>
      <c r="AO942" s="50"/>
      <c r="AP942" s="50"/>
      <c r="AQ942" s="11"/>
      <c r="AR942" s="50"/>
      <c r="AS942" s="50"/>
      <c r="AT942" s="50"/>
      <c r="AU942" s="11"/>
      <c r="AV942" s="50"/>
      <c r="AW942" s="50"/>
      <c r="AX942" s="50"/>
      <c r="AY942" s="50"/>
      <c r="AZ942" s="50"/>
      <c r="BA942" s="50"/>
      <c r="BB942" s="50"/>
      <c r="BC942" s="50"/>
      <c r="BD942" s="50"/>
      <c r="BE942" s="20"/>
      <c r="BF942" s="518"/>
      <c r="BG942" s="484"/>
      <c r="BH942" s="484"/>
      <c r="BI942" s="527"/>
      <c r="BJ942" s="484"/>
      <c r="BK942" s="484"/>
      <c r="BL942" s="484"/>
      <c r="BM942" s="484"/>
    </row>
    <row r="943" spans="1:65" s="22" customFormat="1" x14ac:dyDescent="0.25">
      <c r="A943" s="20"/>
      <c r="B943" s="515"/>
      <c r="C943" s="11"/>
      <c r="D943" s="11"/>
      <c r="E943" s="11"/>
      <c r="F943" s="21"/>
      <c r="G943" s="11"/>
      <c r="H943" s="50"/>
      <c r="I943" s="50"/>
      <c r="J943" s="50"/>
      <c r="K943" s="11"/>
      <c r="L943" s="50"/>
      <c r="M943" s="50"/>
      <c r="N943" s="50"/>
      <c r="O943" s="50"/>
      <c r="P943" s="50"/>
      <c r="Q943" s="11"/>
      <c r="R943" s="50"/>
      <c r="S943" s="50"/>
      <c r="T943" s="50"/>
      <c r="U943" s="11"/>
      <c r="V943" s="50"/>
      <c r="W943" s="50"/>
      <c r="X943" s="50"/>
      <c r="Y943" s="50"/>
      <c r="Z943" s="50"/>
      <c r="AA943" s="11"/>
      <c r="AB943" s="50"/>
      <c r="AC943" s="50"/>
      <c r="AD943" s="50"/>
      <c r="AE943" s="11"/>
      <c r="AF943" s="50"/>
      <c r="AG943" s="50"/>
      <c r="AH943" s="50"/>
      <c r="AI943" s="11"/>
      <c r="AJ943" s="50"/>
      <c r="AK943" s="50"/>
      <c r="AL943" s="50"/>
      <c r="AM943" s="11"/>
      <c r="AN943" s="50"/>
      <c r="AO943" s="50"/>
      <c r="AP943" s="50"/>
      <c r="AQ943" s="11"/>
      <c r="AR943" s="50"/>
      <c r="AS943" s="50"/>
      <c r="AT943" s="50"/>
      <c r="AU943" s="11"/>
      <c r="AV943" s="50"/>
      <c r="AW943" s="50"/>
      <c r="AX943" s="50"/>
      <c r="AY943" s="50"/>
      <c r="AZ943" s="50"/>
      <c r="BA943" s="50"/>
      <c r="BB943" s="50"/>
      <c r="BC943" s="50"/>
      <c r="BD943" s="50"/>
      <c r="BE943" s="20"/>
      <c r="BF943" s="518"/>
      <c r="BG943" s="484"/>
      <c r="BH943" s="484"/>
      <c r="BI943" s="527"/>
      <c r="BJ943" s="484"/>
      <c r="BK943" s="484"/>
      <c r="BL943" s="484"/>
      <c r="BM943" s="484"/>
    </row>
    <row r="944" spans="1:65" s="22" customFormat="1" x14ac:dyDescent="0.25">
      <c r="A944" s="20"/>
      <c r="B944" s="515"/>
      <c r="C944" s="11"/>
      <c r="D944" s="11"/>
      <c r="E944" s="11"/>
      <c r="F944" s="21"/>
      <c r="G944" s="11"/>
      <c r="H944" s="50"/>
      <c r="I944" s="50"/>
      <c r="J944" s="50"/>
      <c r="K944" s="11"/>
      <c r="L944" s="50"/>
      <c r="M944" s="50"/>
      <c r="N944" s="50"/>
      <c r="O944" s="50"/>
      <c r="P944" s="50"/>
      <c r="Q944" s="11"/>
      <c r="R944" s="50"/>
      <c r="S944" s="50"/>
      <c r="T944" s="50"/>
      <c r="U944" s="11"/>
      <c r="V944" s="50"/>
      <c r="W944" s="50"/>
      <c r="X944" s="50"/>
      <c r="Y944" s="50"/>
      <c r="Z944" s="50"/>
      <c r="AA944" s="11"/>
      <c r="AB944" s="50"/>
      <c r="AC944" s="50"/>
      <c r="AD944" s="50"/>
      <c r="AE944" s="11"/>
      <c r="AF944" s="50"/>
      <c r="AG944" s="50"/>
      <c r="AH944" s="50"/>
      <c r="AI944" s="11"/>
      <c r="AJ944" s="50"/>
      <c r="AK944" s="50"/>
      <c r="AL944" s="50"/>
      <c r="AM944" s="11"/>
      <c r="AN944" s="50"/>
      <c r="AO944" s="50"/>
      <c r="AP944" s="50"/>
      <c r="AQ944" s="11"/>
      <c r="AR944" s="50"/>
      <c r="AS944" s="50"/>
      <c r="AT944" s="50"/>
      <c r="AU944" s="11"/>
      <c r="AV944" s="50"/>
      <c r="AW944" s="50"/>
      <c r="AX944" s="50"/>
      <c r="AY944" s="50"/>
      <c r="AZ944" s="50"/>
      <c r="BA944" s="50"/>
      <c r="BB944" s="50"/>
      <c r="BC944" s="50"/>
      <c r="BD944" s="50"/>
      <c r="BE944" s="20"/>
      <c r="BF944" s="518"/>
      <c r="BG944" s="484"/>
      <c r="BH944" s="484"/>
      <c r="BI944" s="527"/>
      <c r="BJ944" s="484"/>
      <c r="BK944" s="484"/>
      <c r="BL944" s="484"/>
      <c r="BM944" s="484"/>
    </row>
    <row r="945" spans="1:65" s="22" customFormat="1" x14ac:dyDescent="0.25">
      <c r="A945" s="20"/>
      <c r="B945" s="515"/>
      <c r="C945" s="11"/>
      <c r="D945" s="11"/>
      <c r="E945" s="11"/>
      <c r="F945" s="21"/>
      <c r="G945" s="11"/>
      <c r="H945" s="50"/>
      <c r="I945" s="50"/>
      <c r="J945" s="50"/>
      <c r="K945" s="11"/>
      <c r="L945" s="50"/>
      <c r="M945" s="50"/>
      <c r="N945" s="50"/>
      <c r="O945" s="50"/>
      <c r="P945" s="50"/>
      <c r="Q945" s="11"/>
      <c r="R945" s="50"/>
      <c r="S945" s="50"/>
      <c r="T945" s="50"/>
      <c r="U945" s="11"/>
      <c r="V945" s="50"/>
      <c r="W945" s="50"/>
      <c r="X945" s="50"/>
      <c r="Y945" s="50"/>
      <c r="Z945" s="50"/>
      <c r="AA945" s="11"/>
      <c r="AB945" s="50"/>
      <c r="AC945" s="50"/>
      <c r="AD945" s="50"/>
      <c r="AE945" s="11"/>
      <c r="AF945" s="50"/>
      <c r="AG945" s="50"/>
      <c r="AH945" s="50"/>
      <c r="AI945" s="11"/>
      <c r="AJ945" s="50"/>
      <c r="AK945" s="50"/>
      <c r="AL945" s="50"/>
      <c r="AM945" s="11"/>
      <c r="AN945" s="50"/>
      <c r="AO945" s="50"/>
      <c r="AP945" s="50"/>
      <c r="AQ945" s="11"/>
      <c r="AR945" s="50"/>
      <c r="AS945" s="50"/>
      <c r="AT945" s="50"/>
      <c r="AU945" s="11"/>
      <c r="AV945" s="50"/>
      <c r="AW945" s="50"/>
      <c r="AX945" s="50"/>
      <c r="AY945" s="50"/>
      <c r="AZ945" s="50"/>
      <c r="BA945" s="50"/>
      <c r="BB945" s="50"/>
      <c r="BC945" s="50"/>
      <c r="BD945" s="50"/>
      <c r="BE945" s="20"/>
      <c r="BF945" s="518"/>
      <c r="BG945" s="484"/>
      <c r="BH945" s="484"/>
      <c r="BI945" s="527"/>
      <c r="BJ945" s="484"/>
      <c r="BK945" s="484"/>
      <c r="BL945" s="484"/>
      <c r="BM945" s="484"/>
    </row>
    <row r="946" spans="1:65" s="22" customFormat="1" x14ac:dyDescent="0.25">
      <c r="A946" s="20"/>
      <c r="B946" s="515"/>
      <c r="C946" s="11"/>
      <c r="D946" s="11"/>
      <c r="E946" s="11"/>
      <c r="F946" s="21"/>
      <c r="G946" s="11"/>
      <c r="H946" s="50"/>
      <c r="I946" s="50"/>
      <c r="J946" s="50"/>
      <c r="K946" s="11"/>
      <c r="L946" s="50"/>
      <c r="M946" s="50"/>
      <c r="N946" s="50"/>
      <c r="O946" s="50"/>
      <c r="P946" s="50"/>
      <c r="Q946" s="11"/>
      <c r="R946" s="50"/>
      <c r="S946" s="50"/>
      <c r="T946" s="50"/>
      <c r="U946" s="11"/>
      <c r="V946" s="50"/>
      <c r="W946" s="50"/>
      <c r="X946" s="50"/>
      <c r="Y946" s="50"/>
      <c r="Z946" s="50"/>
      <c r="AA946" s="11"/>
      <c r="AB946" s="50"/>
      <c r="AC946" s="50"/>
      <c r="AD946" s="50"/>
      <c r="AE946" s="11"/>
      <c r="AF946" s="50"/>
      <c r="AG946" s="50"/>
      <c r="AH946" s="50"/>
      <c r="AI946" s="11"/>
      <c r="AJ946" s="50"/>
      <c r="AK946" s="50"/>
      <c r="AL946" s="50"/>
      <c r="AM946" s="11"/>
      <c r="AN946" s="50"/>
      <c r="AO946" s="50"/>
      <c r="AP946" s="50"/>
      <c r="AQ946" s="11"/>
      <c r="AR946" s="50"/>
      <c r="AS946" s="50"/>
      <c r="AT946" s="50"/>
      <c r="AU946" s="11"/>
      <c r="AV946" s="50"/>
      <c r="AW946" s="50"/>
      <c r="AX946" s="50"/>
      <c r="AY946" s="50"/>
      <c r="AZ946" s="50"/>
      <c r="BA946" s="50"/>
      <c r="BB946" s="50"/>
      <c r="BC946" s="50"/>
      <c r="BD946" s="50"/>
      <c r="BE946" s="20"/>
      <c r="BF946" s="518"/>
      <c r="BG946" s="484"/>
      <c r="BH946" s="484"/>
      <c r="BI946" s="527"/>
      <c r="BJ946" s="484"/>
      <c r="BK946" s="484"/>
      <c r="BL946" s="484"/>
      <c r="BM946" s="484"/>
    </row>
    <row r="947" spans="1:65" s="22" customFormat="1" x14ac:dyDescent="0.25">
      <c r="A947" s="20"/>
      <c r="B947" s="515"/>
      <c r="C947" s="11"/>
      <c r="D947" s="11"/>
      <c r="E947" s="11"/>
      <c r="F947" s="21"/>
      <c r="G947" s="11"/>
      <c r="H947" s="50"/>
      <c r="I947" s="50"/>
      <c r="J947" s="50"/>
      <c r="K947" s="11"/>
      <c r="L947" s="50"/>
      <c r="M947" s="50"/>
      <c r="N947" s="50"/>
      <c r="O947" s="50"/>
      <c r="P947" s="50"/>
      <c r="Q947" s="11"/>
      <c r="R947" s="50"/>
      <c r="S947" s="50"/>
      <c r="T947" s="50"/>
      <c r="U947" s="11"/>
      <c r="V947" s="50"/>
      <c r="W947" s="50"/>
      <c r="X947" s="50"/>
      <c r="Y947" s="50"/>
      <c r="Z947" s="50"/>
      <c r="AA947" s="11"/>
      <c r="AB947" s="50"/>
      <c r="AC947" s="50"/>
      <c r="AD947" s="50"/>
      <c r="AE947" s="11"/>
      <c r="AF947" s="50"/>
      <c r="AG947" s="50"/>
      <c r="AH947" s="50"/>
      <c r="AI947" s="11"/>
      <c r="AJ947" s="50"/>
      <c r="AK947" s="50"/>
      <c r="AL947" s="50"/>
      <c r="AM947" s="11"/>
      <c r="AN947" s="50"/>
      <c r="AO947" s="50"/>
      <c r="AP947" s="50"/>
      <c r="AQ947" s="11"/>
      <c r="AR947" s="50"/>
      <c r="AS947" s="50"/>
      <c r="AT947" s="50"/>
      <c r="AU947" s="11"/>
      <c r="AV947" s="50"/>
      <c r="AW947" s="50"/>
      <c r="AX947" s="50"/>
      <c r="AY947" s="50"/>
      <c r="AZ947" s="50"/>
      <c r="BA947" s="50"/>
      <c r="BB947" s="50"/>
      <c r="BC947" s="50"/>
      <c r="BD947" s="50"/>
      <c r="BE947" s="20"/>
      <c r="BF947" s="518"/>
      <c r="BG947" s="484"/>
      <c r="BH947" s="484"/>
      <c r="BI947" s="527"/>
      <c r="BJ947" s="484"/>
      <c r="BK947" s="484"/>
      <c r="BL947" s="484"/>
      <c r="BM947" s="484"/>
    </row>
    <row r="948" spans="1:65" s="22" customFormat="1" x14ac:dyDescent="0.25">
      <c r="A948" s="20"/>
      <c r="B948" s="515"/>
      <c r="C948" s="11"/>
      <c r="D948" s="11"/>
      <c r="E948" s="11"/>
      <c r="F948" s="21"/>
      <c r="G948" s="11"/>
      <c r="H948" s="50"/>
      <c r="I948" s="50"/>
      <c r="J948" s="50"/>
      <c r="K948" s="11"/>
      <c r="L948" s="50"/>
      <c r="M948" s="50"/>
      <c r="N948" s="50"/>
      <c r="O948" s="50"/>
      <c r="P948" s="50"/>
      <c r="Q948" s="11"/>
      <c r="R948" s="50"/>
      <c r="S948" s="50"/>
      <c r="T948" s="50"/>
      <c r="U948" s="11"/>
      <c r="V948" s="50"/>
      <c r="W948" s="50"/>
      <c r="X948" s="50"/>
      <c r="Y948" s="50"/>
      <c r="Z948" s="50"/>
      <c r="AA948" s="11"/>
      <c r="AB948" s="50"/>
      <c r="AC948" s="50"/>
      <c r="AD948" s="50"/>
      <c r="AE948" s="11"/>
      <c r="AF948" s="50"/>
      <c r="AG948" s="50"/>
      <c r="AH948" s="50"/>
      <c r="AI948" s="11"/>
      <c r="AJ948" s="50"/>
      <c r="AK948" s="50"/>
      <c r="AL948" s="50"/>
      <c r="AM948" s="11"/>
      <c r="AN948" s="50"/>
      <c r="AO948" s="50"/>
      <c r="AP948" s="50"/>
      <c r="AQ948" s="11"/>
      <c r="AR948" s="50"/>
      <c r="AS948" s="50"/>
      <c r="AT948" s="50"/>
      <c r="AU948" s="11"/>
      <c r="AV948" s="50"/>
      <c r="AW948" s="50"/>
      <c r="AX948" s="50"/>
      <c r="AY948" s="50"/>
      <c r="AZ948" s="50"/>
      <c r="BA948" s="50"/>
      <c r="BB948" s="50"/>
      <c r="BC948" s="50"/>
      <c r="BD948" s="50"/>
      <c r="BE948" s="20"/>
      <c r="BF948" s="518"/>
      <c r="BG948" s="484"/>
      <c r="BH948" s="484"/>
      <c r="BI948" s="527"/>
      <c r="BJ948" s="484"/>
      <c r="BK948" s="484"/>
      <c r="BL948" s="484"/>
      <c r="BM948" s="484"/>
    </row>
    <row r="949" spans="1:65" s="22" customFormat="1" x14ac:dyDescent="0.25">
      <c r="A949" s="20"/>
      <c r="B949" s="515"/>
      <c r="C949" s="11"/>
      <c r="D949" s="11"/>
      <c r="E949" s="11"/>
      <c r="F949" s="21"/>
      <c r="G949" s="11"/>
      <c r="H949" s="50"/>
      <c r="I949" s="50"/>
      <c r="J949" s="50"/>
      <c r="K949" s="11"/>
      <c r="L949" s="50"/>
      <c r="M949" s="50"/>
      <c r="N949" s="50"/>
      <c r="O949" s="50"/>
      <c r="P949" s="50"/>
      <c r="Q949" s="11"/>
      <c r="R949" s="50"/>
      <c r="S949" s="50"/>
      <c r="T949" s="50"/>
      <c r="U949" s="11"/>
      <c r="V949" s="50"/>
      <c r="W949" s="50"/>
      <c r="X949" s="50"/>
      <c r="Y949" s="50"/>
      <c r="Z949" s="50"/>
      <c r="AA949" s="11"/>
      <c r="AB949" s="50"/>
      <c r="AC949" s="50"/>
      <c r="AD949" s="50"/>
      <c r="AE949" s="11"/>
      <c r="AF949" s="50"/>
      <c r="AG949" s="50"/>
      <c r="AH949" s="50"/>
      <c r="AI949" s="11"/>
      <c r="AJ949" s="50"/>
      <c r="AK949" s="50"/>
      <c r="AL949" s="50"/>
      <c r="AM949" s="11"/>
      <c r="AN949" s="50"/>
      <c r="AO949" s="50"/>
      <c r="AP949" s="50"/>
      <c r="AQ949" s="11"/>
      <c r="AR949" s="50"/>
      <c r="AS949" s="50"/>
      <c r="AT949" s="50"/>
      <c r="AU949" s="11"/>
      <c r="AV949" s="50"/>
      <c r="AW949" s="50"/>
      <c r="AX949" s="50"/>
      <c r="AY949" s="50"/>
      <c r="AZ949" s="50"/>
      <c r="BA949" s="50"/>
      <c r="BB949" s="50"/>
      <c r="BC949" s="50"/>
      <c r="BD949" s="50"/>
      <c r="BE949" s="20"/>
      <c r="BF949" s="518"/>
      <c r="BG949" s="484"/>
      <c r="BH949" s="484"/>
      <c r="BI949" s="527"/>
      <c r="BJ949" s="484"/>
      <c r="BK949" s="484"/>
      <c r="BL949" s="484"/>
      <c r="BM949" s="484"/>
    </row>
    <row r="950" spans="1:65" s="22" customFormat="1" x14ac:dyDescent="0.25">
      <c r="A950" s="20"/>
      <c r="B950" s="515"/>
      <c r="C950" s="11"/>
      <c r="D950" s="11"/>
      <c r="E950" s="11"/>
      <c r="F950" s="21"/>
      <c r="G950" s="11"/>
      <c r="H950" s="50"/>
      <c r="I950" s="50"/>
      <c r="J950" s="50"/>
      <c r="K950" s="11"/>
      <c r="L950" s="50"/>
      <c r="M950" s="50"/>
      <c r="N950" s="50"/>
      <c r="O950" s="50"/>
      <c r="P950" s="50"/>
      <c r="Q950" s="11"/>
      <c r="R950" s="50"/>
      <c r="S950" s="50"/>
      <c r="T950" s="50"/>
      <c r="U950" s="11"/>
      <c r="V950" s="50"/>
      <c r="W950" s="50"/>
      <c r="X950" s="50"/>
      <c r="Y950" s="50"/>
      <c r="Z950" s="50"/>
      <c r="AA950" s="11"/>
      <c r="AB950" s="50"/>
      <c r="AC950" s="50"/>
      <c r="AD950" s="50"/>
      <c r="AE950" s="11"/>
      <c r="AF950" s="50"/>
      <c r="AG950" s="50"/>
      <c r="AH950" s="50"/>
      <c r="AI950" s="11"/>
      <c r="AJ950" s="50"/>
      <c r="AK950" s="50"/>
      <c r="AL950" s="50"/>
      <c r="AM950" s="11"/>
      <c r="AN950" s="50"/>
      <c r="AO950" s="50"/>
      <c r="AP950" s="50"/>
      <c r="AQ950" s="11"/>
      <c r="AR950" s="50"/>
      <c r="AS950" s="50"/>
      <c r="AT950" s="50"/>
      <c r="AU950" s="11"/>
      <c r="AV950" s="50"/>
      <c r="AW950" s="50"/>
      <c r="AX950" s="50"/>
      <c r="AY950" s="50"/>
      <c r="AZ950" s="50"/>
      <c r="BA950" s="50"/>
      <c r="BB950" s="50"/>
      <c r="BC950" s="50"/>
      <c r="BD950" s="50"/>
      <c r="BE950" s="20"/>
      <c r="BF950" s="518"/>
      <c r="BG950" s="484"/>
      <c r="BH950" s="484"/>
      <c r="BI950" s="527"/>
      <c r="BJ950" s="484"/>
      <c r="BK950" s="484"/>
      <c r="BL950" s="484"/>
      <c r="BM950" s="484"/>
    </row>
    <row r="951" spans="1:65" s="22" customFormat="1" x14ac:dyDescent="0.25">
      <c r="A951" s="20"/>
      <c r="B951" s="515"/>
      <c r="C951" s="11"/>
      <c r="D951" s="11"/>
      <c r="E951" s="11"/>
      <c r="F951" s="21"/>
      <c r="G951" s="11"/>
      <c r="H951" s="50"/>
      <c r="I951" s="50"/>
      <c r="J951" s="50"/>
      <c r="K951" s="11"/>
      <c r="L951" s="50"/>
      <c r="M951" s="50"/>
      <c r="N951" s="50"/>
      <c r="O951" s="50"/>
      <c r="P951" s="50"/>
      <c r="Q951" s="11"/>
      <c r="R951" s="50"/>
      <c r="S951" s="50"/>
      <c r="T951" s="50"/>
      <c r="U951" s="11"/>
      <c r="V951" s="50"/>
      <c r="W951" s="50"/>
      <c r="X951" s="50"/>
      <c r="Y951" s="50"/>
      <c r="Z951" s="50"/>
      <c r="AA951" s="11"/>
      <c r="AB951" s="50"/>
      <c r="AC951" s="50"/>
      <c r="AD951" s="50"/>
      <c r="AE951" s="11"/>
      <c r="AF951" s="50"/>
      <c r="AG951" s="50"/>
      <c r="AH951" s="50"/>
      <c r="AI951" s="11"/>
      <c r="AJ951" s="50"/>
      <c r="AK951" s="50"/>
      <c r="AL951" s="50"/>
      <c r="AM951" s="11"/>
      <c r="AN951" s="50"/>
      <c r="AO951" s="50"/>
      <c r="AP951" s="50"/>
      <c r="AQ951" s="11"/>
      <c r="AR951" s="50"/>
      <c r="AS951" s="50"/>
      <c r="AT951" s="50"/>
      <c r="AU951" s="11"/>
      <c r="AV951" s="50"/>
      <c r="AW951" s="50"/>
      <c r="AX951" s="50"/>
      <c r="AY951" s="50"/>
      <c r="AZ951" s="50"/>
      <c r="BA951" s="50"/>
      <c r="BB951" s="50"/>
      <c r="BC951" s="50"/>
      <c r="BD951" s="50"/>
      <c r="BE951" s="20"/>
      <c r="BF951" s="518"/>
      <c r="BG951" s="484"/>
      <c r="BH951" s="484"/>
      <c r="BI951" s="527"/>
      <c r="BJ951" s="484"/>
      <c r="BK951" s="484"/>
      <c r="BL951" s="484"/>
      <c r="BM951" s="484"/>
    </row>
    <row r="952" spans="1:65" s="22" customFormat="1" x14ac:dyDescent="0.25">
      <c r="A952" s="20"/>
      <c r="B952" s="515"/>
      <c r="C952" s="11"/>
      <c r="D952" s="11"/>
      <c r="E952" s="11"/>
      <c r="F952" s="21"/>
      <c r="G952" s="11"/>
      <c r="H952" s="50"/>
      <c r="I952" s="50"/>
      <c r="J952" s="50"/>
      <c r="K952" s="11"/>
      <c r="L952" s="50"/>
      <c r="M952" s="50"/>
      <c r="N952" s="50"/>
      <c r="O952" s="50"/>
      <c r="P952" s="50"/>
      <c r="Q952" s="11"/>
      <c r="R952" s="50"/>
      <c r="S952" s="50"/>
      <c r="T952" s="50"/>
      <c r="U952" s="11"/>
      <c r="V952" s="50"/>
      <c r="W952" s="50"/>
      <c r="X952" s="50"/>
      <c r="Y952" s="50"/>
      <c r="Z952" s="50"/>
      <c r="AA952" s="11"/>
      <c r="AB952" s="50"/>
      <c r="AC952" s="50"/>
      <c r="AD952" s="50"/>
      <c r="AE952" s="11"/>
      <c r="AF952" s="50"/>
      <c r="AG952" s="50"/>
      <c r="AH952" s="50"/>
      <c r="AI952" s="11"/>
      <c r="AJ952" s="50"/>
      <c r="AK952" s="50"/>
      <c r="AL952" s="50"/>
      <c r="AM952" s="11"/>
      <c r="AN952" s="50"/>
      <c r="AO952" s="50"/>
      <c r="AP952" s="50"/>
      <c r="AQ952" s="11"/>
      <c r="AR952" s="50"/>
      <c r="AS952" s="50"/>
      <c r="AT952" s="50"/>
      <c r="AU952" s="11"/>
      <c r="AV952" s="50"/>
      <c r="AW952" s="50"/>
      <c r="AX952" s="50"/>
      <c r="AY952" s="50"/>
      <c r="AZ952" s="50"/>
      <c r="BA952" s="50"/>
      <c r="BB952" s="50"/>
      <c r="BC952" s="50"/>
      <c r="BD952" s="50"/>
      <c r="BE952" s="20"/>
      <c r="BF952" s="518"/>
      <c r="BG952" s="484"/>
      <c r="BH952" s="484"/>
      <c r="BI952" s="527"/>
      <c r="BJ952" s="484"/>
      <c r="BK952" s="484"/>
      <c r="BL952" s="484"/>
      <c r="BM952" s="484"/>
    </row>
    <row r="953" spans="1:65" s="22" customFormat="1" x14ac:dyDescent="0.25">
      <c r="A953" s="20"/>
      <c r="B953" s="515"/>
      <c r="C953" s="11"/>
      <c r="D953" s="11"/>
      <c r="E953" s="11"/>
      <c r="F953" s="21"/>
      <c r="G953" s="11"/>
      <c r="H953" s="50"/>
      <c r="I953" s="50"/>
      <c r="J953" s="50"/>
      <c r="K953" s="11"/>
      <c r="L953" s="50"/>
      <c r="M953" s="50"/>
      <c r="N953" s="50"/>
      <c r="O953" s="50"/>
      <c r="P953" s="50"/>
      <c r="Q953" s="11"/>
      <c r="R953" s="50"/>
      <c r="S953" s="50"/>
      <c r="T953" s="50"/>
      <c r="U953" s="11"/>
      <c r="V953" s="50"/>
      <c r="W953" s="50"/>
      <c r="X953" s="50"/>
      <c r="Y953" s="50"/>
      <c r="Z953" s="50"/>
      <c r="AA953" s="11"/>
      <c r="AB953" s="50"/>
      <c r="AC953" s="50"/>
      <c r="AD953" s="50"/>
      <c r="AE953" s="11"/>
      <c r="AF953" s="50"/>
      <c r="AG953" s="50"/>
      <c r="AH953" s="50"/>
      <c r="AI953" s="11"/>
      <c r="AJ953" s="50"/>
      <c r="AK953" s="50"/>
      <c r="AL953" s="50"/>
      <c r="AM953" s="11"/>
      <c r="AN953" s="50"/>
      <c r="AO953" s="50"/>
      <c r="AP953" s="50"/>
      <c r="AQ953" s="11"/>
      <c r="AR953" s="50"/>
      <c r="AS953" s="50"/>
      <c r="AT953" s="50"/>
      <c r="AU953" s="11"/>
      <c r="AV953" s="50"/>
      <c r="AW953" s="50"/>
      <c r="AX953" s="50"/>
      <c r="AY953" s="50"/>
      <c r="AZ953" s="50"/>
      <c r="BA953" s="50"/>
      <c r="BB953" s="50"/>
      <c r="BC953" s="50"/>
      <c r="BD953" s="50"/>
      <c r="BE953" s="20"/>
      <c r="BF953" s="518"/>
      <c r="BG953" s="484"/>
      <c r="BH953" s="484"/>
      <c r="BI953" s="527"/>
      <c r="BJ953" s="484"/>
      <c r="BK953" s="484"/>
      <c r="BL953" s="484"/>
      <c r="BM953" s="484"/>
    </row>
    <row r="954" spans="1:65" s="22" customFormat="1" x14ac:dyDescent="0.25">
      <c r="A954" s="20"/>
      <c r="B954" s="515"/>
      <c r="C954" s="11"/>
      <c r="D954" s="11"/>
      <c r="E954" s="11"/>
      <c r="F954" s="21"/>
      <c r="G954" s="11"/>
      <c r="H954" s="50"/>
      <c r="I954" s="50"/>
      <c r="J954" s="50"/>
      <c r="K954" s="11"/>
      <c r="L954" s="50"/>
      <c r="M954" s="50"/>
      <c r="N954" s="50"/>
      <c r="O954" s="50"/>
      <c r="P954" s="50"/>
      <c r="Q954" s="11"/>
      <c r="R954" s="50"/>
      <c r="S954" s="50"/>
      <c r="T954" s="50"/>
      <c r="U954" s="11"/>
      <c r="V954" s="50"/>
      <c r="W954" s="50"/>
      <c r="X954" s="50"/>
      <c r="Y954" s="50"/>
      <c r="Z954" s="50"/>
      <c r="AA954" s="11"/>
      <c r="AB954" s="50"/>
      <c r="AC954" s="50"/>
      <c r="AD954" s="50"/>
      <c r="AE954" s="11"/>
      <c r="AF954" s="50"/>
      <c r="AG954" s="50"/>
      <c r="AH954" s="50"/>
      <c r="AI954" s="11"/>
      <c r="AJ954" s="50"/>
      <c r="AK954" s="50"/>
      <c r="AL954" s="50"/>
      <c r="AM954" s="11"/>
      <c r="AN954" s="50"/>
      <c r="AO954" s="50"/>
      <c r="AP954" s="50"/>
      <c r="AQ954" s="11"/>
      <c r="AR954" s="50"/>
      <c r="AS954" s="50"/>
      <c r="AT954" s="50"/>
      <c r="AU954" s="11"/>
      <c r="AV954" s="50"/>
      <c r="AW954" s="50"/>
      <c r="AX954" s="50"/>
      <c r="AY954" s="50"/>
      <c r="AZ954" s="50"/>
      <c r="BA954" s="50"/>
      <c r="BB954" s="50"/>
      <c r="BC954" s="50"/>
      <c r="BD954" s="50"/>
      <c r="BE954" s="20"/>
      <c r="BF954" s="518"/>
      <c r="BG954" s="484"/>
      <c r="BH954" s="484"/>
      <c r="BI954" s="527"/>
      <c r="BJ954" s="484"/>
      <c r="BK954" s="484"/>
      <c r="BL954" s="484"/>
      <c r="BM954" s="484"/>
    </row>
    <row r="955" spans="1:65" s="22" customFormat="1" x14ac:dyDescent="0.25">
      <c r="A955" s="20"/>
      <c r="B955" s="515"/>
      <c r="C955" s="11"/>
      <c r="D955" s="11"/>
      <c r="E955" s="11"/>
      <c r="F955" s="21"/>
      <c r="G955" s="11"/>
      <c r="H955" s="50"/>
      <c r="I955" s="50"/>
      <c r="J955" s="50"/>
      <c r="K955" s="11"/>
      <c r="L955" s="50"/>
      <c r="M955" s="50"/>
      <c r="N955" s="50"/>
      <c r="O955" s="50"/>
      <c r="P955" s="50"/>
      <c r="Q955" s="11"/>
      <c r="R955" s="50"/>
      <c r="S955" s="50"/>
      <c r="T955" s="50"/>
      <c r="U955" s="11"/>
      <c r="V955" s="50"/>
      <c r="W955" s="50"/>
      <c r="X955" s="50"/>
      <c r="Y955" s="50"/>
      <c r="Z955" s="50"/>
      <c r="AA955" s="11"/>
      <c r="AB955" s="50"/>
      <c r="AC955" s="50"/>
      <c r="AD955" s="50"/>
      <c r="AE955" s="11"/>
      <c r="AF955" s="50"/>
      <c r="AG955" s="50"/>
      <c r="AH955" s="50"/>
      <c r="AI955" s="11"/>
      <c r="AJ955" s="50"/>
      <c r="AK955" s="50"/>
      <c r="AL955" s="50"/>
      <c r="AM955" s="11"/>
      <c r="AN955" s="50"/>
      <c r="AO955" s="50"/>
      <c r="AP955" s="50"/>
      <c r="AQ955" s="11"/>
      <c r="AR955" s="50"/>
      <c r="AS955" s="50"/>
      <c r="AT955" s="50"/>
      <c r="AU955" s="11"/>
      <c r="AV955" s="50"/>
      <c r="AW955" s="50"/>
      <c r="AX955" s="50"/>
      <c r="AY955" s="50"/>
      <c r="AZ955" s="50"/>
      <c r="BA955" s="50"/>
      <c r="BB955" s="50"/>
      <c r="BC955" s="50"/>
      <c r="BD955" s="50"/>
      <c r="BE955" s="20"/>
      <c r="BF955" s="518"/>
      <c r="BG955" s="484"/>
      <c r="BH955" s="484"/>
      <c r="BI955" s="527"/>
      <c r="BJ955" s="484"/>
      <c r="BK955" s="484"/>
      <c r="BL955" s="484"/>
      <c r="BM955" s="484"/>
    </row>
    <row r="956" spans="1:65" s="22" customFormat="1" x14ac:dyDescent="0.25">
      <c r="A956" s="20"/>
      <c r="B956" s="515"/>
      <c r="C956" s="11"/>
      <c r="D956" s="11"/>
      <c r="E956" s="11"/>
      <c r="F956" s="21"/>
      <c r="G956" s="11"/>
      <c r="H956" s="50"/>
      <c r="I956" s="50"/>
      <c r="J956" s="50"/>
      <c r="K956" s="11"/>
      <c r="L956" s="50"/>
      <c r="M956" s="50"/>
      <c r="N956" s="50"/>
      <c r="O956" s="50"/>
      <c r="P956" s="50"/>
      <c r="Q956" s="11"/>
      <c r="R956" s="50"/>
      <c r="S956" s="50"/>
      <c r="T956" s="50"/>
      <c r="U956" s="11"/>
      <c r="V956" s="50"/>
      <c r="W956" s="50"/>
      <c r="X956" s="50"/>
      <c r="Y956" s="50"/>
      <c r="Z956" s="50"/>
      <c r="AA956" s="11"/>
      <c r="AB956" s="50"/>
      <c r="AC956" s="50"/>
      <c r="AD956" s="50"/>
      <c r="AE956" s="11"/>
      <c r="AF956" s="50"/>
      <c r="AG956" s="50"/>
      <c r="AH956" s="50"/>
      <c r="AI956" s="11"/>
      <c r="AJ956" s="50"/>
      <c r="AK956" s="50"/>
      <c r="AL956" s="50"/>
      <c r="AM956" s="11"/>
      <c r="AN956" s="50"/>
      <c r="AO956" s="50"/>
      <c r="AP956" s="50"/>
      <c r="AQ956" s="11"/>
      <c r="AR956" s="50"/>
      <c r="AS956" s="50"/>
      <c r="AT956" s="50"/>
      <c r="AU956" s="11"/>
      <c r="AV956" s="50"/>
      <c r="AW956" s="50"/>
      <c r="AX956" s="50"/>
      <c r="AY956" s="50"/>
      <c r="AZ956" s="50"/>
      <c r="BA956" s="50"/>
      <c r="BB956" s="50"/>
      <c r="BC956" s="50"/>
      <c r="BD956" s="50"/>
      <c r="BE956" s="20"/>
      <c r="BF956" s="518"/>
      <c r="BG956" s="484"/>
      <c r="BH956" s="484"/>
      <c r="BI956" s="527"/>
      <c r="BJ956" s="484"/>
      <c r="BK956" s="484"/>
      <c r="BL956" s="484"/>
      <c r="BM956" s="484"/>
    </row>
    <row r="957" spans="1:65" s="22" customFormat="1" x14ac:dyDescent="0.25">
      <c r="A957" s="20"/>
      <c r="B957" s="515"/>
      <c r="C957" s="11"/>
      <c r="D957" s="11"/>
      <c r="E957" s="11"/>
      <c r="F957" s="21"/>
      <c r="G957" s="11"/>
      <c r="H957" s="50"/>
      <c r="I957" s="50"/>
      <c r="J957" s="50"/>
      <c r="K957" s="11"/>
      <c r="L957" s="50"/>
      <c r="M957" s="50"/>
      <c r="N957" s="50"/>
      <c r="O957" s="50"/>
      <c r="P957" s="50"/>
      <c r="Q957" s="11"/>
      <c r="R957" s="50"/>
      <c r="S957" s="50"/>
      <c r="T957" s="50"/>
      <c r="U957" s="11"/>
      <c r="V957" s="50"/>
      <c r="W957" s="50"/>
      <c r="X957" s="50"/>
      <c r="Y957" s="50"/>
      <c r="Z957" s="50"/>
      <c r="AA957" s="11"/>
      <c r="AB957" s="50"/>
      <c r="AC957" s="50"/>
      <c r="AD957" s="50"/>
      <c r="AE957" s="11"/>
      <c r="AF957" s="50"/>
      <c r="AG957" s="50"/>
      <c r="AH957" s="50"/>
      <c r="AI957" s="11"/>
      <c r="AJ957" s="50"/>
      <c r="AK957" s="50"/>
      <c r="AL957" s="50"/>
      <c r="AM957" s="11"/>
      <c r="AN957" s="50"/>
      <c r="AO957" s="50"/>
      <c r="AP957" s="50"/>
      <c r="AQ957" s="11"/>
      <c r="AR957" s="50"/>
      <c r="AS957" s="50"/>
      <c r="AT957" s="50"/>
      <c r="AU957" s="11"/>
      <c r="AV957" s="50"/>
      <c r="AW957" s="50"/>
      <c r="AX957" s="50"/>
      <c r="AY957" s="50"/>
      <c r="AZ957" s="50"/>
      <c r="BA957" s="50"/>
      <c r="BB957" s="50"/>
      <c r="BC957" s="50"/>
      <c r="BD957" s="50"/>
      <c r="BE957" s="20"/>
      <c r="BF957" s="518"/>
      <c r="BG957" s="484"/>
      <c r="BH957" s="484"/>
      <c r="BI957" s="527"/>
      <c r="BJ957" s="484"/>
      <c r="BK957" s="484"/>
      <c r="BL957" s="484"/>
      <c r="BM957" s="484"/>
    </row>
    <row r="958" spans="1:65" s="22" customFormat="1" x14ac:dyDescent="0.25">
      <c r="A958" s="20"/>
      <c r="B958" s="515"/>
      <c r="C958" s="11"/>
      <c r="D958" s="11"/>
      <c r="E958" s="11"/>
      <c r="F958" s="21"/>
      <c r="G958" s="11"/>
      <c r="H958" s="50"/>
      <c r="I958" s="50"/>
      <c r="J958" s="50"/>
      <c r="K958" s="11"/>
      <c r="L958" s="50"/>
      <c r="M958" s="50"/>
      <c r="N958" s="50"/>
      <c r="O958" s="50"/>
      <c r="P958" s="50"/>
      <c r="Q958" s="11"/>
      <c r="R958" s="50"/>
      <c r="S958" s="50"/>
      <c r="T958" s="50"/>
      <c r="U958" s="11"/>
      <c r="V958" s="50"/>
      <c r="W958" s="50"/>
      <c r="X958" s="50"/>
      <c r="Y958" s="50"/>
      <c r="Z958" s="50"/>
      <c r="AA958" s="11"/>
      <c r="AB958" s="50"/>
      <c r="AC958" s="50"/>
      <c r="AD958" s="50"/>
      <c r="AE958" s="11"/>
      <c r="AF958" s="50"/>
      <c r="AG958" s="50"/>
      <c r="AH958" s="50"/>
      <c r="AI958" s="11"/>
      <c r="AJ958" s="50"/>
      <c r="AK958" s="50"/>
      <c r="AL958" s="50"/>
      <c r="AM958" s="11"/>
      <c r="AN958" s="50"/>
      <c r="AO958" s="50"/>
      <c r="AP958" s="50"/>
      <c r="AQ958" s="11"/>
      <c r="AR958" s="50"/>
      <c r="AS958" s="50"/>
      <c r="AT958" s="50"/>
      <c r="AU958" s="11"/>
      <c r="AV958" s="50"/>
      <c r="AW958" s="50"/>
      <c r="AX958" s="50"/>
      <c r="AY958" s="50"/>
      <c r="AZ958" s="50"/>
      <c r="BA958" s="50"/>
      <c r="BB958" s="50"/>
      <c r="BC958" s="50"/>
      <c r="BD958" s="50"/>
      <c r="BE958" s="20"/>
      <c r="BF958" s="518"/>
      <c r="BG958" s="484"/>
      <c r="BH958" s="484"/>
      <c r="BI958" s="527"/>
      <c r="BJ958" s="484"/>
      <c r="BK958" s="484"/>
      <c r="BL958" s="484"/>
      <c r="BM958" s="484"/>
    </row>
    <row r="959" spans="1:65" s="22" customFormat="1" x14ac:dyDescent="0.25">
      <c r="A959" s="20"/>
      <c r="B959" s="515"/>
      <c r="C959" s="11"/>
      <c r="D959" s="11"/>
      <c r="E959" s="11"/>
      <c r="F959" s="21"/>
      <c r="G959" s="11"/>
      <c r="H959" s="50"/>
      <c r="I959" s="50"/>
      <c r="J959" s="50"/>
      <c r="K959" s="11"/>
      <c r="L959" s="50"/>
      <c r="M959" s="50"/>
      <c r="N959" s="50"/>
      <c r="O959" s="50"/>
      <c r="P959" s="50"/>
      <c r="Q959" s="11"/>
      <c r="R959" s="50"/>
      <c r="S959" s="50"/>
      <c r="T959" s="50"/>
      <c r="U959" s="11"/>
      <c r="V959" s="50"/>
      <c r="W959" s="50"/>
      <c r="X959" s="50"/>
      <c r="Y959" s="50"/>
      <c r="Z959" s="50"/>
      <c r="AA959" s="11"/>
      <c r="AB959" s="50"/>
      <c r="AC959" s="50"/>
      <c r="AD959" s="50"/>
      <c r="AE959" s="11"/>
      <c r="AF959" s="50"/>
      <c r="AG959" s="50"/>
      <c r="AH959" s="50"/>
      <c r="AI959" s="11"/>
      <c r="AJ959" s="50"/>
      <c r="AK959" s="50"/>
      <c r="AL959" s="50"/>
      <c r="AM959" s="11"/>
      <c r="AN959" s="50"/>
      <c r="AO959" s="50"/>
      <c r="AP959" s="50"/>
      <c r="AQ959" s="11"/>
      <c r="AR959" s="50"/>
      <c r="AS959" s="50"/>
      <c r="AT959" s="50"/>
      <c r="AU959" s="11"/>
      <c r="AV959" s="50"/>
      <c r="AW959" s="50"/>
      <c r="AX959" s="50"/>
      <c r="AY959" s="50"/>
      <c r="AZ959" s="50"/>
      <c r="BA959" s="50"/>
      <c r="BB959" s="50"/>
      <c r="BC959" s="50"/>
      <c r="BD959" s="50"/>
      <c r="BE959" s="20"/>
      <c r="BF959" s="518"/>
      <c r="BG959" s="484"/>
      <c r="BH959" s="484"/>
      <c r="BI959" s="527"/>
      <c r="BJ959" s="484"/>
      <c r="BK959" s="484"/>
      <c r="BL959" s="484"/>
      <c r="BM959" s="484"/>
    </row>
    <row r="960" spans="1:65" s="22" customFormat="1" x14ac:dyDescent="0.25">
      <c r="A960" s="20"/>
      <c r="B960" s="515"/>
      <c r="C960" s="11"/>
      <c r="D960" s="11"/>
      <c r="E960" s="11"/>
      <c r="F960" s="21"/>
      <c r="G960" s="11"/>
      <c r="H960" s="50"/>
      <c r="I960" s="50"/>
      <c r="J960" s="50"/>
      <c r="K960" s="11"/>
      <c r="L960" s="50"/>
      <c r="M960" s="50"/>
      <c r="N960" s="50"/>
      <c r="O960" s="50"/>
      <c r="P960" s="50"/>
      <c r="Q960" s="11"/>
      <c r="R960" s="50"/>
      <c r="S960" s="50"/>
      <c r="T960" s="50"/>
      <c r="U960" s="11"/>
      <c r="V960" s="50"/>
      <c r="W960" s="50"/>
      <c r="X960" s="50"/>
      <c r="Y960" s="50"/>
      <c r="Z960" s="50"/>
      <c r="AA960" s="11"/>
      <c r="AB960" s="50"/>
      <c r="AC960" s="50"/>
      <c r="AD960" s="50"/>
      <c r="AE960" s="11"/>
      <c r="AF960" s="50"/>
      <c r="AG960" s="50"/>
      <c r="AH960" s="50"/>
      <c r="AI960" s="11"/>
      <c r="AJ960" s="50"/>
      <c r="AK960" s="50"/>
      <c r="AL960" s="50"/>
      <c r="AM960" s="11"/>
      <c r="AN960" s="50"/>
      <c r="AO960" s="50"/>
      <c r="AP960" s="50"/>
      <c r="AQ960" s="11"/>
      <c r="AR960" s="50"/>
      <c r="AS960" s="50"/>
      <c r="AT960" s="50"/>
      <c r="AU960" s="11"/>
      <c r="AV960" s="50"/>
      <c r="AW960" s="50"/>
      <c r="AX960" s="50"/>
      <c r="AY960" s="50"/>
      <c r="AZ960" s="50"/>
      <c r="BA960" s="50"/>
      <c r="BB960" s="50"/>
      <c r="BC960" s="50"/>
      <c r="BD960" s="50"/>
      <c r="BE960" s="20"/>
      <c r="BF960" s="518"/>
      <c r="BG960" s="484"/>
      <c r="BH960" s="484"/>
      <c r="BI960" s="527"/>
      <c r="BJ960" s="484"/>
      <c r="BK960" s="484"/>
      <c r="BL960" s="484"/>
      <c r="BM960" s="484"/>
    </row>
    <row r="961" spans="1:65" s="22" customFormat="1" x14ac:dyDescent="0.25">
      <c r="A961" s="20"/>
      <c r="B961" s="515"/>
      <c r="C961" s="11"/>
      <c r="D961" s="11"/>
      <c r="E961" s="11"/>
      <c r="F961" s="21"/>
      <c r="G961" s="11"/>
      <c r="H961" s="50"/>
      <c r="I961" s="50"/>
      <c r="J961" s="50"/>
      <c r="K961" s="11"/>
      <c r="L961" s="50"/>
      <c r="M961" s="50"/>
      <c r="N961" s="50"/>
      <c r="O961" s="50"/>
      <c r="P961" s="50"/>
      <c r="Q961" s="11"/>
      <c r="R961" s="50"/>
      <c r="S961" s="50"/>
      <c r="T961" s="50"/>
      <c r="U961" s="11"/>
      <c r="V961" s="50"/>
      <c r="W961" s="50"/>
      <c r="X961" s="50"/>
      <c r="Y961" s="50"/>
      <c r="Z961" s="50"/>
      <c r="AA961" s="11"/>
      <c r="AB961" s="50"/>
      <c r="AC961" s="50"/>
      <c r="AD961" s="50"/>
      <c r="AE961" s="11"/>
      <c r="AF961" s="50"/>
      <c r="AG961" s="50"/>
      <c r="AH961" s="50"/>
      <c r="AI961" s="11"/>
      <c r="AJ961" s="50"/>
      <c r="AK961" s="50"/>
      <c r="AL961" s="50"/>
      <c r="AM961" s="11"/>
      <c r="AN961" s="50"/>
      <c r="AO961" s="50"/>
      <c r="AP961" s="50"/>
      <c r="AQ961" s="11"/>
      <c r="AR961" s="50"/>
      <c r="AS961" s="50"/>
      <c r="AT961" s="50"/>
      <c r="AU961" s="11"/>
      <c r="AV961" s="50"/>
      <c r="AW961" s="50"/>
      <c r="AX961" s="50"/>
      <c r="AY961" s="50"/>
      <c r="AZ961" s="50"/>
      <c r="BA961" s="50"/>
      <c r="BB961" s="50"/>
      <c r="BC961" s="50"/>
      <c r="BD961" s="50"/>
      <c r="BE961" s="20"/>
      <c r="BF961" s="518"/>
      <c r="BG961" s="484"/>
      <c r="BH961" s="484"/>
      <c r="BI961" s="527"/>
      <c r="BJ961" s="484"/>
      <c r="BK961" s="484"/>
      <c r="BL961" s="484"/>
      <c r="BM961" s="484"/>
    </row>
    <row r="962" spans="1:65" s="22" customFormat="1" x14ac:dyDescent="0.25">
      <c r="A962" s="20"/>
      <c r="B962" s="515"/>
      <c r="C962" s="11"/>
      <c r="D962" s="11"/>
      <c r="E962" s="11"/>
      <c r="F962" s="21"/>
      <c r="G962" s="11"/>
      <c r="H962" s="50"/>
      <c r="I962" s="50"/>
      <c r="J962" s="50"/>
      <c r="K962" s="11"/>
      <c r="L962" s="50"/>
      <c r="M962" s="50"/>
      <c r="N962" s="50"/>
      <c r="O962" s="50"/>
      <c r="P962" s="50"/>
      <c r="Q962" s="11"/>
      <c r="R962" s="50"/>
      <c r="S962" s="50"/>
      <c r="T962" s="50"/>
      <c r="U962" s="11"/>
      <c r="V962" s="50"/>
      <c r="W962" s="50"/>
      <c r="X962" s="50"/>
      <c r="Y962" s="50"/>
      <c r="Z962" s="50"/>
      <c r="AA962" s="11"/>
      <c r="AB962" s="50"/>
      <c r="AC962" s="50"/>
      <c r="AD962" s="50"/>
      <c r="AE962" s="11"/>
      <c r="AF962" s="50"/>
      <c r="AG962" s="50"/>
      <c r="AH962" s="50"/>
      <c r="AI962" s="11"/>
      <c r="AJ962" s="50"/>
      <c r="AK962" s="50"/>
      <c r="AL962" s="50"/>
      <c r="AM962" s="11"/>
      <c r="AN962" s="50"/>
      <c r="AO962" s="50"/>
      <c r="AP962" s="50"/>
      <c r="AQ962" s="11"/>
      <c r="AR962" s="50"/>
      <c r="AS962" s="50"/>
      <c r="AT962" s="50"/>
      <c r="AU962" s="11"/>
      <c r="AV962" s="50"/>
      <c r="AW962" s="50"/>
      <c r="AX962" s="50"/>
      <c r="AY962" s="50"/>
      <c r="AZ962" s="50"/>
      <c r="BA962" s="50"/>
      <c r="BB962" s="50"/>
      <c r="BC962" s="50"/>
      <c r="BD962" s="50"/>
      <c r="BE962" s="20"/>
      <c r="BF962" s="518"/>
      <c r="BG962" s="484"/>
      <c r="BH962" s="484"/>
      <c r="BI962" s="527"/>
      <c r="BJ962" s="484"/>
      <c r="BK962" s="484"/>
      <c r="BL962" s="484"/>
      <c r="BM962" s="484"/>
    </row>
    <row r="963" spans="1:65" s="22" customFormat="1" x14ac:dyDescent="0.25">
      <c r="A963" s="20"/>
      <c r="B963" s="515"/>
      <c r="C963" s="11"/>
      <c r="D963" s="11"/>
      <c r="E963" s="11"/>
      <c r="F963" s="21"/>
      <c r="G963" s="11"/>
      <c r="H963" s="50"/>
      <c r="I963" s="50"/>
      <c r="J963" s="50"/>
      <c r="K963" s="11"/>
      <c r="L963" s="50"/>
      <c r="M963" s="50"/>
      <c r="N963" s="50"/>
      <c r="O963" s="50"/>
      <c r="P963" s="50"/>
      <c r="Q963" s="11"/>
      <c r="R963" s="50"/>
      <c r="S963" s="50"/>
      <c r="T963" s="50"/>
      <c r="U963" s="11"/>
      <c r="V963" s="50"/>
      <c r="W963" s="50"/>
      <c r="X963" s="50"/>
      <c r="Y963" s="50"/>
      <c r="Z963" s="50"/>
      <c r="AA963" s="11"/>
      <c r="AB963" s="50"/>
      <c r="AC963" s="50"/>
      <c r="AD963" s="50"/>
      <c r="AE963" s="11"/>
      <c r="AF963" s="50"/>
      <c r="AG963" s="50"/>
      <c r="AH963" s="50"/>
      <c r="AI963" s="11"/>
      <c r="AJ963" s="50"/>
      <c r="AK963" s="50"/>
      <c r="AL963" s="50"/>
      <c r="AM963" s="11"/>
      <c r="AN963" s="50"/>
      <c r="AO963" s="50"/>
      <c r="AP963" s="50"/>
      <c r="AQ963" s="11"/>
      <c r="AR963" s="50"/>
      <c r="AS963" s="50"/>
      <c r="AT963" s="50"/>
      <c r="AU963" s="11"/>
      <c r="AV963" s="50"/>
      <c r="AW963" s="50"/>
      <c r="AX963" s="50"/>
      <c r="AY963" s="50"/>
      <c r="AZ963" s="50"/>
      <c r="BA963" s="50"/>
      <c r="BB963" s="50"/>
      <c r="BC963" s="50"/>
      <c r="BD963" s="50"/>
      <c r="BE963" s="20"/>
      <c r="BF963" s="518"/>
      <c r="BG963" s="484"/>
      <c r="BH963" s="484"/>
      <c r="BI963" s="527"/>
      <c r="BJ963" s="484"/>
      <c r="BK963" s="484"/>
      <c r="BL963" s="484"/>
      <c r="BM963" s="484"/>
    </row>
    <row r="964" spans="1:65" s="22" customFormat="1" x14ac:dyDescent="0.25">
      <c r="A964" s="20"/>
      <c r="B964" s="515"/>
      <c r="C964" s="11"/>
      <c r="D964" s="11"/>
      <c r="E964" s="11"/>
      <c r="F964" s="21"/>
      <c r="G964" s="11"/>
      <c r="H964" s="50"/>
      <c r="I964" s="50"/>
      <c r="J964" s="50"/>
      <c r="K964" s="11"/>
      <c r="L964" s="50"/>
      <c r="M964" s="50"/>
      <c r="N964" s="50"/>
      <c r="O964" s="50"/>
      <c r="P964" s="50"/>
      <c r="Q964" s="11"/>
      <c r="R964" s="50"/>
      <c r="S964" s="50"/>
      <c r="T964" s="50"/>
      <c r="U964" s="11"/>
      <c r="V964" s="50"/>
      <c r="W964" s="50"/>
      <c r="X964" s="50"/>
      <c r="Y964" s="50"/>
      <c r="Z964" s="50"/>
      <c r="AA964" s="11"/>
      <c r="AB964" s="50"/>
      <c r="AC964" s="50"/>
      <c r="AD964" s="50"/>
      <c r="AE964" s="11"/>
      <c r="AF964" s="50"/>
      <c r="AG964" s="50"/>
      <c r="AH964" s="50"/>
      <c r="AI964" s="11"/>
      <c r="AJ964" s="50"/>
      <c r="AK964" s="50"/>
      <c r="AL964" s="50"/>
      <c r="AM964" s="11"/>
      <c r="AN964" s="50"/>
      <c r="AO964" s="50"/>
      <c r="AP964" s="50"/>
      <c r="AQ964" s="11"/>
      <c r="AR964" s="50"/>
      <c r="AS964" s="50"/>
      <c r="AT964" s="50"/>
      <c r="AU964" s="11"/>
      <c r="AV964" s="50"/>
      <c r="AW964" s="50"/>
      <c r="AX964" s="50"/>
      <c r="AY964" s="50"/>
      <c r="AZ964" s="50"/>
      <c r="BA964" s="50"/>
      <c r="BB964" s="50"/>
      <c r="BC964" s="50"/>
      <c r="BD964" s="50"/>
      <c r="BE964" s="20"/>
      <c r="BF964" s="518"/>
      <c r="BG964" s="484"/>
      <c r="BH964" s="484"/>
      <c r="BI964" s="527"/>
      <c r="BJ964" s="484"/>
      <c r="BK964" s="484"/>
      <c r="BL964" s="484"/>
      <c r="BM964" s="484"/>
    </row>
    <row r="965" spans="1:65" s="22" customFormat="1" x14ac:dyDescent="0.25">
      <c r="A965" s="20"/>
      <c r="B965" s="515"/>
      <c r="C965" s="11"/>
      <c r="D965" s="11"/>
      <c r="E965" s="11"/>
      <c r="F965" s="21"/>
      <c r="G965" s="11"/>
      <c r="H965" s="50"/>
      <c r="I965" s="50"/>
      <c r="J965" s="50"/>
      <c r="K965" s="11"/>
      <c r="L965" s="50"/>
      <c r="M965" s="50"/>
      <c r="N965" s="50"/>
      <c r="O965" s="50"/>
      <c r="P965" s="50"/>
      <c r="Q965" s="11"/>
      <c r="R965" s="50"/>
      <c r="S965" s="50"/>
      <c r="T965" s="50"/>
      <c r="U965" s="11"/>
      <c r="V965" s="50"/>
      <c r="W965" s="50"/>
      <c r="X965" s="50"/>
      <c r="Y965" s="50"/>
      <c r="Z965" s="50"/>
      <c r="AA965" s="11"/>
      <c r="AB965" s="50"/>
      <c r="AC965" s="50"/>
      <c r="AD965" s="50"/>
      <c r="AE965" s="11"/>
      <c r="AF965" s="50"/>
      <c r="AG965" s="50"/>
      <c r="AH965" s="50"/>
      <c r="AI965" s="11"/>
      <c r="AJ965" s="50"/>
      <c r="AK965" s="50"/>
      <c r="AL965" s="50"/>
      <c r="AM965" s="11"/>
      <c r="AN965" s="50"/>
      <c r="AO965" s="50"/>
      <c r="AP965" s="50"/>
      <c r="AQ965" s="11"/>
      <c r="AR965" s="50"/>
      <c r="AS965" s="50"/>
      <c r="AT965" s="50"/>
      <c r="AU965" s="11"/>
      <c r="AV965" s="50"/>
      <c r="AW965" s="50"/>
      <c r="AX965" s="50"/>
      <c r="AY965" s="50"/>
      <c r="AZ965" s="50"/>
      <c r="BA965" s="50"/>
      <c r="BB965" s="50"/>
      <c r="BC965" s="50"/>
      <c r="BD965" s="50"/>
      <c r="BE965" s="20"/>
      <c r="BF965" s="518"/>
      <c r="BG965" s="484"/>
      <c r="BH965" s="484"/>
      <c r="BI965" s="527"/>
      <c r="BJ965" s="484"/>
      <c r="BK965" s="484"/>
      <c r="BL965" s="484"/>
      <c r="BM965" s="484"/>
    </row>
    <row r="966" spans="1:65" s="22" customFormat="1" x14ac:dyDescent="0.25">
      <c r="A966" s="20"/>
      <c r="B966" s="515"/>
      <c r="C966" s="11"/>
      <c r="D966" s="11"/>
      <c r="E966" s="11"/>
      <c r="F966" s="21"/>
      <c r="G966" s="11"/>
      <c r="H966" s="50"/>
      <c r="I966" s="50"/>
      <c r="J966" s="50"/>
      <c r="K966" s="11"/>
      <c r="L966" s="50"/>
      <c r="M966" s="50"/>
      <c r="N966" s="50"/>
      <c r="O966" s="50"/>
      <c r="P966" s="50"/>
      <c r="Q966" s="11"/>
      <c r="R966" s="50"/>
      <c r="S966" s="50"/>
      <c r="T966" s="50"/>
      <c r="U966" s="11"/>
      <c r="V966" s="50"/>
      <c r="W966" s="50"/>
      <c r="X966" s="50"/>
      <c r="Y966" s="50"/>
      <c r="Z966" s="50"/>
      <c r="AA966" s="11"/>
      <c r="AB966" s="50"/>
      <c r="AC966" s="50"/>
      <c r="AD966" s="50"/>
      <c r="AE966" s="11"/>
      <c r="AF966" s="50"/>
      <c r="AG966" s="50"/>
      <c r="AH966" s="50"/>
      <c r="AI966" s="11"/>
      <c r="AJ966" s="50"/>
      <c r="AK966" s="50"/>
      <c r="AL966" s="50"/>
      <c r="AM966" s="11"/>
      <c r="AN966" s="50"/>
      <c r="AO966" s="50"/>
      <c r="AP966" s="50"/>
      <c r="AQ966" s="11"/>
      <c r="AR966" s="50"/>
      <c r="AS966" s="50"/>
      <c r="AT966" s="50"/>
      <c r="AU966" s="11"/>
      <c r="AV966" s="50"/>
      <c r="AW966" s="50"/>
      <c r="AX966" s="50"/>
      <c r="AY966" s="50"/>
      <c r="AZ966" s="50"/>
      <c r="BA966" s="50"/>
      <c r="BB966" s="50"/>
      <c r="BC966" s="50"/>
      <c r="BD966" s="50"/>
      <c r="BE966" s="20"/>
      <c r="BF966" s="518"/>
      <c r="BG966" s="484"/>
      <c r="BH966" s="484"/>
      <c r="BI966" s="527"/>
      <c r="BJ966" s="484"/>
      <c r="BK966" s="484"/>
      <c r="BL966" s="484"/>
      <c r="BM966" s="484"/>
    </row>
    <row r="967" spans="1:65" s="22" customFormat="1" x14ac:dyDescent="0.25">
      <c r="A967" s="20"/>
      <c r="B967" s="515"/>
      <c r="C967" s="11"/>
      <c r="D967" s="11"/>
      <c r="E967" s="11"/>
      <c r="F967" s="21"/>
      <c r="G967" s="11"/>
      <c r="H967" s="50"/>
      <c r="I967" s="50"/>
      <c r="J967" s="50"/>
      <c r="K967" s="11"/>
      <c r="L967" s="50"/>
      <c r="M967" s="50"/>
      <c r="N967" s="50"/>
      <c r="O967" s="50"/>
      <c r="P967" s="50"/>
      <c r="Q967" s="11"/>
      <c r="R967" s="50"/>
      <c r="S967" s="50"/>
      <c r="T967" s="50"/>
      <c r="U967" s="11"/>
      <c r="V967" s="50"/>
      <c r="W967" s="50"/>
      <c r="X967" s="50"/>
      <c r="Y967" s="50"/>
      <c r="Z967" s="50"/>
      <c r="AA967" s="11"/>
      <c r="AB967" s="50"/>
      <c r="AC967" s="50"/>
      <c r="AD967" s="50"/>
      <c r="AE967" s="11"/>
      <c r="AF967" s="50"/>
      <c r="AG967" s="50"/>
      <c r="AH967" s="50"/>
      <c r="AI967" s="11"/>
      <c r="AJ967" s="50"/>
      <c r="AK967" s="50"/>
      <c r="AL967" s="50"/>
      <c r="AM967" s="11"/>
      <c r="AN967" s="50"/>
      <c r="AO967" s="50"/>
      <c r="AP967" s="50"/>
      <c r="AQ967" s="11"/>
      <c r="AR967" s="50"/>
      <c r="AS967" s="50"/>
      <c r="AT967" s="50"/>
      <c r="AU967" s="11"/>
      <c r="AV967" s="50"/>
      <c r="AW967" s="50"/>
      <c r="AX967" s="50"/>
      <c r="AY967" s="50"/>
      <c r="AZ967" s="50"/>
      <c r="BA967" s="50"/>
      <c r="BB967" s="50"/>
      <c r="BC967" s="50"/>
      <c r="BD967" s="50"/>
      <c r="BE967" s="20"/>
      <c r="BF967" s="518"/>
      <c r="BG967" s="484"/>
      <c r="BH967" s="484"/>
      <c r="BI967" s="527"/>
      <c r="BJ967" s="484"/>
      <c r="BK967" s="484"/>
      <c r="BL967" s="484"/>
      <c r="BM967" s="484"/>
    </row>
    <row r="968" spans="1:65" s="22" customFormat="1" x14ac:dyDescent="0.25">
      <c r="A968" s="20"/>
      <c r="B968" s="515"/>
      <c r="C968" s="11"/>
      <c r="D968" s="11"/>
      <c r="E968" s="11"/>
      <c r="F968" s="21"/>
      <c r="G968" s="11"/>
      <c r="H968" s="50"/>
      <c r="I968" s="50"/>
      <c r="J968" s="50"/>
      <c r="K968" s="11"/>
      <c r="L968" s="50"/>
      <c r="M968" s="50"/>
      <c r="N968" s="50"/>
      <c r="O968" s="50"/>
      <c r="P968" s="50"/>
      <c r="Q968" s="11"/>
      <c r="R968" s="50"/>
      <c r="S968" s="50"/>
      <c r="T968" s="50"/>
      <c r="U968" s="11"/>
      <c r="V968" s="50"/>
      <c r="W968" s="50"/>
      <c r="X968" s="50"/>
      <c r="Y968" s="50"/>
      <c r="Z968" s="50"/>
      <c r="AA968" s="11"/>
      <c r="AB968" s="50"/>
      <c r="AC968" s="50"/>
      <c r="AD968" s="50"/>
      <c r="AE968" s="11"/>
      <c r="AF968" s="50"/>
      <c r="AG968" s="50"/>
      <c r="AH968" s="50"/>
      <c r="AI968" s="11"/>
      <c r="AJ968" s="50"/>
      <c r="AK968" s="50"/>
      <c r="AL968" s="50"/>
      <c r="AM968" s="11"/>
      <c r="AN968" s="50"/>
      <c r="AO968" s="50"/>
      <c r="AP968" s="50"/>
      <c r="AQ968" s="11"/>
      <c r="AR968" s="50"/>
      <c r="AS968" s="50"/>
      <c r="AT968" s="50"/>
      <c r="AU968" s="11"/>
      <c r="AV968" s="50"/>
      <c r="AW968" s="50"/>
      <c r="AX968" s="50"/>
      <c r="AY968" s="50"/>
      <c r="AZ968" s="50"/>
      <c r="BA968" s="50"/>
      <c r="BB968" s="50"/>
      <c r="BC968" s="50"/>
      <c r="BD968" s="50"/>
      <c r="BE968" s="20"/>
      <c r="BF968" s="518"/>
      <c r="BG968" s="484"/>
      <c r="BH968" s="484"/>
      <c r="BI968" s="527"/>
      <c r="BJ968" s="484"/>
      <c r="BK968" s="484"/>
      <c r="BL968" s="484"/>
      <c r="BM968" s="484"/>
    </row>
    <row r="969" spans="1:65" s="22" customFormat="1" x14ac:dyDescent="0.25">
      <c r="A969" s="20"/>
      <c r="B969" s="515"/>
      <c r="C969" s="11"/>
      <c r="D969" s="11"/>
      <c r="E969" s="11"/>
      <c r="F969" s="21"/>
      <c r="G969" s="11"/>
      <c r="H969" s="50"/>
      <c r="I969" s="50"/>
      <c r="J969" s="50"/>
      <c r="K969" s="11"/>
      <c r="L969" s="50"/>
      <c r="M969" s="50"/>
      <c r="N969" s="50"/>
      <c r="O969" s="50"/>
      <c r="P969" s="50"/>
      <c r="Q969" s="11"/>
      <c r="R969" s="50"/>
      <c r="S969" s="50"/>
      <c r="T969" s="50"/>
      <c r="U969" s="11"/>
      <c r="V969" s="50"/>
      <c r="W969" s="50"/>
      <c r="X969" s="50"/>
      <c r="Y969" s="50"/>
      <c r="Z969" s="50"/>
      <c r="AA969" s="11"/>
      <c r="AB969" s="50"/>
      <c r="AC969" s="50"/>
      <c r="AD969" s="50"/>
      <c r="AE969" s="11"/>
      <c r="AF969" s="50"/>
      <c r="AG969" s="50"/>
      <c r="AH969" s="50"/>
      <c r="AI969" s="11"/>
      <c r="AJ969" s="50"/>
      <c r="AK969" s="50"/>
      <c r="AL969" s="50"/>
      <c r="AM969" s="11"/>
      <c r="AN969" s="50"/>
      <c r="AO969" s="50"/>
      <c r="AP969" s="50"/>
      <c r="AQ969" s="11"/>
      <c r="AR969" s="50"/>
      <c r="AS969" s="50"/>
      <c r="AT969" s="50"/>
      <c r="AU969" s="11"/>
      <c r="AV969" s="50"/>
      <c r="AW969" s="50"/>
      <c r="AX969" s="50"/>
      <c r="AY969" s="50"/>
      <c r="AZ969" s="50"/>
      <c r="BA969" s="50"/>
      <c r="BB969" s="50"/>
      <c r="BC969" s="50"/>
      <c r="BD969" s="50"/>
      <c r="BE969" s="20"/>
      <c r="BF969" s="518"/>
      <c r="BG969" s="484"/>
      <c r="BH969" s="484"/>
      <c r="BI969" s="527"/>
      <c r="BJ969" s="484"/>
      <c r="BK969" s="484"/>
      <c r="BL969" s="484"/>
      <c r="BM969" s="484"/>
    </row>
    <row r="970" spans="1:65" s="22" customFormat="1" x14ac:dyDescent="0.25">
      <c r="A970" s="20"/>
      <c r="B970" s="515"/>
      <c r="C970" s="11"/>
      <c r="D970" s="11"/>
      <c r="E970" s="11"/>
      <c r="F970" s="21"/>
      <c r="G970" s="11"/>
      <c r="H970" s="50"/>
      <c r="I970" s="50"/>
      <c r="J970" s="50"/>
      <c r="K970" s="11"/>
      <c r="L970" s="50"/>
      <c r="M970" s="50"/>
      <c r="N970" s="50"/>
      <c r="O970" s="50"/>
      <c r="P970" s="50"/>
      <c r="Q970" s="11"/>
      <c r="R970" s="50"/>
      <c r="S970" s="50"/>
      <c r="T970" s="50"/>
      <c r="U970" s="11"/>
      <c r="V970" s="50"/>
      <c r="W970" s="50"/>
      <c r="X970" s="50"/>
      <c r="Y970" s="50"/>
      <c r="Z970" s="50"/>
      <c r="AA970" s="11"/>
      <c r="AB970" s="50"/>
      <c r="AC970" s="50"/>
      <c r="AD970" s="50"/>
      <c r="AE970" s="11"/>
      <c r="AF970" s="50"/>
      <c r="AG970" s="50"/>
      <c r="AH970" s="50"/>
      <c r="AI970" s="11"/>
      <c r="AJ970" s="50"/>
      <c r="AK970" s="50"/>
      <c r="AL970" s="50"/>
      <c r="AM970" s="11"/>
      <c r="AN970" s="50"/>
      <c r="AO970" s="50"/>
      <c r="AP970" s="50"/>
      <c r="AQ970" s="11"/>
      <c r="AR970" s="50"/>
      <c r="AS970" s="50"/>
      <c r="AT970" s="50"/>
      <c r="AU970" s="11"/>
      <c r="AV970" s="50"/>
      <c r="AW970" s="50"/>
      <c r="AX970" s="50"/>
      <c r="AY970" s="50"/>
      <c r="AZ970" s="50"/>
      <c r="BA970" s="50"/>
      <c r="BB970" s="50"/>
      <c r="BC970" s="50"/>
      <c r="BD970" s="50"/>
      <c r="BE970" s="20"/>
      <c r="BF970" s="518"/>
      <c r="BG970" s="484"/>
      <c r="BH970" s="484"/>
      <c r="BI970" s="527"/>
      <c r="BJ970" s="484"/>
      <c r="BK970" s="484"/>
      <c r="BL970" s="484"/>
      <c r="BM970" s="484"/>
    </row>
    <row r="971" spans="1:65" s="22" customFormat="1" x14ac:dyDescent="0.25">
      <c r="A971" s="20"/>
      <c r="B971" s="515"/>
      <c r="C971" s="11"/>
      <c r="D971" s="11"/>
      <c r="E971" s="11"/>
      <c r="F971" s="21"/>
      <c r="G971" s="11"/>
      <c r="H971" s="50"/>
      <c r="I971" s="50"/>
      <c r="J971" s="50"/>
      <c r="K971" s="11"/>
      <c r="L971" s="50"/>
      <c r="M971" s="50"/>
      <c r="N971" s="50"/>
      <c r="O971" s="50"/>
      <c r="P971" s="50"/>
      <c r="Q971" s="11"/>
      <c r="R971" s="50"/>
      <c r="S971" s="50"/>
      <c r="T971" s="50"/>
      <c r="U971" s="11"/>
      <c r="V971" s="50"/>
      <c r="W971" s="50"/>
      <c r="X971" s="50"/>
      <c r="Y971" s="50"/>
      <c r="Z971" s="50"/>
      <c r="AA971" s="11"/>
      <c r="AB971" s="50"/>
      <c r="AC971" s="50"/>
      <c r="AD971" s="50"/>
      <c r="AE971" s="11"/>
      <c r="AF971" s="50"/>
      <c r="AG971" s="50"/>
      <c r="AH971" s="50"/>
      <c r="AI971" s="11"/>
      <c r="AJ971" s="50"/>
      <c r="AK971" s="50"/>
      <c r="AL971" s="50"/>
      <c r="AM971" s="11"/>
      <c r="AN971" s="50"/>
      <c r="AO971" s="50"/>
      <c r="AP971" s="50"/>
      <c r="AQ971" s="11"/>
      <c r="AR971" s="50"/>
      <c r="AS971" s="50"/>
      <c r="AT971" s="50"/>
      <c r="AU971" s="11"/>
      <c r="AV971" s="50"/>
      <c r="AW971" s="50"/>
      <c r="AX971" s="50"/>
      <c r="AY971" s="50"/>
      <c r="AZ971" s="50"/>
      <c r="BA971" s="50"/>
      <c r="BB971" s="50"/>
      <c r="BC971" s="50"/>
      <c r="BD971" s="50"/>
      <c r="BE971" s="20"/>
      <c r="BF971" s="518"/>
      <c r="BG971" s="484"/>
      <c r="BH971" s="484"/>
      <c r="BI971" s="527"/>
      <c r="BJ971" s="484"/>
      <c r="BK971" s="484"/>
      <c r="BL971" s="484"/>
      <c r="BM971" s="484"/>
    </row>
    <row r="972" spans="1:65" s="22" customFormat="1" x14ac:dyDescent="0.25">
      <c r="A972" s="20"/>
      <c r="B972" s="515"/>
      <c r="C972" s="11"/>
      <c r="D972" s="11"/>
      <c r="E972" s="11"/>
      <c r="F972" s="21"/>
      <c r="G972" s="11"/>
      <c r="H972" s="50"/>
      <c r="I972" s="50"/>
      <c r="J972" s="50"/>
      <c r="K972" s="11"/>
      <c r="L972" s="50"/>
      <c r="M972" s="50"/>
      <c r="N972" s="50"/>
      <c r="O972" s="50"/>
      <c r="P972" s="50"/>
      <c r="Q972" s="11"/>
      <c r="R972" s="50"/>
      <c r="S972" s="50"/>
      <c r="T972" s="50"/>
      <c r="U972" s="11"/>
      <c r="V972" s="50"/>
      <c r="W972" s="50"/>
      <c r="X972" s="50"/>
      <c r="Y972" s="50"/>
      <c r="Z972" s="50"/>
      <c r="AA972" s="11"/>
      <c r="AB972" s="50"/>
      <c r="AC972" s="50"/>
      <c r="AD972" s="50"/>
      <c r="AE972" s="11"/>
      <c r="AF972" s="50"/>
      <c r="AG972" s="50"/>
      <c r="AH972" s="50"/>
      <c r="AI972" s="11"/>
      <c r="AJ972" s="50"/>
      <c r="AK972" s="50"/>
      <c r="AL972" s="50"/>
      <c r="AM972" s="11"/>
      <c r="AN972" s="50"/>
      <c r="AO972" s="50"/>
      <c r="AP972" s="50"/>
      <c r="AQ972" s="11"/>
      <c r="AR972" s="50"/>
      <c r="AS972" s="50"/>
      <c r="AT972" s="50"/>
      <c r="AU972" s="11"/>
      <c r="AV972" s="50"/>
      <c r="AW972" s="50"/>
      <c r="AX972" s="50"/>
      <c r="AY972" s="50"/>
      <c r="AZ972" s="50"/>
      <c r="BA972" s="50"/>
      <c r="BB972" s="50"/>
      <c r="BC972" s="50"/>
      <c r="BD972" s="50"/>
      <c r="BE972" s="20"/>
      <c r="BF972" s="518"/>
      <c r="BG972" s="484"/>
      <c r="BH972" s="484"/>
      <c r="BI972" s="527"/>
      <c r="BJ972" s="484"/>
      <c r="BK972" s="484"/>
      <c r="BL972" s="484"/>
      <c r="BM972" s="484"/>
    </row>
    <row r="973" spans="1:65" s="22" customFormat="1" x14ac:dyDescent="0.25">
      <c r="A973" s="20"/>
      <c r="B973" s="515"/>
      <c r="C973" s="11"/>
      <c r="D973" s="11"/>
      <c r="E973" s="11"/>
      <c r="F973" s="21"/>
      <c r="G973" s="11"/>
      <c r="H973" s="50"/>
      <c r="I973" s="50"/>
      <c r="J973" s="50"/>
      <c r="K973" s="11"/>
      <c r="L973" s="50"/>
      <c r="M973" s="50"/>
      <c r="N973" s="50"/>
      <c r="O973" s="50"/>
      <c r="P973" s="50"/>
      <c r="Q973" s="11"/>
      <c r="R973" s="50"/>
      <c r="S973" s="50"/>
      <c r="T973" s="50"/>
      <c r="U973" s="11"/>
      <c r="V973" s="50"/>
      <c r="W973" s="50"/>
      <c r="X973" s="50"/>
      <c r="Y973" s="50"/>
      <c r="Z973" s="50"/>
      <c r="AA973" s="11"/>
      <c r="AB973" s="50"/>
      <c r="AC973" s="50"/>
      <c r="AD973" s="50"/>
      <c r="AE973" s="11"/>
      <c r="AF973" s="50"/>
      <c r="AG973" s="50"/>
      <c r="AH973" s="50"/>
      <c r="AI973" s="11"/>
      <c r="AJ973" s="50"/>
      <c r="AK973" s="50"/>
      <c r="AL973" s="50"/>
      <c r="AM973" s="11"/>
      <c r="AN973" s="50"/>
      <c r="AO973" s="50"/>
      <c r="AP973" s="50"/>
      <c r="AQ973" s="11"/>
      <c r="AR973" s="50"/>
      <c r="AS973" s="50"/>
      <c r="AT973" s="50"/>
      <c r="AU973" s="11"/>
      <c r="AV973" s="50"/>
      <c r="AW973" s="50"/>
      <c r="AX973" s="50"/>
      <c r="AY973" s="50"/>
      <c r="AZ973" s="50"/>
      <c r="BA973" s="50"/>
      <c r="BB973" s="50"/>
      <c r="BC973" s="50"/>
      <c r="BD973" s="50"/>
      <c r="BE973" s="20"/>
      <c r="BF973" s="518"/>
      <c r="BG973" s="484"/>
      <c r="BH973" s="484"/>
      <c r="BI973" s="527"/>
      <c r="BJ973" s="484"/>
      <c r="BK973" s="484"/>
      <c r="BL973" s="484"/>
      <c r="BM973" s="484"/>
    </row>
    <row r="974" spans="1:65" s="22" customFormat="1" x14ac:dyDescent="0.25">
      <c r="A974" s="20"/>
      <c r="B974" s="515"/>
      <c r="C974" s="11"/>
      <c r="D974" s="11"/>
      <c r="E974" s="11"/>
      <c r="F974" s="21"/>
      <c r="G974" s="11"/>
      <c r="H974" s="50"/>
      <c r="I974" s="50"/>
      <c r="J974" s="50"/>
      <c r="K974" s="11"/>
      <c r="L974" s="50"/>
      <c r="M974" s="50"/>
      <c r="N974" s="50"/>
      <c r="O974" s="50"/>
      <c r="P974" s="50"/>
      <c r="Q974" s="11"/>
      <c r="R974" s="50"/>
      <c r="S974" s="50"/>
      <c r="T974" s="50"/>
      <c r="U974" s="11"/>
      <c r="V974" s="50"/>
      <c r="W974" s="50"/>
      <c r="X974" s="50"/>
      <c r="Y974" s="50"/>
      <c r="Z974" s="50"/>
      <c r="AA974" s="11"/>
      <c r="AB974" s="50"/>
      <c r="AC974" s="50"/>
      <c r="AD974" s="50"/>
      <c r="AE974" s="11"/>
      <c r="AF974" s="50"/>
      <c r="AG974" s="50"/>
      <c r="AH974" s="50"/>
      <c r="AI974" s="11"/>
      <c r="AJ974" s="50"/>
      <c r="AK974" s="50"/>
      <c r="AL974" s="50"/>
      <c r="AM974" s="11"/>
      <c r="AN974" s="50"/>
      <c r="AO974" s="50"/>
      <c r="AP974" s="50"/>
      <c r="AQ974" s="11"/>
      <c r="AR974" s="50"/>
      <c r="AS974" s="50"/>
      <c r="AT974" s="50"/>
      <c r="AU974" s="11"/>
      <c r="AV974" s="50"/>
      <c r="AW974" s="50"/>
      <c r="AX974" s="50"/>
      <c r="AY974" s="50"/>
      <c r="AZ974" s="50"/>
      <c r="BA974" s="50"/>
      <c r="BB974" s="50"/>
      <c r="BC974" s="50"/>
      <c r="BD974" s="50"/>
      <c r="BE974" s="20"/>
      <c r="BF974" s="518"/>
      <c r="BG974" s="484"/>
      <c r="BH974" s="484"/>
      <c r="BI974" s="527"/>
      <c r="BJ974" s="484"/>
      <c r="BK974" s="484"/>
      <c r="BL974" s="484"/>
      <c r="BM974" s="484"/>
    </row>
    <row r="975" spans="1:65" s="22" customFormat="1" x14ac:dyDescent="0.25">
      <c r="A975" s="20"/>
      <c r="B975" s="515"/>
      <c r="C975" s="11"/>
      <c r="D975" s="11"/>
      <c r="E975" s="11"/>
      <c r="F975" s="21"/>
      <c r="G975" s="11"/>
      <c r="H975" s="50"/>
      <c r="I975" s="50"/>
      <c r="J975" s="50"/>
      <c r="K975" s="11"/>
      <c r="L975" s="50"/>
      <c r="M975" s="50"/>
      <c r="N975" s="50"/>
      <c r="O975" s="50"/>
      <c r="P975" s="50"/>
      <c r="Q975" s="11"/>
      <c r="R975" s="50"/>
      <c r="S975" s="50"/>
      <c r="T975" s="50"/>
      <c r="U975" s="11"/>
      <c r="V975" s="50"/>
      <c r="W975" s="50"/>
      <c r="X975" s="50"/>
      <c r="Y975" s="50"/>
      <c r="Z975" s="50"/>
      <c r="AA975" s="11"/>
      <c r="AB975" s="50"/>
      <c r="AC975" s="50"/>
      <c r="AD975" s="50"/>
      <c r="AE975" s="11"/>
      <c r="AF975" s="50"/>
      <c r="AG975" s="50"/>
      <c r="AH975" s="50"/>
      <c r="AI975" s="11"/>
      <c r="AJ975" s="50"/>
      <c r="AK975" s="50"/>
      <c r="AL975" s="50"/>
      <c r="AM975" s="11"/>
      <c r="AN975" s="50"/>
      <c r="AO975" s="50"/>
      <c r="AP975" s="50"/>
      <c r="AQ975" s="11"/>
      <c r="AR975" s="50"/>
      <c r="AS975" s="50"/>
      <c r="AT975" s="50"/>
      <c r="AU975" s="11"/>
      <c r="AV975" s="50"/>
      <c r="AW975" s="50"/>
      <c r="AX975" s="50"/>
      <c r="AY975" s="50"/>
      <c r="AZ975" s="50"/>
      <c r="BA975" s="50"/>
      <c r="BB975" s="50"/>
      <c r="BC975" s="50"/>
      <c r="BD975" s="50"/>
      <c r="BE975" s="20"/>
      <c r="BF975" s="518"/>
      <c r="BG975" s="484"/>
      <c r="BH975" s="484"/>
      <c r="BI975" s="527"/>
      <c r="BJ975" s="484"/>
      <c r="BK975" s="484"/>
      <c r="BL975" s="484"/>
      <c r="BM975" s="484"/>
    </row>
    <row r="976" spans="1:65" s="22" customFormat="1" x14ac:dyDescent="0.25">
      <c r="A976" s="20"/>
      <c r="B976" s="515"/>
      <c r="C976" s="11"/>
      <c r="D976" s="11"/>
      <c r="E976" s="11"/>
      <c r="F976" s="21"/>
      <c r="G976" s="11"/>
      <c r="H976" s="50"/>
      <c r="I976" s="50"/>
      <c r="J976" s="50"/>
      <c r="K976" s="11"/>
      <c r="L976" s="50"/>
      <c r="M976" s="50"/>
      <c r="N976" s="50"/>
      <c r="O976" s="50"/>
      <c r="P976" s="50"/>
      <c r="Q976" s="11"/>
      <c r="R976" s="50"/>
      <c r="S976" s="50"/>
      <c r="T976" s="50"/>
      <c r="U976" s="11"/>
      <c r="V976" s="50"/>
      <c r="W976" s="50"/>
      <c r="X976" s="50"/>
      <c r="Y976" s="50"/>
      <c r="Z976" s="50"/>
      <c r="AA976" s="11"/>
      <c r="AB976" s="50"/>
      <c r="AC976" s="50"/>
      <c r="AD976" s="50"/>
      <c r="AE976" s="11"/>
      <c r="AF976" s="50"/>
      <c r="AG976" s="50"/>
      <c r="AH976" s="50"/>
      <c r="AI976" s="11"/>
      <c r="AJ976" s="50"/>
      <c r="AK976" s="50"/>
      <c r="AL976" s="50"/>
      <c r="AM976" s="11"/>
      <c r="AN976" s="50"/>
      <c r="AO976" s="50"/>
      <c r="AP976" s="50"/>
      <c r="AQ976" s="11"/>
      <c r="AR976" s="50"/>
      <c r="AS976" s="50"/>
      <c r="AT976" s="50"/>
      <c r="AU976" s="11"/>
      <c r="AV976" s="50"/>
      <c r="AW976" s="50"/>
      <c r="AX976" s="50"/>
      <c r="AY976" s="50"/>
      <c r="AZ976" s="50"/>
      <c r="BA976" s="50"/>
      <c r="BB976" s="50"/>
      <c r="BC976" s="50"/>
      <c r="BD976" s="50"/>
      <c r="BE976" s="20"/>
      <c r="BF976" s="518"/>
      <c r="BG976" s="484"/>
      <c r="BH976" s="484"/>
      <c r="BI976" s="527"/>
      <c r="BJ976" s="484"/>
      <c r="BK976" s="484"/>
      <c r="BL976" s="484"/>
      <c r="BM976" s="484"/>
    </row>
    <row r="977" spans="1:65" s="22" customFormat="1" x14ac:dyDescent="0.25">
      <c r="A977" s="20"/>
      <c r="B977" s="515"/>
      <c r="C977" s="11"/>
      <c r="D977" s="11"/>
      <c r="E977" s="11"/>
      <c r="F977" s="21"/>
      <c r="G977" s="11"/>
      <c r="H977" s="50"/>
      <c r="I977" s="50"/>
      <c r="J977" s="50"/>
      <c r="K977" s="11"/>
      <c r="L977" s="50"/>
      <c r="M977" s="50"/>
      <c r="N977" s="50"/>
      <c r="O977" s="50"/>
      <c r="P977" s="50"/>
      <c r="Q977" s="11"/>
      <c r="R977" s="50"/>
      <c r="S977" s="50"/>
      <c r="T977" s="50"/>
      <c r="U977" s="11"/>
      <c r="V977" s="50"/>
      <c r="W977" s="50"/>
      <c r="X977" s="50"/>
      <c r="Y977" s="50"/>
      <c r="Z977" s="50"/>
      <c r="AA977" s="11"/>
      <c r="AB977" s="50"/>
      <c r="AC977" s="50"/>
      <c r="AD977" s="50"/>
      <c r="AE977" s="11"/>
      <c r="AF977" s="50"/>
      <c r="AG977" s="50"/>
      <c r="AH977" s="50"/>
      <c r="AI977" s="11"/>
      <c r="AJ977" s="50"/>
      <c r="AK977" s="50"/>
      <c r="AL977" s="50"/>
      <c r="AM977" s="11"/>
      <c r="AN977" s="50"/>
      <c r="AO977" s="50"/>
      <c r="AP977" s="50"/>
      <c r="AQ977" s="11"/>
      <c r="AR977" s="50"/>
      <c r="AS977" s="50"/>
      <c r="AT977" s="50"/>
      <c r="AU977" s="11"/>
      <c r="AV977" s="50"/>
      <c r="AW977" s="50"/>
      <c r="AX977" s="50"/>
      <c r="AY977" s="50"/>
      <c r="AZ977" s="50"/>
      <c r="BA977" s="50"/>
      <c r="BB977" s="50"/>
      <c r="BC977" s="50"/>
      <c r="BD977" s="50"/>
      <c r="BE977" s="20"/>
      <c r="BF977" s="518"/>
      <c r="BG977" s="484"/>
      <c r="BH977" s="484"/>
      <c r="BI977" s="527"/>
      <c r="BJ977" s="484"/>
      <c r="BK977" s="484"/>
      <c r="BL977" s="484"/>
      <c r="BM977" s="484"/>
    </row>
    <row r="978" spans="1:65" s="22" customFormat="1" x14ac:dyDescent="0.25">
      <c r="A978" s="20"/>
      <c r="B978" s="515"/>
      <c r="C978" s="11"/>
      <c r="D978" s="11"/>
      <c r="E978" s="11"/>
      <c r="F978" s="21"/>
      <c r="G978" s="11"/>
      <c r="H978" s="50"/>
      <c r="I978" s="50"/>
      <c r="J978" s="50"/>
      <c r="K978" s="11"/>
      <c r="L978" s="50"/>
      <c r="M978" s="50"/>
      <c r="N978" s="50"/>
      <c r="O978" s="50"/>
      <c r="P978" s="50"/>
      <c r="Q978" s="11"/>
      <c r="R978" s="50"/>
      <c r="S978" s="50"/>
      <c r="T978" s="50"/>
      <c r="U978" s="11"/>
      <c r="V978" s="50"/>
      <c r="W978" s="50"/>
      <c r="X978" s="50"/>
      <c r="Y978" s="50"/>
      <c r="Z978" s="50"/>
      <c r="AA978" s="11"/>
      <c r="AB978" s="50"/>
      <c r="AC978" s="50"/>
      <c r="AD978" s="50"/>
      <c r="AE978" s="11"/>
      <c r="AF978" s="50"/>
      <c r="AG978" s="50"/>
      <c r="AH978" s="50"/>
      <c r="AI978" s="11"/>
      <c r="AJ978" s="50"/>
      <c r="AK978" s="50"/>
      <c r="AL978" s="50"/>
      <c r="AM978" s="11"/>
      <c r="AN978" s="50"/>
      <c r="AO978" s="50"/>
      <c r="AP978" s="50"/>
      <c r="AQ978" s="11"/>
      <c r="AR978" s="50"/>
      <c r="AS978" s="50"/>
      <c r="AT978" s="50"/>
      <c r="AU978" s="11"/>
      <c r="AV978" s="50"/>
      <c r="AW978" s="50"/>
      <c r="AX978" s="50"/>
      <c r="AY978" s="50"/>
      <c r="AZ978" s="50"/>
      <c r="BA978" s="50"/>
      <c r="BB978" s="50"/>
      <c r="BC978" s="50"/>
      <c r="BD978" s="50"/>
      <c r="BE978" s="20"/>
      <c r="BF978" s="518"/>
      <c r="BG978" s="484"/>
      <c r="BH978" s="484"/>
      <c r="BI978" s="527"/>
      <c r="BJ978" s="484"/>
      <c r="BK978" s="484"/>
      <c r="BL978" s="484"/>
      <c r="BM978" s="484"/>
    </row>
    <row r="979" spans="1:65" s="22" customFormat="1" x14ac:dyDescent="0.25">
      <c r="A979" s="20"/>
      <c r="B979" s="515"/>
      <c r="C979" s="11"/>
      <c r="D979" s="11"/>
      <c r="E979" s="11"/>
      <c r="F979" s="21"/>
      <c r="G979" s="11"/>
      <c r="H979" s="50"/>
      <c r="I979" s="50"/>
      <c r="J979" s="50"/>
      <c r="K979" s="11"/>
      <c r="L979" s="50"/>
      <c r="M979" s="50"/>
      <c r="N979" s="50"/>
      <c r="O979" s="50"/>
      <c r="P979" s="50"/>
      <c r="Q979" s="11"/>
      <c r="R979" s="50"/>
      <c r="S979" s="50"/>
      <c r="T979" s="50"/>
      <c r="U979" s="11"/>
      <c r="V979" s="50"/>
      <c r="W979" s="50"/>
      <c r="X979" s="50"/>
      <c r="Y979" s="50"/>
      <c r="Z979" s="50"/>
      <c r="AA979" s="11"/>
      <c r="AB979" s="50"/>
      <c r="AC979" s="50"/>
      <c r="AD979" s="50"/>
      <c r="AE979" s="11"/>
      <c r="AF979" s="50"/>
      <c r="AG979" s="50"/>
      <c r="AH979" s="50"/>
      <c r="AI979" s="11"/>
      <c r="AJ979" s="50"/>
      <c r="AK979" s="50"/>
      <c r="AL979" s="50"/>
      <c r="AM979" s="11"/>
      <c r="AN979" s="50"/>
      <c r="AO979" s="50"/>
      <c r="AP979" s="50"/>
      <c r="AQ979" s="11"/>
      <c r="AR979" s="50"/>
      <c r="AS979" s="50"/>
      <c r="AT979" s="50"/>
      <c r="AU979" s="11"/>
      <c r="AV979" s="50"/>
      <c r="AW979" s="50"/>
      <c r="AX979" s="50"/>
      <c r="AY979" s="50"/>
      <c r="AZ979" s="50"/>
      <c r="BA979" s="50"/>
      <c r="BB979" s="50"/>
      <c r="BC979" s="50"/>
      <c r="BD979" s="50"/>
      <c r="BE979" s="20"/>
      <c r="BF979" s="518"/>
      <c r="BG979" s="484"/>
      <c r="BH979" s="484"/>
      <c r="BI979" s="527"/>
      <c r="BJ979" s="484"/>
      <c r="BK979" s="484"/>
      <c r="BL979" s="484"/>
      <c r="BM979" s="484"/>
    </row>
    <row r="980" spans="1:65" s="22" customFormat="1" x14ac:dyDescent="0.25">
      <c r="A980" s="20"/>
      <c r="B980" s="515"/>
      <c r="C980" s="11"/>
      <c r="D980" s="11"/>
      <c r="E980" s="11"/>
      <c r="F980" s="21"/>
      <c r="G980" s="11"/>
      <c r="H980" s="50"/>
      <c r="I980" s="50"/>
      <c r="J980" s="50"/>
      <c r="K980" s="11"/>
      <c r="L980" s="50"/>
      <c r="M980" s="50"/>
      <c r="N980" s="50"/>
      <c r="O980" s="50"/>
      <c r="P980" s="50"/>
      <c r="Q980" s="11"/>
      <c r="R980" s="50"/>
      <c r="S980" s="50"/>
      <c r="T980" s="50"/>
      <c r="U980" s="11"/>
      <c r="V980" s="50"/>
      <c r="W980" s="50"/>
      <c r="X980" s="50"/>
      <c r="Y980" s="50"/>
      <c r="Z980" s="50"/>
      <c r="AA980" s="11"/>
      <c r="AB980" s="50"/>
      <c r="AC980" s="50"/>
      <c r="AD980" s="50"/>
      <c r="AE980" s="11"/>
      <c r="AF980" s="50"/>
      <c r="AG980" s="50"/>
      <c r="AH980" s="50"/>
      <c r="AI980" s="11"/>
      <c r="AJ980" s="50"/>
      <c r="AK980" s="50"/>
      <c r="AL980" s="50"/>
      <c r="AM980" s="11"/>
      <c r="AN980" s="50"/>
      <c r="AO980" s="50"/>
      <c r="AP980" s="50"/>
      <c r="AQ980" s="11"/>
      <c r="AR980" s="50"/>
      <c r="AS980" s="50"/>
      <c r="AT980" s="50"/>
      <c r="AU980" s="11"/>
      <c r="AV980" s="50"/>
      <c r="AW980" s="50"/>
      <c r="AX980" s="50"/>
      <c r="AY980" s="50"/>
      <c r="AZ980" s="50"/>
      <c r="BA980" s="50"/>
      <c r="BB980" s="50"/>
      <c r="BC980" s="50"/>
      <c r="BD980" s="50"/>
      <c r="BE980" s="20"/>
      <c r="BF980" s="518"/>
      <c r="BG980" s="484"/>
      <c r="BH980" s="484"/>
      <c r="BI980" s="527"/>
      <c r="BJ980" s="484"/>
      <c r="BK980" s="484"/>
      <c r="BL980" s="484"/>
      <c r="BM980" s="484"/>
    </row>
    <row r="981" spans="1:65" s="22" customFormat="1" x14ac:dyDescent="0.25">
      <c r="A981" s="20"/>
      <c r="B981" s="515"/>
      <c r="C981" s="11"/>
      <c r="D981" s="11"/>
      <c r="E981" s="11"/>
      <c r="F981" s="21"/>
      <c r="G981" s="11"/>
      <c r="H981" s="50"/>
      <c r="I981" s="50"/>
      <c r="J981" s="50"/>
      <c r="K981" s="11"/>
      <c r="L981" s="50"/>
      <c r="M981" s="50"/>
      <c r="N981" s="50"/>
      <c r="O981" s="50"/>
      <c r="P981" s="50"/>
      <c r="Q981" s="11"/>
      <c r="R981" s="50"/>
      <c r="S981" s="50"/>
      <c r="T981" s="50"/>
      <c r="U981" s="11"/>
      <c r="V981" s="50"/>
      <c r="W981" s="50"/>
      <c r="X981" s="50"/>
      <c r="Y981" s="50"/>
      <c r="Z981" s="50"/>
      <c r="AA981" s="11"/>
      <c r="AB981" s="50"/>
      <c r="AC981" s="50"/>
      <c r="AD981" s="50"/>
      <c r="AE981" s="11"/>
      <c r="AF981" s="50"/>
      <c r="AG981" s="50"/>
      <c r="AH981" s="50"/>
      <c r="AI981" s="11"/>
      <c r="AJ981" s="50"/>
      <c r="AK981" s="50"/>
      <c r="AL981" s="50"/>
      <c r="AM981" s="11"/>
      <c r="AN981" s="50"/>
      <c r="AO981" s="50"/>
      <c r="AP981" s="50"/>
      <c r="AQ981" s="11"/>
      <c r="AR981" s="50"/>
      <c r="AS981" s="50"/>
      <c r="AT981" s="50"/>
      <c r="AU981" s="11"/>
      <c r="AV981" s="50"/>
      <c r="AW981" s="50"/>
      <c r="AX981" s="50"/>
      <c r="AY981" s="50"/>
      <c r="AZ981" s="50"/>
      <c r="BA981" s="50"/>
      <c r="BB981" s="50"/>
      <c r="BC981" s="50"/>
      <c r="BD981" s="50"/>
      <c r="BE981" s="20"/>
      <c r="BF981" s="518"/>
      <c r="BG981" s="484"/>
      <c r="BH981" s="484"/>
      <c r="BI981" s="527"/>
      <c r="BJ981" s="484"/>
      <c r="BK981" s="484"/>
      <c r="BL981" s="484"/>
      <c r="BM981" s="484"/>
    </row>
    <row r="982" spans="1:65" s="22" customFormat="1" x14ac:dyDescent="0.25">
      <c r="A982" s="20"/>
      <c r="B982" s="515"/>
      <c r="C982" s="11"/>
      <c r="D982" s="11"/>
      <c r="E982" s="11"/>
      <c r="F982" s="21"/>
      <c r="G982" s="11"/>
      <c r="H982" s="50"/>
      <c r="I982" s="50"/>
      <c r="J982" s="50"/>
      <c r="K982" s="11"/>
      <c r="L982" s="50"/>
      <c r="M982" s="50"/>
      <c r="N982" s="50"/>
      <c r="O982" s="50"/>
      <c r="P982" s="50"/>
      <c r="Q982" s="11"/>
      <c r="R982" s="50"/>
      <c r="S982" s="50"/>
      <c r="T982" s="50"/>
      <c r="U982" s="11"/>
      <c r="V982" s="50"/>
      <c r="W982" s="50"/>
      <c r="X982" s="50"/>
      <c r="Y982" s="50"/>
      <c r="Z982" s="50"/>
      <c r="AA982" s="11"/>
      <c r="AB982" s="50"/>
      <c r="AC982" s="50"/>
      <c r="AD982" s="50"/>
      <c r="AE982" s="11"/>
      <c r="AF982" s="50"/>
      <c r="AG982" s="50"/>
      <c r="AH982" s="50"/>
      <c r="AI982" s="11"/>
      <c r="AJ982" s="50"/>
      <c r="AK982" s="50"/>
      <c r="AL982" s="50"/>
      <c r="AM982" s="11"/>
      <c r="AN982" s="50"/>
      <c r="AO982" s="50"/>
      <c r="AP982" s="50"/>
      <c r="AQ982" s="11"/>
      <c r="AR982" s="50"/>
      <c r="AS982" s="50"/>
      <c r="AT982" s="50"/>
      <c r="AU982" s="11"/>
      <c r="AV982" s="50"/>
      <c r="AW982" s="50"/>
      <c r="AX982" s="50"/>
      <c r="AY982" s="50"/>
      <c r="AZ982" s="50"/>
      <c r="BA982" s="50"/>
      <c r="BB982" s="50"/>
      <c r="BC982" s="50"/>
      <c r="BD982" s="50"/>
      <c r="BE982" s="20"/>
      <c r="BF982" s="518"/>
      <c r="BG982" s="484"/>
      <c r="BH982" s="484"/>
      <c r="BI982" s="527"/>
      <c r="BJ982" s="484"/>
      <c r="BK982" s="484"/>
      <c r="BL982" s="484"/>
      <c r="BM982" s="484"/>
    </row>
    <row r="983" spans="1:65" s="22" customFormat="1" x14ac:dyDescent="0.25">
      <c r="A983" s="20"/>
      <c r="B983" s="515"/>
      <c r="C983" s="11"/>
      <c r="D983" s="11"/>
      <c r="E983" s="11"/>
      <c r="F983" s="21"/>
      <c r="G983" s="11"/>
      <c r="H983" s="50"/>
      <c r="I983" s="50"/>
      <c r="J983" s="50"/>
      <c r="K983" s="11"/>
      <c r="L983" s="50"/>
      <c r="M983" s="50"/>
      <c r="N983" s="50"/>
      <c r="O983" s="50"/>
      <c r="P983" s="50"/>
      <c r="Q983" s="11"/>
      <c r="R983" s="50"/>
      <c r="S983" s="50"/>
      <c r="T983" s="50"/>
      <c r="U983" s="11"/>
      <c r="V983" s="50"/>
      <c r="W983" s="50"/>
      <c r="X983" s="50"/>
      <c r="Y983" s="50"/>
      <c r="Z983" s="50"/>
      <c r="AA983" s="11"/>
      <c r="AB983" s="50"/>
      <c r="AC983" s="50"/>
      <c r="AD983" s="50"/>
      <c r="AE983" s="11"/>
      <c r="AF983" s="50"/>
      <c r="AG983" s="50"/>
      <c r="AH983" s="50"/>
      <c r="AI983" s="11"/>
      <c r="AJ983" s="50"/>
      <c r="AK983" s="50"/>
      <c r="AL983" s="50"/>
      <c r="AM983" s="11"/>
      <c r="AN983" s="50"/>
      <c r="AO983" s="50"/>
      <c r="AP983" s="50"/>
      <c r="AQ983" s="11"/>
      <c r="AR983" s="50"/>
      <c r="AS983" s="50"/>
      <c r="AT983" s="50"/>
      <c r="AU983" s="11"/>
      <c r="AV983" s="50"/>
      <c r="AW983" s="50"/>
      <c r="AX983" s="50"/>
      <c r="AY983" s="50"/>
      <c r="AZ983" s="50"/>
      <c r="BA983" s="50"/>
      <c r="BB983" s="50"/>
      <c r="BC983" s="50"/>
      <c r="BD983" s="50"/>
      <c r="BE983" s="20"/>
      <c r="BF983" s="518"/>
      <c r="BG983" s="484"/>
      <c r="BH983" s="484"/>
      <c r="BI983" s="527"/>
      <c r="BJ983" s="484"/>
      <c r="BK983" s="484"/>
      <c r="BL983" s="484"/>
      <c r="BM983" s="484"/>
    </row>
    <row r="984" spans="1:65" s="22" customFormat="1" x14ac:dyDescent="0.25">
      <c r="A984" s="20"/>
      <c r="B984" s="515"/>
      <c r="C984" s="11"/>
      <c r="D984" s="11"/>
      <c r="E984" s="11"/>
      <c r="F984" s="21"/>
      <c r="G984" s="11"/>
      <c r="H984" s="50"/>
      <c r="I984" s="50"/>
      <c r="J984" s="50"/>
      <c r="K984" s="11"/>
      <c r="L984" s="50"/>
      <c r="M984" s="50"/>
      <c r="N984" s="50"/>
      <c r="O984" s="50"/>
      <c r="P984" s="50"/>
      <c r="Q984" s="11"/>
      <c r="R984" s="50"/>
      <c r="S984" s="50"/>
      <c r="T984" s="50"/>
      <c r="U984" s="11"/>
      <c r="V984" s="50"/>
      <c r="W984" s="50"/>
      <c r="X984" s="50"/>
      <c r="Y984" s="50"/>
      <c r="Z984" s="50"/>
      <c r="AA984" s="11"/>
      <c r="AB984" s="50"/>
      <c r="AC984" s="50"/>
      <c r="AD984" s="50"/>
      <c r="AE984" s="11"/>
      <c r="AF984" s="50"/>
      <c r="AG984" s="50"/>
      <c r="AH984" s="50"/>
      <c r="AI984" s="11"/>
      <c r="AJ984" s="50"/>
      <c r="AK984" s="50"/>
      <c r="AL984" s="50"/>
      <c r="AM984" s="11"/>
      <c r="AN984" s="50"/>
      <c r="AO984" s="50"/>
      <c r="AP984" s="50"/>
      <c r="AQ984" s="11"/>
      <c r="AR984" s="50"/>
      <c r="AS984" s="50"/>
      <c r="AT984" s="50"/>
      <c r="AU984" s="11"/>
      <c r="AV984" s="50"/>
      <c r="AW984" s="50"/>
      <c r="AX984" s="50"/>
      <c r="AY984" s="50"/>
      <c r="AZ984" s="50"/>
      <c r="BA984" s="50"/>
      <c r="BB984" s="50"/>
      <c r="BC984" s="50"/>
      <c r="BD984" s="50"/>
      <c r="BE984" s="20"/>
      <c r="BF984" s="518"/>
      <c r="BG984" s="484"/>
      <c r="BH984" s="484"/>
      <c r="BI984" s="527"/>
      <c r="BJ984" s="484"/>
      <c r="BK984" s="484"/>
      <c r="BL984" s="484"/>
      <c r="BM984" s="484"/>
    </row>
    <row r="985" spans="1:65" s="22" customFormat="1" x14ac:dyDescent="0.25">
      <c r="A985" s="20"/>
      <c r="B985" s="515"/>
      <c r="C985" s="11"/>
      <c r="D985" s="11"/>
      <c r="E985" s="11"/>
      <c r="F985" s="21"/>
      <c r="G985" s="11"/>
      <c r="H985" s="50"/>
      <c r="I985" s="50"/>
      <c r="J985" s="50"/>
      <c r="K985" s="11"/>
      <c r="L985" s="50"/>
      <c r="M985" s="50"/>
      <c r="N985" s="50"/>
      <c r="O985" s="50"/>
      <c r="P985" s="50"/>
      <c r="Q985" s="11"/>
      <c r="R985" s="50"/>
      <c r="S985" s="50"/>
      <c r="T985" s="50"/>
      <c r="U985" s="11"/>
      <c r="V985" s="50"/>
      <c r="W985" s="50"/>
      <c r="X985" s="50"/>
      <c r="Y985" s="50"/>
      <c r="Z985" s="50"/>
      <c r="AA985" s="11"/>
      <c r="AB985" s="50"/>
      <c r="AC985" s="50"/>
      <c r="AD985" s="50"/>
      <c r="AE985" s="11"/>
      <c r="AF985" s="50"/>
      <c r="AG985" s="50"/>
      <c r="AH985" s="50"/>
      <c r="AI985" s="11"/>
      <c r="AJ985" s="50"/>
      <c r="AK985" s="50"/>
      <c r="AL985" s="50"/>
      <c r="AM985" s="11"/>
      <c r="AN985" s="50"/>
      <c r="AO985" s="50"/>
      <c r="AP985" s="50"/>
      <c r="AQ985" s="11"/>
      <c r="AR985" s="50"/>
      <c r="AS985" s="50"/>
      <c r="AT985" s="50"/>
      <c r="AU985" s="11"/>
      <c r="AV985" s="50"/>
      <c r="AW985" s="50"/>
      <c r="AX985" s="50"/>
      <c r="AY985" s="50"/>
      <c r="AZ985" s="50"/>
      <c r="BA985" s="50"/>
      <c r="BB985" s="50"/>
      <c r="BC985" s="50"/>
      <c r="BD985" s="50"/>
      <c r="BE985" s="20"/>
      <c r="BF985" s="518"/>
      <c r="BG985" s="484"/>
      <c r="BH985" s="484"/>
      <c r="BI985" s="527"/>
      <c r="BJ985" s="484"/>
      <c r="BK985" s="484"/>
      <c r="BL985" s="484"/>
      <c r="BM985" s="484"/>
    </row>
    <row r="986" spans="1:65" s="22" customFormat="1" x14ac:dyDescent="0.25">
      <c r="A986" s="20"/>
      <c r="B986" s="515"/>
      <c r="C986" s="11"/>
      <c r="D986" s="11"/>
      <c r="E986" s="11"/>
      <c r="F986" s="21"/>
      <c r="G986" s="11"/>
      <c r="H986" s="50"/>
      <c r="I986" s="50"/>
      <c r="J986" s="50"/>
      <c r="K986" s="11"/>
      <c r="L986" s="50"/>
      <c r="M986" s="50"/>
      <c r="N986" s="50"/>
      <c r="O986" s="50"/>
      <c r="P986" s="50"/>
      <c r="Q986" s="11"/>
      <c r="R986" s="50"/>
      <c r="S986" s="50"/>
      <c r="T986" s="50"/>
      <c r="U986" s="11"/>
      <c r="V986" s="50"/>
      <c r="W986" s="50"/>
      <c r="X986" s="50"/>
      <c r="Y986" s="50"/>
      <c r="Z986" s="50"/>
      <c r="AA986" s="11"/>
      <c r="AB986" s="50"/>
      <c r="AC986" s="50"/>
      <c r="AD986" s="50"/>
      <c r="AE986" s="11"/>
      <c r="AF986" s="50"/>
      <c r="AG986" s="50"/>
      <c r="AH986" s="50"/>
      <c r="AI986" s="11"/>
      <c r="AJ986" s="50"/>
      <c r="AK986" s="50"/>
      <c r="AL986" s="50"/>
      <c r="AM986" s="11"/>
      <c r="AN986" s="50"/>
      <c r="AO986" s="50"/>
      <c r="AP986" s="50"/>
      <c r="AQ986" s="11"/>
      <c r="AR986" s="50"/>
      <c r="AS986" s="50"/>
      <c r="AT986" s="50"/>
      <c r="AU986" s="11"/>
      <c r="AV986" s="50"/>
      <c r="AW986" s="50"/>
      <c r="AX986" s="50"/>
      <c r="AY986" s="50"/>
      <c r="AZ986" s="50"/>
      <c r="BA986" s="50"/>
      <c r="BB986" s="50"/>
      <c r="BC986" s="50"/>
      <c r="BD986" s="50"/>
      <c r="BE986" s="20"/>
      <c r="BF986" s="518"/>
      <c r="BG986" s="484"/>
      <c r="BH986" s="484"/>
      <c r="BI986" s="527"/>
      <c r="BJ986" s="484"/>
      <c r="BK986" s="484"/>
      <c r="BL986" s="484"/>
      <c r="BM986" s="484"/>
    </row>
    <row r="987" spans="1:65" s="22" customFormat="1" x14ac:dyDescent="0.25">
      <c r="A987" s="20"/>
      <c r="B987" s="515"/>
      <c r="C987" s="11"/>
      <c r="D987" s="11"/>
      <c r="E987" s="11"/>
      <c r="F987" s="21"/>
      <c r="G987" s="11"/>
      <c r="H987" s="50"/>
      <c r="I987" s="50"/>
      <c r="J987" s="50"/>
      <c r="K987" s="11"/>
      <c r="L987" s="50"/>
      <c r="M987" s="50"/>
      <c r="N987" s="50"/>
      <c r="O987" s="50"/>
      <c r="P987" s="50"/>
      <c r="Q987" s="11"/>
      <c r="R987" s="50"/>
      <c r="S987" s="50"/>
      <c r="T987" s="50"/>
      <c r="U987" s="11"/>
      <c r="V987" s="50"/>
      <c r="W987" s="50"/>
      <c r="X987" s="50"/>
      <c r="Y987" s="50"/>
      <c r="Z987" s="50"/>
      <c r="AA987" s="11"/>
      <c r="AB987" s="50"/>
      <c r="AC987" s="50"/>
      <c r="AD987" s="50"/>
      <c r="AE987" s="11"/>
      <c r="AF987" s="50"/>
      <c r="AG987" s="50"/>
      <c r="AH987" s="50"/>
      <c r="AI987" s="11"/>
      <c r="AJ987" s="50"/>
      <c r="AK987" s="50"/>
      <c r="AL987" s="50"/>
      <c r="AM987" s="11"/>
      <c r="AN987" s="50"/>
      <c r="AO987" s="50"/>
      <c r="AP987" s="50"/>
      <c r="AQ987" s="11"/>
      <c r="AR987" s="50"/>
      <c r="AS987" s="50"/>
      <c r="AT987" s="50"/>
      <c r="AU987" s="11"/>
      <c r="AV987" s="50"/>
      <c r="AW987" s="50"/>
      <c r="AX987" s="50"/>
      <c r="AY987" s="50"/>
      <c r="AZ987" s="50"/>
      <c r="BA987" s="50"/>
      <c r="BB987" s="50"/>
      <c r="BC987" s="50"/>
      <c r="BD987" s="50"/>
      <c r="BE987" s="20"/>
      <c r="BF987" s="518"/>
      <c r="BG987" s="484"/>
      <c r="BH987" s="484"/>
      <c r="BI987" s="527"/>
      <c r="BJ987" s="484"/>
      <c r="BK987" s="484"/>
      <c r="BL987" s="484"/>
      <c r="BM987" s="484"/>
    </row>
    <row r="988" spans="1:65" s="22" customFormat="1" x14ac:dyDescent="0.25">
      <c r="A988" s="20"/>
      <c r="B988" s="515"/>
      <c r="C988" s="11"/>
      <c r="D988" s="11"/>
      <c r="E988" s="11"/>
      <c r="F988" s="21"/>
      <c r="G988" s="11"/>
      <c r="H988" s="50"/>
      <c r="I988" s="50"/>
      <c r="J988" s="50"/>
      <c r="K988" s="11"/>
      <c r="L988" s="50"/>
      <c r="M988" s="50"/>
      <c r="N988" s="50"/>
      <c r="O988" s="50"/>
      <c r="P988" s="50"/>
      <c r="Q988" s="11"/>
      <c r="R988" s="50"/>
      <c r="S988" s="50"/>
      <c r="T988" s="50"/>
      <c r="U988" s="11"/>
      <c r="V988" s="50"/>
      <c r="W988" s="50"/>
      <c r="X988" s="50"/>
      <c r="Y988" s="50"/>
      <c r="Z988" s="50"/>
      <c r="AA988" s="11"/>
      <c r="AB988" s="50"/>
      <c r="AC988" s="50"/>
      <c r="AD988" s="50"/>
      <c r="AE988" s="11"/>
      <c r="AF988" s="50"/>
      <c r="AG988" s="50"/>
      <c r="AH988" s="50"/>
      <c r="AI988" s="11"/>
      <c r="AJ988" s="50"/>
      <c r="AK988" s="50"/>
      <c r="AL988" s="50"/>
      <c r="AM988" s="11"/>
      <c r="AN988" s="50"/>
      <c r="AO988" s="50"/>
      <c r="AP988" s="50"/>
      <c r="AQ988" s="11"/>
      <c r="AR988" s="50"/>
      <c r="AS988" s="50"/>
      <c r="AT988" s="50"/>
      <c r="AU988" s="11"/>
      <c r="AV988" s="50"/>
      <c r="AW988" s="50"/>
      <c r="AX988" s="50"/>
      <c r="AY988" s="50"/>
      <c r="AZ988" s="50"/>
      <c r="BA988" s="50"/>
      <c r="BB988" s="50"/>
      <c r="BC988" s="50"/>
      <c r="BD988" s="50"/>
      <c r="BE988" s="20"/>
      <c r="BF988" s="518"/>
      <c r="BG988" s="484"/>
      <c r="BH988" s="484"/>
      <c r="BI988" s="527"/>
      <c r="BJ988" s="484"/>
      <c r="BK988" s="484"/>
      <c r="BL988" s="484"/>
      <c r="BM988" s="484"/>
    </row>
    <row r="989" spans="1:65" s="22" customFormat="1" x14ac:dyDescent="0.25">
      <c r="A989" s="20"/>
      <c r="B989" s="515"/>
      <c r="C989" s="11"/>
      <c r="D989" s="11"/>
      <c r="E989" s="11"/>
      <c r="F989" s="21"/>
      <c r="G989" s="11"/>
      <c r="H989" s="50"/>
      <c r="I989" s="50"/>
      <c r="J989" s="50"/>
      <c r="K989" s="11"/>
      <c r="L989" s="50"/>
      <c r="M989" s="50"/>
      <c r="N989" s="50"/>
      <c r="O989" s="50"/>
      <c r="P989" s="50"/>
      <c r="Q989" s="11"/>
      <c r="R989" s="50"/>
      <c r="S989" s="50"/>
      <c r="T989" s="50"/>
      <c r="U989" s="11"/>
      <c r="V989" s="50"/>
      <c r="W989" s="50"/>
      <c r="X989" s="50"/>
      <c r="Y989" s="50"/>
      <c r="Z989" s="50"/>
      <c r="AA989" s="11"/>
      <c r="AB989" s="50"/>
      <c r="AC989" s="50"/>
      <c r="AD989" s="50"/>
      <c r="AE989" s="11"/>
      <c r="AF989" s="50"/>
      <c r="AG989" s="50"/>
      <c r="AH989" s="50"/>
      <c r="AI989" s="11"/>
      <c r="AJ989" s="50"/>
      <c r="AK989" s="50"/>
      <c r="AL989" s="50"/>
      <c r="AM989" s="11"/>
      <c r="AN989" s="50"/>
      <c r="AO989" s="50"/>
      <c r="AP989" s="50"/>
      <c r="AQ989" s="11"/>
      <c r="AR989" s="50"/>
      <c r="AS989" s="50"/>
      <c r="AT989" s="50"/>
      <c r="AU989" s="11"/>
      <c r="AV989" s="50"/>
      <c r="AW989" s="50"/>
      <c r="AX989" s="50"/>
      <c r="AY989" s="50"/>
      <c r="AZ989" s="50"/>
      <c r="BA989" s="50"/>
      <c r="BB989" s="50"/>
      <c r="BC989" s="50"/>
      <c r="BD989" s="50"/>
      <c r="BE989" s="20"/>
      <c r="BF989" s="518"/>
      <c r="BG989" s="484"/>
      <c r="BH989" s="484"/>
      <c r="BI989" s="527"/>
      <c r="BJ989" s="484"/>
      <c r="BK989" s="484"/>
      <c r="BL989" s="484"/>
      <c r="BM989" s="484"/>
    </row>
    <row r="990" spans="1:65" s="22" customFormat="1" x14ac:dyDescent="0.25">
      <c r="A990" s="20"/>
      <c r="B990" s="515"/>
      <c r="C990" s="11"/>
      <c r="D990" s="11"/>
      <c r="E990" s="11"/>
      <c r="F990" s="21"/>
      <c r="G990" s="11"/>
      <c r="H990" s="50"/>
      <c r="I990" s="50"/>
      <c r="J990" s="50"/>
      <c r="K990" s="11"/>
      <c r="L990" s="50"/>
      <c r="M990" s="50"/>
      <c r="N990" s="50"/>
      <c r="O990" s="50"/>
      <c r="P990" s="50"/>
      <c r="Q990" s="11"/>
      <c r="R990" s="50"/>
      <c r="S990" s="50"/>
      <c r="T990" s="50"/>
      <c r="U990" s="11"/>
      <c r="V990" s="50"/>
      <c r="W990" s="50"/>
      <c r="X990" s="50"/>
      <c r="Y990" s="50"/>
      <c r="Z990" s="50"/>
      <c r="AA990" s="11"/>
      <c r="AB990" s="50"/>
      <c r="AC990" s="50"/>
      <c r="AD990" s="50"/>
      <c r="AE990" s="11"/>
      <c r="AF990" s="50"/>
      <c r="AG990" s="50"/>
      <c r="AH990" s="50"/>
      <c r="AI990" s="11"/>
      <c r="AJ990" s="50"/>
      <c r="AK990" s="50"/>
      <c r="AL990" s="50"/>
      <c r="AM990" s="11"/>
      <c r="AN990" s="50"/>
      <c r="AO990" s="50"/>
      <c r="AP990" s="50"/>
      <c r="AQ990" s="11"/>
      <c r="AR990" s="50"/>
      <c r="AS990" s="50"/>
      <c r="AT990" s="50"/>
      <c r="AU990" s="11"/>
      <c r="AV990" s="50"/>
      <c r="AW990" s="50"/>
      <c r="AX990" s="50"/>
      <c r="AY990" s="50"/>
      <c r="AZ990" s="50"/>
      <c r="BA990" s="50"/>
      <c r="BB990" s="50"/>
      <c r="BC990" s="50"/>
      <c r="BD990" s="50"/>
      <c r="BE990" s="20"/>
      <c r="BF990" s="518"/>
      <c r="BG990" s="484"/>
      <c r="BH990" s="484"/>
      <c r="BI990" s="527"/>
      <c r="BJ990" s="484"/>
      <c r="BK990" s="484"/>
      <c r="BL990" s="484"/>
      <c r="BM990" s="484"/>
    </row>
    <row r="991" spans="1:65" s="22" customFormat="1" x14ac:dyDescent="0.25">
      <c r="A991" s="20"/>
      <c r="B991" s="515"/>
      <c r="C991" s="11"/>
      <c r="D991" s="11"/>
      <c r="E991" s="11"/>
      <c r="F991" s="21"/>
      <c r="G991" s="11"/>
      <c r="H991" s="50"/>
      <c r="I991" s="50"/>
      <c r="J991" s="50"/>
      <c r="K991" s="11"/>
      <c r="L991" s="50"/>
      <c r="M991" s="50"/>
      <c r="N991" s="50"/>
      <c r="O991" s="50"/>
      <c r="P991" s="50"/>
      <c r="Q991" s="11"/>
      <c r="R991" s="50"/>
      <c r="S991" s="50"/>
      <c r="T991" s="50"/>
      <c r="U991" s="11"/>
      <c r="V991" s="50"/>
      <c r="W991" s="50"/>
      <c r="X991" s="50"/>
      <c r="Y991" s="50"/>
      <c r="Z991" s="50"/>
      <c r="AA991" s="11"/>
      <c r="AB991" s="50"/>
      <c r="AC991" s="50"/>
      <c r="AD991" s="50"/>
      <c r="AE991" s="11"/>
      <c r="AF991" s="50"/>
      <c r="AG991" s="50"/>
      <c r="AH991" s="50"/>
      <c r="AI991" s="11"/>
      <c r="AJ991" s="50"/>
      <c r="AK991" s="50"/>
      <c r="AL991" s="50"/>
      <c r="AM991" s="11"/>
      <c r="AN991" s="50"/>
      <c r="AO991" s="50"/>
      <c r="AP991" s="50"/>
      <c r="AQ991" s="11"/>
      <c r="AR991" s="50"/>
      <c r="AS991" s="50"/>
      <c r="AT991" s="50"/>
      <c r="AU991" s="11"/>
      <c r="AV991" s="50"/>
      <c r="AW991" s="50"/>
      <c r="AX991" s="50"/>
      <c r="AY991" s="50"/>
      <c r="AZ991" s="50"/>
      <c r="BA991" s="50"/>
      <c r="BB991" s="50"/>
      <c r="BC991" s="50"/>
      <c r="BD991" s="50"/>
      <c r="BE991" s="20"/>
      <c r="BF991" s="518"/>
      <c r="BG991" s="484"/>
      <c r="BH991" s="484"/>
      <c r="BI991" s="527"/>
      <c r="BJ991" s="484"/>
      <c r="BK991" s="484"/>
      <c r="BL991" s="484"/>
      <c r="BM991" s="484"/>
    </row>
    <row r="992" spans="1:65" s="22" customFormat="1" x14ac:dyDescent="0.25">
      <c r="A992" s="20"/>
      <c r="B992" s="515"/>
      <c r="C992" s="11"/>
      <c r="D992" s="11"/>
      <c r="E992" s="11"/>
      <c r="F992" s="21"/>
      <c r="G992" s="11"/>
      <c r="H992" s="50"/>
      <c r="I992" s="50"/>
      <c r="J992" s="50"/>
      <c r="K992" s="11"/>
      <c r="L992" s="50"/>
      <c r="M992" s="50"/>
      <c r="N992" s="50"/>
      <c r="O992" s="50"/>
      <c r="P992" s="50"/>
      <c r="Q992" s="11"/>
      <c r="R992" s="50"/>
      <c r="S992" s="50"/>
      <c r="T992" s="50"/>
      <c r="U992" s="11"/>
      <c r="V992" s="50"/>
      <c r="W992" s="50"/>
      <c r="X992" s="50"/>
      <c r="Y992" s="50"/>
      <c r="Z992" s="50"/>
      <c r="AA992" s="11"/>
      <c r="AB992" s="50"/>
      <c r="AC992" s="50"/>
      <c r="AD992" s="50"/>
      <c r="AE992" s="11"/>
      <c r="AF992" s="50"/>
      <c r="AG992" s="50"/>
      <c r="AH992" s="50"/>
      <c r="AI992" s="11"/>
      <c r="AJ992" s="50"/>
      <c r="AK992" s="50"/>
      <c r="AL992" s="50"/>
      <c r="AM992" s="11"/>
      <c r="AN992" s="50"/>
      <c r="AO992" s="50"/>
      <c r="AP992" s="50"/>
      <c r="AQ992" s="11"/>
      <c r="AR992" s="50"/>
      <c r="AS992" s="50"/>
      <c r="AT992" s="50"/>
      <c r="AU992" s="11"/>
      <c r="AV992" s="50"/>
      <c r="AW992" s="50"/>
      <c r="AX992" s="50"/>
      <c r="AY992" s="50"/>
      <c r="AZ992" s="50"/>
      <c r="BA992" s="50"/>
      <c r="BB992" s="50"/>
      <c r="BC992" s="50"/>
      <c r="BD992" s="50"/>
      <c r="BE992" s="20"/>
      <c r="BF992" s="518"/>
      <c r="BG992" s="484"/>
      <c r="BH992" s="484"/>
      <c r="BI992" s="527"/>
      <c r="BJ992" s="484"/>
      <c r="BK992" s="484"/>
      <c r="BL992" s="484"/>
      <c r="BM992" s="484"/>
    </row>
    <row r="993" spans="1:65" s="22" customFormat="1" x14ac:dyDescent="0.25">
      <c r="A993" s="20"/>
      <c r="B993" s="515"/>
      <c r="C993" s="11"/>
      <c r="D993" s="11"/>
      <c r="E993" s="11"/>
      <c r="F993" s="21"/>
      <c r="G993" s="11"/>
      <c r="H993" s="50"/>
      <c r="I993" s="50"/>
      <c r="J993" s="50"/>
      <c r="K993" s="11"/>
      <c r="L993" s="50"/>
      <c r="M993" s="50"/>
      <c r="N993" s="50"/>
      <c r="O993" s="50"/>
      <c r="P993" s="50"/>
      <c r="Q993" s="11"/>
      <c r="R993" s="50"/>
      <c r="S993" s="50"/>
      <c r="T993" s="50"/>
      <c r="U993" s="11"/>
      <c r="V993" s="50"/>
      <c r="W993" s="50"/>
      <c r="X993" s="50"/>
      <c r="Y993" s="50"/>
      <c r="Z993" s="50"/>
      <c r="AA993" s="11"/>
      <c r="AB993" s="50"/>
      <c r="AC993" s="50"/>
      <c r="AD993" s="50"/>
      <c r="AE993" s="11"/>
      <c r="AF993" s="50"/>
      <c r="AG993" s="50"/>
      <c r="AH993" s="50"/>
      <c r="AI993" s="11"/>
      <c r="AJ993" s="50"/>
      <c r="AK993" s="50"/>
      <c r="AL993" s="50"/>
      <c r="AM993" s="11"/>
      <c r="AN993" s="50"/>
      <c r="AO993" s="50"/>
      <c r="AP993" s="50"/>
      <c r="AQ993" s="11"/>
      <c r="AR993" s="50"/>
      <c r="AS993" s="50"/>
      <c r="AT993" s="50"/>
      <c r="AU993" s="11"/>
      <c r="AV993" s="50"/>
      <c r="AW993" s="50"/>
      <c r="AX993" s="50"/>
      <c r="AY993" s="50"/>
      <c r="AZ993" s="50"/>
      <c r="BA993" s="50"/>
      <c r="BB993" s="50"/>
      <c r="BC993" s="50"/>
      <c r="BD993" s="50"/>
      <c r="BE993" s="20"/>
      <c r="BF993" s="518"/>
      <c r="BG993" s="484"/>
      <c r="BH993" s="484"/>
      <c r="BI993" s="527"/>
      <c r="BJ993" s="484"/>
      <c r="BK993" s="484"/>
      <c r="BL993" s="484"/>
      <c r="BM993" s="484"/>
    </row>
    <row r="994" spans="1:65" s="22" customFormat="1" x14ac:dyDescent="0.25">
      <c r="A994" s="20"/>
      <c r="B994" s="515"/>
      <c r="C994" s="11"/>
      <c r="D994" s="11"/>
      <c r="E994" s="11"/>
      <c r="F994" s="21"/>
      <c r="G994" s="11"/>
      <c r="H994" s="50"/>
      <c r="I994" s="50"/>
      <c r="J994" s="50"/>
      <c r="K994" s="11"/>
      <c r="L994" s="50"/>
      <c r="M994" s="50"/>
      <c r="N994" s="50"/>
      <c r="O994" s="50"/>
      <c r="P994" s="50"/>
      <c r="Q994" s="11"/>
      <c r="R994" s="50"/>
      <c r="S994" s="50"/>
      <c r="T994" s="50"/>
      <c r="U994" s="11"/>
      <c r="V994" s="50"/>
      <c r="W994" s="50"/>
      <c r="X994" s="50"/>
      <c r="Y994" s="50"/>
      <c r="Z994" s="50"/>
      <c r="AA994" s="11"/>
      <c r="AB994" s="50"/>
      <c r="AC994" s="50"/>
      <c r="AD994" s="50"/>
      <c r="AE994" s="11"/>
      <c r="AF994" s="50"/>
      <c r="AG994" s="50"/>
      <c r="AH994" s="50"/>
      <c r="AI994" s="11"/>
      <c r="AJ994" s="50"/>
      <c r="AK994" s="50"/>
      <c r="AL994" s="50"/>
      <c r="AM994" s="11"/>
      <c r="AN994" s="50"/>
      <c r="AO994" s="50"/>
      <c r="AP994" s="50"/>
      <c r="AQ994" s="11"/>
      <c r="AR994" s="50"/>
      <c r="AS994" s="50"/>
      <c r="AT994" s="50"/>
      <c r="AU994" s="11"/>
      <c r="AV994" s="50"/>
      <c r="AW994" s="50"/>
      <c r="AX994" s="50"/>
      <c r="AY994" s="50"/>
      <c r="AZ994" s="50"/>
      <c r="BA994" s="50"/>
      <c r="BB994" s="50"/>
      <c r="BC994" s="50"/>
      <c r="BD994" s="50"/>
      <c r="BE994" s="20"/>
      <c r="BF994" s="518"/>
      <c r="BG994" s="484"/>
      <c r="BH994" s="484"/>
      <c r="BI994" s="527"/>
      <c r="BJ994" s="484"/>
      <c r="BK994" s="484"/>
      <c r="BL994" s="484"/>
      <c r="BM994" s="484"/>
    </row>
    <row r="995" spans="1:65" s="22" customFormat="1" x14ac:dyDescent="0.25">
      <c r="A995" s="20"/>
      <c r="B995" s="515"/>
      <c r="C995" s="11"/>
      <c r="D995" s="11"/>
      <c r="E995" s="11"/>
      <c r="F995" s="21"/>
      <c r="G995" s="11"/>
      <c r="H995" s="50"/>
      <c r="I995" s="50"/>
      <c r="J995" s="50"/>
      <c r="K995" s="11"/>
      <c r="L995" s="50"/>
      <c r="M995" s="50"/>
      <c r="N995" s="50"/>
      <c r="O995" s="50"/>
      <c r="P995" s="50"/>
      <c r="Q995" s="11"/>
      <c r="R995" s="50"/>
      <c r="S995" s="50"/>
      <c r="T995" s="50"/>
      <c r="U995" s="11"/>
      <c r="V995" s="50"/>
      <c r="W995" s="50"/>
      <c r="X995" s="50"/>
      <c r="Y995" s="50"/>
      <c r="Z995" s="50"/>
      <c r="AA995" s="11"/>
      <c r="AB995" s="50"/>
      <c r="AC995" s="50"/>
      <c r="AD995" s="50"/>
      <c r="AE995" s="11"/>
      <c r="AF995" s="50"/>
      <c r="AG995" s="50"/>
      <c r="AH995" s="50"/>
      <c r="AI995" s="11"/>
      <c r="AJ995" s="50"/>
      <c r="AK995" s="50"/>
      <c r="AL995" s="50"/>
      <c r="AM995" s="11"/>
      <c r="AN995" s="50"/>
      <c r="AO995" s="50"/>
      <c r="AP995" s="50"/>
      <c r="AQ995" s="11"/>
      <c r="AR995" s="50"/>
      <c r="AS995" s="50"/>
      <c r="AT995" s="50"/>
      <c r="AU995" s="11"/>
      <c r="AV995" s="50"/>
      <c r="AW995" s="50"/>
      <c r="AX995" s="50"/>
      <c r="AY995" s="50"/>
      <c r="AZ995" s="50"/>
      <c r="BA995" s="50"/>
      <c r="BB995" s="50"/>
      <c r="BC995" s="50"/>
      <c r="BD995" s="50"/>
      <c r="BE995" s="20"/>
      <c r="BF995" s="518"/>
      <c r="BG995" s="484"/>
      <c r="BH995" s="484"/>
      <c r="BI995" s="527"/>
      <c r="BJ995" s="484"/>
      <c r="BK995" s="484"/>
      <c r="BL995" s="484"/>
      <c r="BM995" s="484"/>
    </row>
    <row r="996" spans="1:65" s="22" customFormat="1" x14ac:dyDescent="0.25">
      <c r="A996" s="20"/>
      <c r="B996" s="515"/>
      <c r="C996" s="11"/>
      <c r="D996" s="11"/>
      <c r="E996" s="11"/>
      <c r="F996" s="21"/>
      <c r="G996" s="11"/>
      <c r="H996" s="50"/>
      <c r="I996" s="50"/>
      <c r="J996" s="50"/>
      <c r="K996" s="11"/>
      <c r="L996" s="50"/>
      <c r="M996" s="50"/>
      <c r="N996" s="50"/>
      <c r="O996" s="50"/>
      <c r="P996" s="50"/>
      <c r="Q996" s="11"/>
      <c r="R996" s="50"/>
      <c r="S996" s="50"/>
      <c r="T996" s="50"/>
      <c r="U996" s="11"/>
      <c r="V996" s="50"/>
      <c r="W996" s="50"/>
      <c r="X996" s="50"/>
      <c r="Y996" s="50"/>
      <c r="Z996" s="50"/>
      <c r="AA996" s="11"/>
      <c r="AB996" s="50"/>
      <c r="AC996" s="50"/>
      <c r="AD996" s="50"/>
      <c r="AE996" s="11"/>
      <c r="AF996" s="50"/>
      <c r="AG996" s="50"/>
      <c r="AH996" s="50"/>
      <c r="AI996" s="11"/>
      <c r="AJ996" s="50"/>
      <c r="AK996" s="50"/>
      <c r="AL996" s="50"/>
      <c r="AM996" s="11"/>
      <c r="AN996" s="50"/>
      <c r="AO996" s="50"/>
      <c r="AP996" s="50"/>
      <c r="AQ996" s="11"/>
      <c r="AR996" s="50"/>
      <c r="AS996" s="50"/>
      <c r="AT996" s="50"/>
      <c r="AU996" s="11"/>
      <c r="AV996" s="50"/>
      <c r="AW996" s="50"/>
      <c r="AX996" s="50"/>
      <c r="AY996" s="50"/>
      <c r="AZ996" s="50"/>
      <c r="BA996" s="50"/>
      <c r="BB996" s="50"/>
      <c r="BC996" s="50"/>
      <c r="BD996" s="50"/>
      <c r="BE996" s="20"/>
      <c r="BF996" s="518"/>
      <c r="BG996" s="484"/>
      <c r="BH996" s="484"/>
      <c r="BI996" s="527"/>
      <c r="BJ996" s="484"/>
      <c r="BK996" s="484"/>
      <c r="BL996" s="484"/>
      <c r="BM996" s="484"/>
    </row>
    <row r="997" spans="1:65" s="22" customFormat="1" x14ac:dyDescent="0.25">
      <c r="A997" s="20"/>
      <c r="B997" s="515"/>
      <c r="C997" s="11"/>
      <c r="D997" s="11"/>
      <c r="E997" s="11"/>
      <c r="F997" s="21"/>
      <c r="G997" s="11"/>
      <c r="H997" s="50"/>
      <c r="I997" s="50"/>
      <c r="J997" s="50"/>
      <c r="K997" s="11"/>
      <c r="L997" s="50"/>
      <c r="M997" s="50"/>
      <c r="N997" s="50"/>
      <c r="O997" s="50"/>
      <c r="P997" s="50"/>
      <c r="Q997" s="11"/>
      <c r="R997" s="50"/>
      <c r="S997" s="50"/>
      <c r="T997" s="50"/>
      <c r="U997" s="11"/>
      <c r="V997" s="50"/>
      <c r="W997" s="50"/>
      <c r="X997" s="50"/>
      <c r="Y997" s="50"/>
      <c r="Z997" s="50"/>
      <c r="AA997" s="11"/>
      <c r="AB997" s="50"/>
      <c r="AC997" s="50"/>
      <c r="AD997" s="50"/>
      <c r="AE997" s="11"/>
      <c r="AF997" s="50"/>
      <c r="AG997" s="50"/>
      <c r="AH997" s="50"/>
      <c r="AI997" s="11"/>
      <c r="AJ997" s="50"/>
      <c r="AK997" s="50"/>
      <c r="AL997" s="50"/>
      <c r="AM997" s="11"/>
      <c r="AN997" s="50"/>
      <c r="AO997" s="50"/>
      <c r="AP997" s="50"/>
      <c r="AQ997" s="11"/>
      <c r="AR997" s="50"/>
      <c r="AS997" s="50"/>
      <c r="AT997" s="50"/>
      <c r="AU997" s="11"/>
      <c r="AV997" s="50"/>
      <c r="AW997" s="50"/>
      <c r="AX997" s="50"/>
      <c r="AY997" s="50"/>
      <c r="AZ997" s="50"/>
      <c r="BA997" s="50"/>
      <c r="BB997" s="50"/>
      <c r="BC997" s="50"/>
      <c r="BD997" s="50"/>
      <c r="BE997" s="20"/>
      <c r="BF997" s="518"/>
      <c r="BG997" s="484"/>
      <c r="BH997" s="484"/>
      <c r="BI997" s="527"/>
      <c r="BJ997" s="484"/>
      <c r="BK997" s="484"/>
      <c r="BL997" s="484"/>
      <c r="BM997" s="484"/>
    </row>
    <row r="998" spans="1:65" s="22" customFormat="1" x14ac:dyDescent="0.25">
      <c r="A998" s="20"/>
      <c r="B998" s="515"/>
      <c r="C998" s="11"/>
      <c r="D998" s="11"/>
      <c r="E998" s="11"/>
      <c r="F998" s="21"/>
      <c r="G998" s="11"/>
      <c r="H998" s="50"/>
      <c r="I998" s="50"/>
      <c r="J998" s="50"/>
      <c r="K998" s="11"/>
      <c r="L998" s="50"/>
      <c r="M998" s="50"/>
      <c r="N998" s="50"/>
      <c r="O998" s="50"/>
      <c r="P998" s="50"/>
      <c r="Q998" s="11"/>
      <c r="R998" s="50"/>
      <c r="S998" s="50"/>
      <c r="T998" s="50"/>
      <c r="U998" s="11"/>
      <c r="V998" s="50"/>
      <c r="W998" s="50"/>
      <c r="X998" s="50"/>
      <c r="Y998" s="50"/>
      <c r="Z998" s="50"/>
      <c r="AA998" s="11"/>
      <c r="AB998" s="50"/>
      <c r="AC998" s="50"/>
      <c r="AD998" s="50"/>
      <c r="AE998" s="11"/>
      <c r="AF998" s="50"/>
      <c r="AG998" s="50"/>
      <c r="AH998" s="50"/>
      <c r="AI998" s="11"/>
      <c r="AJ998" s="50"/>
      <c r="AK998" s="50"/>
      <c r="AL998" s="50"/>
      <c r="AM998" s="11"/>
      <c r="AN998" s="50"/>
      <c r="AO998" s="50"/>
      <c r="AP998" s="50"/>
      <c r="AQ998" s="11"/>
      <c r="AR998" s="50"/>
      <c r="AS998" s="50"/>
      <c r="AT998" s="50"/>
      <c r="AU998" s="11"/>
      <c r="AV998" s="50"/>
      <c r="AW998" s="50"/>
      <c r="AX998" s="50"/>
      <c r="AY998" s="50"/>
      <c r="AZ998" s="50"/>
      <c r="BA998" s="50"/>
      <c r="BB998" s="50"/>
      <c r="BC998" s="50"/>
      <c r="BD998" s="50"/>
      <c r="BE998" s="20"/>
      <c r="BF998" s="518"/>
      <c r="BG998" s="484"/>
      <c r="BH998" s="484"/>
      <c r="BI998" s="527"/>
      <c r="BJ998" s="484"/>
      <c r="BK998" s="484"/>
      <c r="BL998" s="484"/>
      <c r="BM998" s="484"/>
    </row>
    <row r="999" spans="1:65" s="22" customFormat="1" x14ac:dyDescent="0.25">
      <c r="A999" s="20"/>
      <c r="B999" s="515"/>
      <c r="C999" s="11"/>
      <c r="D999" s="11"/>
      <c r="E999" s="11"/>
      <c r="F999" s="21"/>
      <c r="G999" s="11"/>
      <c r="H999" s="50"/>
      <c r="I999" s="50"/>
      <c r="J999" s="50"/>
      <c r="K999" s="11"/>
      <c r="L999" s="50"/>
      <c r="M999" s="50"/>
      <c r="N999" s="50"/>
      <c r="O999" s="50"/>
      <c r="P999" s="50"/>
      <c r="Q999" s="11"/>
      <c r="R999" s="50"/>
      <c r="S999" s="50"/>
      <c r="T999" s="50"/>
      <c r="U999" s="11"/>
      <c r="V999" s="50"/>
      <c r="W999" s="50"/>
      <c r="X999" s="50"/>
      <c r="Y999" s="50"/>
      <c r="Z999" s="50"/>
      <c r="AA999" s="11"/>
      <c r="AB999" s="50"/>
      <c r="AC999" s="50"/>
      <c r="AD999" s="50"/>
      <c r="AE999" s="11"/>
      <c r="AF999" s="50"/>
      <c r="AG999" s="50"/>
      <c r="AH999" s="50"/>
      <c r="AI999" s="11"/>
      <c r="AJ999" s="50"/>
      <c r="AK999" s="50"/>
      <c r="AL999" s="50"/>
      <c r="AM999" s="11"/>
      <c r="AN999" s="50"/>
      <c r="AO999" s="50"/>
      <c r="AP999" s="50"/>
      <c r="AQ999" s="11"/>
      <c r="AR999" s="50"/>
      <c r="AS999" s="50"/>
      <c r="AT999" s="50"/>
      <c r="AU999" s="11"/>
      <c r="AV999" s="50"/>
      <c r="AW999" s="50"/>
      <c r="AX999" s="50"/>
      <c r="AY999" s="50"/>
      <c r="AZ999" s="50"/>
      <c r="BA999" s="50"/>
      <c r="BB999" s="50"/>
      <c r="BC999" s="50"/>
      <c r="BD999" s="50"/>
      <c r="BE999" s="20"/>
      <c r="BF999" s="518"/>
      <c r="BG999" s="484"/>
      <c r="BH999" s="484"/>
      <c r="BI999" s="527"/>
      <c r="BJ999" s="484"/>
      <c r="BK999" s="484"/>
      <c r="BL999" s="484"/>
      <c r="BM999" s="484"/>
    </row>
    <row r="1000" spans="1:65" s="22" customFormat="1" x14ac:dyDescent="0.25">
      <c r="A1000" s="20"/>
      <c r="B1000" s="515"/>
      <c r="C1000" s="11"/>
      <c r="D1000" s="11"/>
      <c r="E1000" s="11"/>
      <c r="F1000" s="21"/>
      <c r="G1000" s="11"/>
      <c r="H1000" s="50"/>
      <c r="I1000" s="50"/>
      <c r="J1000" s="50"/>
      <c r="K1000" s="11"/>
      <c r="L1000" s="50"/>
      <c r="M1000" s="50"/>
      <c r="N1000" s="50"/>
      <c r="O1000" s="50"/>
      <c r="P1000" s="50"/>
      <c r="Q1000" s="11"/>
      <c r="R1000" s="50"/>
      <c r="S1000" s="50"/>
      <c r="T1000" s="50"/>
      <c r="U1000" s="11"/>
      <c r="V1000" s="50"/>
      <c r="W1000" s="50"/>
      <c r="X1000" s="50"/>
      <c r="Y1000" s="50"/>
      <c r="Z1000" s="50"/>
      <c r="AA1000" s="11"/>
      <c r="AB1000" s="50"/>
      <c r="AC1000" s="50"/>
      <c r="AD1000" s="50"/>
      <c r="AE1000" s="11"/>
      <c r="AF1000" s="50"/>
      <c r="AG1000" s="50"/>
      <c r="AH1000" s="50"/>
      <c r="AI1000" s="11"/>
      <c r="AJ1000" s="50"/>
      <c r="AK1000" s="50"/>
      <c r="AL1000" s="50"/>
      <c r="AM1000" s="11"/>
      <c r="AN1000" s="50"/>
      <c r="AO1000" s="50"/>
      <c r="AP1000" s="50"/>
      <c r="AQ1000" s="11"/>
      <c r="AR1000" s="50"/>
      <c r="AS1000" s="50"/>
      <c r="AT1000" s="50"/>
      <c r="AU1000" s="11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20"/>
      <c r="BF1000" s="518"/>
      <c r="BG1000" s="484"/>
      <c r="BH1000" s="484"/>
      <c r="BI1000" s="527"/>
      <c r="BJ1000" s="484"/>
      <c r="BK1000" s="484"/>
      <c r="BL1000" s="484"/>
      <c r="BM1000" s="484"/>
    </row>
    <row r="1001" spans="1:65" s="22" customFormat="1" x14ac:dyDescent="0.25">
      <c r="A1001" s="20"/>
      <c r="B1001" s="515"/>
      <c r="C1001" s="11"/>
      <c r="D1001" s="11"/>
      <c r="E1001" s="11"/>
      <c r="F1001" s="21"/>
      <c r="G1001" s="11"/>
      <c r="H1001" s="50"/>
      <c r="I1001" s="50"/>
      <c r="J1001" s="50"/>
      <c r="K1001" s="11"/>
      <c r="L1001" s="50"/>
      <c r="M1001" s="50"/>
      <c r="N1001" s="50"/>
      <c r="O1001" s="50"/>
      <c r="P1001" s="50"/>
      <c r="Q1001" s="11"/>
      <c r="R1001" s="50"/>
      <c r="S1001" s="50"/>
      <c r="T1001" s="50"/>
      <c r="U1001" s="11"/>
      <c r="V1001" s="50"/>
      <c r="W1001" s="50"/>
      <c r="X1001" s="50"/>
      <c r="Y1001" s="50"/>
      <c r="Z1001" s="50"/>
      <c r="AA1001" s="11"/>
      <c r="AB1001" s="50"/>
      <c r="AC1001" s="50"/>
      <c r="AD1001" s="50"/>
      <c r="AE1001" s="11"/>
      <c r="AF1001" s="50"/>
      <c r="AG1001" s="50"/>
      <c r="AH1001" s="50"/>
      <c r="AI1001" s="11"/>
      <c r="AJ1001" s="50"/>
      <c r="AK1001" s="50"/>
      <c r="AL1001" s="50"/>
      <c r="AM1001" s="11"/>
      <c r="AN1001" s="50"/>
      <c r="AO1001" s="50"/>
      <c r="AP1001" s="50"/>
      <c r="AQ1001" s="11"/>
      <c r="AR1001" s="50"/>
      <c r="AS1001" s="50"/>
      <c r="AT1001" s="50"/>
      <c r="AU1001" s="11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20"/>
      <c r="BF1001" s="518"/>
      <c r="BG1001" s="484"/>
      <c r="BH1001" s="484"/>
      <c r="BI1001" s="527"/>
      <c r="BJ1001" s="484"/>
      <c r="BK1001" s="484"/>
      <c r="BL1001" s="484"/>
      <c r="BM1001" s="484"/>
    </row>
    <row r="1002" spans="1:65" s="22" customFormat="1" x14ac:dyDescent="0.25">
      <c r="A1002" s="20"/>
      <c r="B1002" s="515"/>
      <c r="C1002" s="11"/>
      <c r="D1002" s="11"/>
      <c r="E1002" s="11"/>
      <c r="F1002" s="21"/>
      <c r="G1002" s="11"/>
      <c r="H1002" s="50"/>
      <c r="I1002" s="50"/>
      <c r="J1002" s="50"/>
      <c r="K1002" s="11"/>
      <c r="L1002" s="50"/>
      <c r="M1002" s="50"/>
      <c r="N1002" s="50"/>
      <c r="O1002" s="50"/>
      <c r="P1002" s="50"/>
      <c r="Q1002" s="11"/>
      <c r="R1002" s="50"/>
      <c r="S1002" s="50"/>
      <c r="T1002" s="50"/>
      <c r="U1002" s="11"/>
      <c r="V1002" s="50"/>
      <c r="W1002" s="50"/>
      <c r="X1002" s="50"/>
      <c r="Y1002" s="50"/>
      <c r="Z1002" s="50"/>
      <c r="AA1002" s="11"/>
      <c r="AB1002" s="50"/>
      <c r="AC1002" s="50"/>
      <c r="AD1002" s="50"/>
      <c r="AE1002" s="11"/>
      <c r="AF1002" s="50"/>
      <c r="AG1002" s="50"/>
      <c r="AH1002" s="50"/>
      <c r="AI1002" s="11"/>
      <c r="AJ1002" s="50"/>
      <c r="AK1002" s="50"/>
      <c r="AL1002" s="50"/>
      <c r="AM1002" s="11"/>
      <c r="AN1002" s="50"/>
      <c r="AO1002" s="50"/>
      <c r="AP1002" s="50"/>
      <c r="AQ1002" s="11"/>
      <c r="AR1002" s="50"/>
      <c r="AS1002" s="50"/>
      <c r="AT1002" s="50"/>
      <c r="AU1002" s="11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20"/>
      <c r="BF1002" s="518"/>
      <c r="BG1002" s="484"/>
      <c r="BH1002" s="484"/>
      <c r="BI1002" s="527"/>
      <c r="BJ1002" s="484"/>
      <c r="BK1002" s="484"/>
      <c r="BL1002" s="484"/>
      <c r="BM1002" s="484"/>
    </row>
    <row r="1003" spans="1:65" s="22" customFormat="1" x14ac:dyDescent="0.25">
      <c r="A1003" s="20"/>
      <c r="B1003" s="515"/>
      <c r="C1003" s="11"/>
      <c r="D1003" s="11"/>
      <c r="E1003" s="11"/>
      <c r="F1003" s="21"/>
      <c r="G1003" s="11"/>
      <c r="H1003" s="50"/>
      <c r="I1003" s="50"/>
      <c r="J1003" s="50"/>
      <c r="K1003" s="11"/>
      <c r="L1003" s="50"/>
      <c r="M1003" s="50"/>
      <c r="N1003" s="50"/>
      <c r="O1003" s="50"/>
      <c r="P1003" s="50"/>
      <c r="Q1003" s="11"/>
      <c r="R1003" s="50"/>
      <c r="S1003" s="50"/>
      <c r="T1003" s="50"/>
      <c r="U1003" s="11"/>
      <c r="V1003" s="50"/>
      <c r="W1003" s="50"/>
      <c r="X1003" s="50"/>
      <c r="Y1003" s="50"/>
      <c r="Z1003" s="50"/>
      <c r="AA1003" s="11"/>
      <c r="AB1003" s="50"/>
      <c r="AC1003" s="50"/>
      <c r="AD1003" s="50"/>
      <c r="AE1003" s="11"/>
      <c r="AF1003" s="50"/>
      <c r="AG1003" s="50"/>
      <c r="AH1003" s="50"/>
      <c r="AI1003" s="11"/>
      <c r="AJ1003" s="50"/>
      <c r="AK1003" s="50"/>
      <c r="AL1003" s="50"/>
      <c r="AM1003" s="11"/>
      <c r="AN1003" s="50"/>
      <c r="AO1003" s="50"/>
      <c r="AP1003" s="50"/>
      <c r="AQ1003" s="11"/>
      <c r="AR1003" s="50"/>
      <c r="AS1003" s="50"/>
      <c r="AT1003" s="50"/>
      <c r="AU1003" s="11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20"/>
      <c r="BF1003" s="518"/>
      <c r="BG1003" s="484"/>
      <c r="BH1003" s="484"/>
      <c r="BI1003" s="527"/>
      <c r="BJ1003" s="484"/>
      <c r="BK1003" s="484"/>
      <c r="BL1003" s="484"/>
      <c r="BM1003" s="484"/>
    </row>
    <row r="1004" spans="1:65" s="22" customFormat="1" x14ac:dyDescent="0.25">
      <c r="A1004" s="20"/>
      <c r="B1004" s="515"/>
      <c r="C1004" s="11"/>
      <c r="D1004" s="11"/>
      <c r="E1004" s="11"/>
      <c r="F1004" s="21"/>
      <c r="G1004" s="11"/>
      <c r="H1004" s="50"/>
      <c r="I1004" s="50"/>
      <c r="J1004" s="50"/>
      <c r="K1004" s="11"/>
      <c r="L1004" s="50"/>
      <c r="M1004" s="50"/>
      <c r="N1004" s="50"/>
      <c r="O1004" s="50"/>
      <c r="P1004" s="50"/>
      <c r="Q1004" s="11"/>
      <c r="R1004" s="50"/>
      <c r="S1004" s="50"/>
      <c r="T1004" s="50"/>
      <c r="U1004" s="11"/>
      <c r="V1004" s="50"/>
      <c r="W1004" s="50"/>
      <c r="X1004" s="50"/>
      <c r="Y1004" s="50"/>
      <c r="Z1004" s="50"/>
      <c r="AA1004" s="11"/>
      <c r="AB1004" s="50"/>
      <c r="AC1004" s="50"/>
      <c r="AD1004" s="50"/>
      <c r="AE1004" s="11"/>
      <c r="AF1004" s="50"/>
      <c r="AG1004" s="50"/>
      <c r="AH1004" s="50"/>
      <c r="AI1004" s="11"/>
      <c r="AJ1004" s="50"/>
      <c r="AK1004" s="50"/>
      <c r="AL1004" s="50"/>
      <c r="AM1004" s="11"/>
      <c r="AN1004" s="50"/>
      <c r="AO1004" s="50"/>
      <c r="AP1004" s="50"/>
      <c r="AQ1004" s="11"/>
      <c r="AR1004" s="50"/>
      <c r="AS1004" s="50"/>
      <c r="AT1004" s="50"/>
      <c r="AU1004" s="11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20"/>
      <c r="BF1004" s="518"/>
      <c r="BG1004" s="484"/>
      <c r="BH1004" s="484"/>
      <c r="BI1004" s="527"/>
      <c r="BJ1004" s="484"/>
      <c r="BK1004" s="484"/>
      <c r="BL1004" s="484"/>
      <c r="BM1004" s="484"/>
    </row>
    <row r="1005" spans="1:65" s="22" customFormat="1" x14ac:dyDescent="0.25">
      <c r="A1005" s="20"/>
      <c r="B1005" s="515"/>
      <c r="C1005" s="11"/>
      <c r="D1005" s="11"/>
      <c r="E1005" s="11"/>
      <c r="F1005" s="21"/>
      <c r="G1005" s="11"/>
      <c r="H1005" s="50"/>
      <c r="I1005" s="50"/>
      <c r="J1005" s="50"/>
      <c r="K1005" s="11"/>
      <c r="L1005" s="50"/>
      <c r="M1005" s="50"/>
      <c r="N1005" s="50"/>
      <c r="O1005" s="50"/>
      <c r="P1005" s="50"/>
      <c r="Q1005" s="11"/>
      <c r="R1005" s="50"/>
      <c r="S1005" s="50"/>
      <c r="T1005" s="50"/>
      <c r="U1005" s="11"/>
      <c r="V1005" s="50"/>
      <c r="W1005" s="50"/>
      <c r="X1005" s="50"/>
      <c r="Y1005" s="50"/>
      <c r="Z1005" s="50"/>
      <c r="AA1005" s="11"/>
      <c r="AB1005" s="50"/>
      <c r="AC1005" s="50"/>
      <c r="AD1005" s="50"/>
      <c r="AE1005" s="11"/>
      <c r="AF1005" s="50"/>
      <c r="AG1005" s="50"/>
      <c r="AH1005" s="50"/>
      <c r="AI1005" s="11"/>
      <c r="AJ1005" s="50"/>
      <c r="AK1005" s="50"/>
      <c r="AL1005" s="50"/>
      <c r="AM1005" s="11"/>
      <c r="AN1005" s="50"/>
      <c r="AO1005" s="50"/>
      <c r="AP1005" s="50"/>
      <c r="AQ1005" s="11"/>
      <c r="AR1005" s="50"/>
      <c r="AS1005" s="50"/>
      <c r="AT1005" s="50"/>
      <c r="AU1005" s="11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20"/>
      <c r="BF1005" s="518"/>
      <c r="BG1005" s="484"/>
      <c r="BH1005" s="484"/>
      <c r="BI1005" s="527"/>
      <c r="BJ1005" s="484"/>
      <c r="BK1005" s="484"/>
      <c r="BL1005" s="484"/>
      <c r="BM1005" s="484"/>
    </row>
    <row r="1006" spans="1:65" s="22" customFormat="1" x14ac:dyDescent="0.25">
      <c r="A1006" s="20"/>
      <c r="B1006" s="515"/>
      <c r="C1006" s="11"/>
      <c r="D1006" s="11"/>
      <c r="E1006" s="11"/>
      <c r="F1006" s="21"/>
      <c r="G1006" s="11"/>
      <c r="H1006" s="50"/>
      <c r="I1006" s="50"/>
      <c r="J1006" s="50"/>
      <c r="K1006" s="11"/>
      <c r="L1006" s="50"/>
      <c r="M1006" s="50"/>
      <c r="N1006" s="50"/>
      <c r="O1006" s="50"/>
      <c r="P1006" s="50"/>
      <c r="Q1006" s="11"/>
      <c r="R1006" s="50"/>
      <c r="S1006" s="50"/>
      <c r="T1006" s="50"/>
      <c r="U1006" s="11"/>
      <c r="V1006" s="50"/>
      <c r="W1006" s="50"/>
      <c r="X1006" s="50"/>
      <c r="Y1006" s="50"/>
      <c r="Z1006" s="50"/>
      <c r="AA1006" s="11"/>
      <c r="AB1006" s="50"/>
      <c r="AC1006" s="50"/>
      <c r="AD1006" s="50"/>
      <c r="AE1006" s="11"/>
      <c r="AF1006" s="50"/>
      <c r="AG1006" s="50"/>
      <c r="AH1006" s="50"/>
      <c r="AI1006" s="11"/>
      <c r="AJ1006" s="50"/>
      <c r="AK1006" s="50"/>
      <c r="AL1006" s="50"/>
      <c r="AM1006" s="11"/>
      <c r="AN1006" s="50"/>
      <c r="AO1006" s="50"/>
      <c r="AP1006" s="50"/>
      <c r="AQ1006" s="11"/>
      <c r="AR1006" s="50"/>
      <c r="AS1006" s="50"/>
      <c r="AT1006" s="50"/>
      <c r="AU1006" s="11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20"/>
      <c r="BF1006" s="518"/>
      <c r="BG1006" s="484"/>
      <c r="BH1006" s="484"/>
      <c r="BI1006" s="527"/>
      <c r="BJ1006" s="484"/>
      <c r="BK1006" s="484"/>
      <c r="BL1006" s="484"/>
      <c r="BM1006" s="484"/>
    </row>
    <row r="1007" spans="1:65" s="22" customFormat="1" x14ac:dyDescent="0.25">
      <c r="A1007" s="20"/>
      <c r="B1007" s="515"/>
      <c r="C1007" s="11"/>
      <c r="D1007" s="11"/>
      <c r="E1007" s="11"/>
      <c r="F1007" s="21"/>
      <c r="G1007" s="11"/>
      <c r="H1007" s="50"/>
      <c r="I1007" s="50"/>
      <c r="J1007" s="50"/>
      <c r="K1007" s="11"/>
      <c r="L1007" s="50"/>
      <c r="M1007" s="50"/>
      <c r="N1007" s="50"/>
      <c r="O1007" s="50"/>
      <c r="P1007" s="50"/>
      <c r="Q1007" s="11"/>
      <c r="R1007" s="50"/>
      <c r="S1007" s="50"/>
      <c r="T1007" s="50"/>
      <c r="U1007" s="11"/>
      <c r="V1007" s="50"/>
      <c r="W1007" s="50"/>
      <c r="X1007" s="50"/>
      <c r="Y1007" s="50"/>
      <c r="Z1007" s="50"/>
      <c r="AA1007" s="11"/>
      <c r="AB1007" s="50"/>
      <c r="AC1007" s="50"/>
      <c r="AD1007" s="50"/>
      <c r="AE1007" s="11"/>
      <c r="AF1007" s="50"/>
      <c r="AG1007" s="50"/>
      <c r="AH1007" s="50"/>
      <c r="AI1007" s="11"/>
      <c r="AJ1007" s="50"/>
      <c r="AK1007" s="50"/>
      <c r="AL1007" s="50"/>
      <c r="AM1007" s="11"/>
      <c r="AN1007" s="50"/>
      <c r="AO1007" s="50"/>
      <c r="AP1007" s="50"/>
      <c r="AQ1007" s="11"/>
      <c r="AR1007" s="50"/>
      <c r="AS1007" s="50"/>
      <c r="AT1007" s="50"/>
      <c r="AU1007" s="11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20"/>
      <c r="BF1007" s="518"/>
      <c r="BG1007" s="484"/>
      <c r="BH1007" s="484"/>
      <c r="BI1007" s="527"/>
      <c r="BJ1007" s="484"/>
      <c r="BK1007" s="484"/>
      <c r="BL1007" s="484"/>
      <c r="BM1007" s="484"/>
    </row>
    <row r="1008" spans="1:65" s="22" customFormat="1" x14ac:dyDescent="0.25">
      <c r="A1008" s="20"/>
      <c r="B1008" s="515"/>
      <c r="C1008" s="11"/>
      <c r="D1008" s="11"/>
      <c r="E1008" s="11"/>
      <c r="F1008" s="21"/>
      <c r="G1008" s="11"/>
      <c r="H1008" s="50"/>
      <c r="I1008" s="50"/>
      <c r="J1008" s="50"/>
      <c r="K1008" s="11"/>
      <c r="L1008" s="50"/>
      <c r="M1008" s="50"/>
      <c r="N1008" s="50"/>
      <c r="O1008" s="50"/>
      <c r="P1008" s="50"/>
      <c r="Q1008" s="11"/>
      <c r="R1008" s="50"/>
      <c r="S1008" s="50"/>
      <c r="T1008" s="50"/>
      <c r="U1008" s="11"/>
      <c r="V1008" s="50"/>
      <c r="W1008" s="50"/>
      <c r="X1008" s="50"/>
      <c r="Y1008" s="50"/>
      <c r="Z1008" s="50"/>
      <c r="AA1008" s="11"/>
      <c r="AB1008" s="50"/>
      <c r="AC1008" s="50"/>
      <c r="AD1008" s="50"/>
      <c r="AE1008" s="11"/>
      <c r="AF1008" s="50"/>
      <c r="AG1008" s="50"/>
      <c r="AH1008" s="50"/>
      <c r="AI1008" s="11"/>
      <c r="AJ1008" s="50"/>
      <c r="AK1008" s="50"/>
      <c r="AL1008" s="50"/>
      <c r="AM1008" s="11"/>
      <c r="AN1008" s="50"/>
      <c r="AO1008" s="50"/>
      <c r="AP1008" s="50"/>
      <c r="AQ1008" s="11"/>
      <c r="AR1008" s="50"/>
      <c r="AS1008" s="50"/>
      <c r="AT1008" s="50"/>
      <c r="AU1008" s="11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20"/>
      <c r="BF1008" s="518"/>
      <c r="BG1008" s="484"/>
      <c r="BH1008" s="484"/>
      <c r="BI1008" s="527"/>
      <c r="BJ1008" s="484"/>
      <c r="BK1008" s="484"/>
      <c r="BL1008" s="484"/>
      <c r="BM1008" s="484"/>
    </row>
    <row r="1009" spans="1:65" s="22" customFormat="1" x14ac:dyDescent="0.25">
      <c r="A1009" s="20"/>
      <c r="B1009" s="515"/>
      <c r="C1009" s="11"/>
      <c r="D1009" s="11"/>
      <c r="E1009" s="11"/>
      <c r="F1009" s="21"/>
      <c r="G1009" s="11"/>
      <c r="H1009" s="50"/>
      <c r="I1009" s="50"/>
      <c r="J1009" s="50"/>
      <c r="K1009" s="11"/>
      <c r="L1009" s="50"/>
      <c r="M1009" s="50"/>
      <c r="N1009" s="50"/>
      <c r="O1009" s="50"/>
      <c r="P1009" s="50"/>
      <c r="Q1009" s="11"/>
      <c r="R1009" s="50"/>
      <c r="S1009" s="50"/>
      <c r="T1009" s="50"/>
      <c r="U1009" s="11"/>
      <c r="V1009" s="50"/>
      <c r="W1009" s="50"/>
      <c r="X1009" s="50"/>
      <c r="Y1009" s="50"/>
      <c r="Z1009" s="50"/>
      <c r="AA1009" s="11"/>
      <c r="AB1009" s="50"/>
      <c r="AC1009" s="50"/>
      <c r="AD1009" s="50"/>
      <c r="AE1009" s="11"/>
      <c r="AF1009" s="50"/>
      <c r="AG1009" s="50"/>
      <c r="AH1009" s="50"/>
      <c r="AI1009" s="11"/>
      <c r="AJ1009" s="50"/>
      <c r="AK1009" s="50"/>
      <c r="AL1009" s="50"/>
      <c r="AM1009" s="11"/>
      <c r="AN1009" s="50"/>
      <c r="AO1009" s="50"/>
      <c r="AP1009" s="50"/>
      <c r="AQ1009" s="11"/>
      <c r="AR1009" s="50"/>
      <c r="AS1009" s="50"/>
      <c r="AT1009" s="50"/>
      <c r="AU1009" s="11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20"/>
      <c r="BF1009" s="518"/>
      <c r="BG1009" s="484"/>
      <c r="BH1009" s="484"/>
      <c r="BI1009" s="527"/>
      <c r="BJ1009" s="484"/>
      <c r="BK1009" s="484"/>
      <c r="BL1009" s="484"/>
      <c r="BM1009" s="484"/>
    </row>
    <row r="1010" spans="1:65" s="22" customFormat="1" x14ac:dyDescent="0.25">
      <c r="A1010" s="20"/>
      <c r="B1010" s="515"/>
      <c r="C1010" s="11"/>
      <c r="D1010" s="11"/>
      <c r="E1010" s="11"/>
      <c r="F1010" s="21"/>
      <c r="G1010" s="11"/>
      <c r="H1010" s="50"/>
      <c r="I1010" s="50"/>
      <c r="J1010" s="50"/>
      <c r="K1010" s="11"/>
      <c r="L1010" s="50"/>
      <c r="M1010" s="50"/>
      <c r="N1010" s="50"/>
      <c r="O1010" s="50"/>
      <c r="P1010" s="50"/>
      <c r="Q1010" s="11"/>
      <c r="R1010" s="50"/>
      <c r="S1010" s="50"/>
      <c r="T1010" s="50"/>
      <c r="U1010" s="11"/>
      <c r="V1010" s="50"/>
      <c r="W1010" s="50"/>
      <c r="X1010" s="50"/>
      <c r="Y1010" s="50"/>
      <c r="Z1010" s="50"/>
      <c r="AA1010" s="11"/>
      <c r="AB1010" s="50"/>
      <c r="AC1010" s="50"/>
      <c r="AD1010" s="50"/>
      <c r="AE1010" s="11"/>
      <c r="AF1010" s="50"/>
      <c r="AG1010" s="50"/>
      <c r="AH1010" s="50"/>
      <c r="AI1010" s="11"/>
      <c r="AJ1010" s="50"/>
      <c r="AK1010" s="50"/>
      <c r="AL1010" s="50"/>
      <c r="AM1010" s="11"/>
      <c r="AN1010" s="50"/>
      <c r="AO1010" s="50"/>
      <c r="AP1010" s="50"/>
      <c r="AQ1010" s="11"/>
      <c r="AR1010" s="50"/>
      <c r="AS1010" s="50"/>
      <c r="AT1010" s="50"/>
      <c r="AU1010" s="11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20"/>
      <c r="BF1010" s="518"/>
      <c r="BG1010" s="484"/>
      <c r="BH1010" s="484"/>
      <c r="BI1010" s="527"/>
      <c r="BJ1010" s="484"/>
      <c r="BK1010" s="484"/>
      <c r="BL1010" s="484"/>
      <c r="BM1010" s="484"/>
    </row>
    <row r="1011" spans="1:65" s="22" customFormat="1" x14ac:dyDescent="0.25">
      <c r="A1011" s="20"/>
      <c r="B1011" s="515"/>
      <c r="C1011" s="11"/>
      <c r="D1011" s="11"/>
      <c r="E1011" s="11"/>
      <c r="F1011" s="21"/>
      <c r="G1011" s="11"/>
      <c r="H1011" s="50"/>
      <c r="I1011" s="50"/>
      <c r="J1011" s="50"/>
      <c r="K1011" s="11"/>
      <c r="L1011" s="50"/>
      <c r="M1011" s="50"/>
      <c r="N1011" s="50"/>
      <c r="O1011" s="50"/>
      <c r="P1011" s="50"/>
      <c r="Q1011" s="11"/>
      <c r="R1011" s="50"/>
      <c r="S1011" s="50"/>
      <c r="T1011" s="50"/>
      <c r="U1011" s="11"/>
      <c r="V1011" s="50"/>
      <c r="W1011" s="50"/>
      <c r="X1011" s="50"/>
      <c r="Y1011" s="50"/>
      <c r="Z1011" s="50"/>
      <c r="AA1011" s="11"/>
      <c r="AB1011" s="50"/>
      <c r="AC1011" s="50"/>
      <c r="AD1011" s="50"/>
      <c r="AE1011" s="11"/>
      <c r="AF1011" s="50"/>
      <c r="AG1011" s="50"/>
      <c r="AH1011" s="50"/>
      <c r="AI1011" s="11"/>
      <c r="AJ1011" s="50"/>
      <c r="AK1011" s="50"/>
      <c r="AL1011" s="50"/>
      <c r="AM1011" s="11"/>
      <c r="AN1011" s="50"/>
      <c r="AO1011" s="50"/>
      <c r="AP1011" s="50"/>
      <c r="AQ1011" s="11"/>
      <c r="AR1011" s="50"/>
      <c r="AS1011" s="50"/>
      <c r="AT1011" s="50"/>
      <c r="AU1011" s="11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20"/>
      <c r="BF1011" s="518"/>
      <c r="BG1011" s="484"/>
      <c r="BH1011" s="484"/>
      <c r="BI1011" s="527"/>
      <c r="BJ1011" s="484"/>
      <c r="BK1011" s="484"/>
      <c r="BL1011" s="484"/>
      <c r="BM1011" s="484"/>
    </row>
    <row r="1012" spans="1:65" s="22" customFormat="1" x14ac:dyDescent="0.25">
      <c r="A1012" s="20"/>
      <c r="B1012" s="515"/>
      <c r="C1012" s="11"/>
      <c r="D1012" s="11"/>
      <c r="E1012" s="11"/>
      <c r="F1012" s="21"/>
      <c r="G1012" s="11"/>
      <c r="H1012" s="50"/>
      <c r="I1012" s="50"/>
      <c r="J1012" s="50"/>
      <c r="K1012" s="11"/>
      <c r="L1012" s="50"/>
      <c r="M1012" s="50"/>
      <c r="N1012" s="50"/>
      <c r="O1012" s="50"/>
      <c r="P1012" s="50"/>
      <c r="Q1012" s="11"/>
      <c r="R1012" s="50"/>
      <c r="S1012" s="50"/>
      <c r="T1012" s="50"/>
      <c r="U1012" s="11"/>
      <c r="V1012" s="50"/>
      <c r="W1012" s="50"/>
      <c r="X1012" s="50"/>
      <c r="Y1012" s="50"/>
      <c r="Z1012" s="50"/>
      <c r="AA1012" s="11"/>
      <c r="AB1012" s="50"/>
      <c r="AC1012" s="50"/>
      <c r="AD1012" s="50"/>
      <c r="AE1012" s="11"/>
      <c r="AF1012" s="50"/>
      <c r="AG1012" s="50"/>
      <c r="AH1012" s="50"/>
      <c r="AI1012" s="11"/>
      <c r="AJ1012" s="50"/>
      <c r="AK1012" s="50"/>
      <c r="AL1012" s="50"/>
      <c r="AM1012" s="11"/>
      <c r="AN1012" s="50"/>
      <c r="AO1012" s="50"/>
      <c r="AP1012" s="50"/>
      <c r="AQ1012" s="11"/>
      <c r="AR1012" s="50"/>
      <c r="AS1012" s="50"/>
      <c r="AT1012" s="50"/>
      <c r="AU1012" s="11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20"/>
      <c r="BF1012" s="518"/>
      <c r="BG1012" s="484"/>
      <c r="BH1012" s="484"/>
      <c r="BI1012" s="527"/>
      <c r="BJ1012" s="484"/>
      <c r="BK1012" s="484"/>
      <c r="BL1012" s="484"/>
      <c r="BM1012" s="484"/>
    </row>
    <row r="1013" spans="1:65" s="22" customFormat="1" x14ac:dyDescent="0.25">
      <c r="A1013" s="20"/>
      <c r="B1013" s="515"/>
      <c r="C1013" s="11"/>
      <c r="D1013" s="11"/>
      <c r="E1013" s="11"/>
      <c r="F1013" s="21"/>
      <c r="G1013" s="11"/>
      <c r="H1013" s="50"/>
      <c r="I1013" s="50"/>
      <c r="J1013" s="50"/>
      <c r="K1013" s="11"/>
      <c r="L1013" s="50"/>
      <c r="M1013" s="50"/>
      <c r="N1013" s="50"/>
      <c r="O1013" s="50"/>
      <c r="P1013" s="50"/>
      <c r="Q1013" s="11"/>
      <c r="R1013" s="50"/>
      <c r="S1013" s="50"/>
      <c r="T1013" s="50"/>
      <c r="U1013" s="11"/>
      <c r="V1013" s="50"/>
      <c r="W1013" s="50"/>
      <c r="X1013" s="50"/>
      <c r="Y1013" s="50"/>
      <c r="Z1013" s="50"/>
      <c r="AA1013" s="11"/>
      <c r="AB1013" s="50"/>
      <c r="AC1013" s="50"/>
      <c r="AD1013" s="50"/>
      <c r="AE1013" s="11"/>
      <c r="AF1013" s="50"/>
      <c r="AG1013" s="50"/>
      <c r="AH1013" s="50"/>
      <c r="AI1013" s="11"/>
      <c r="AJ1013" s="50"/>
      <c r="AK1013" s="50"/>
      <c r="AL1013" s="50"/>
      <c r="AM1013" s="11"/>
      <c r="AN1013" s="50"/>
      <c r="AO1013" s="50"/>
      <c r="AP1013" s="50"/>
      <c r="AQ1013" s="11"/>
      <c r="AR1013" s="50"/>
      <c r="AS1013" s="50"/>
      <c r="AT1013" s="50"/>
      <c r="AU1013" s="11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20"/>
      <c r="BF1013" s="518"/>
      <c r="BG1013" s="484"/>
      <c r="BH1013" s="484"/>
      <c r="BI1013" s="527"/>
      <c r="BJ1013" s="484"/>
      <c r="BK1013" s="484"/>
      <c r="BL1013" s="484"/>
      <c r="BM1013" s="484"/>
    </row>
    <row r="1014" spans="1:65" s="22" customFormat="1" x14ac:dyDescent="0.25">
      <c r="A1014" s="20"/>
      <c r="B1014" s="515"/>
      <c r="C1014" s="11"/>
      <c r="D1014" s="11"/>
      <c r="E1014" s="11"/>
      <c r="F1014" s="21"/>
      <c r="G1014" s="11"/>
      <c r="H1014" s="50"/>
      <c r="I1014" s="50"/>
      <c r="J1014" s="50"/>
      <c r="K1014" s="11"/>
      <c r="L1014" s="50"/>
      <c r="M1014" s="50"/>
      <c r="N1014" s="50"/>
      <c r="O1014" s="50"/>
      <c r="P1014" s="50"/>
      <c r="Q1014" s="11"/>
      <c r="R1014" s="50"/>
      <c r="S1014" s="50"/>
      <c r="T1014" s="50"/>
      <c r="U1014" s="11"/>
      <c r="V1014" s="50"/>
      <c r="W1014" s="50"/>
      <c r="X1014" s="50"/>
      <c r="Y1014" s="50"/>
      <c r="Z1014" s="50"/>
      <c r="AA1014" s="11"/>
      <c r="AB1014" s="50"/>
      <c r="AC1014" s="50"/>
      <c r="AD1014" s="50"/>
      <c r="AE1014" s="11"/>
      <c r="AF1014" s="50"/>
      <c r="AG1014" s="50"/>
      <c r="AH1014" s="50"/>
      <c r="AI1014" s="11"/>
      <c r="AJ1014" s="50"/>
      <c r="AK1014" s="50"/>
      <c r="AL1014" s="50"/>
      <c r="AM1014" s="11"/>
      <c r="AN1014" s="50"/>
      <c r="AO1014" s="50"/>
      <c r="AP1014" s="50"/>
      <c r="AQ1014" s="11"/>
      <c r="AR1014" s="50"/>
      <c r="AS1014" s="50"/>
      <c r="AT1014" s="50"/>
      <c r="AU1014" s="11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20"/>
      <c r="BF1014" s="518"/>
      <c r="BG1014" s="484"/>
      <c r="BH1014" s="484"/>
      <c r="BI1014" s="527"/>
      <c r="BJ1014" s="484"/>
      <c r="BK1014" s="484"/>
      <c r="BL1014" s="484"/>
      <c r="BM1014" s="484"/>
    </row>
    <row r="1015" spans="1:65" s="22" customFormat="1" x14ac:dyDescent="0.25">
      <c r="A1015" s="20"/>
      <c r="B1015" s="515"/>
      <c r="C1015" s="11"/>
      <c r="D1015" s="11"/>
      <c r="E1015" s="11"/>
      <c r="F1015" s="21"/>
      <c r="G1015" s="11"/>
      <c r="H1015" s="50"/>
      <c r="I1015" s="50"/>
      <c r="J1015" s="50"/>
      <c r="K1015" s="11"/>
      <c r="L1015" s="50"/>
      <c r="M1015" s="50"/>
      <c r="N1015" s="50"/>
      <c r="O1015" s="50"/>
      <c r="P1015" s="50"/>
      <c r="Q1015" s="11"/>
      <c r="R1015" s="50"/>
      <c r="S1015" s="50"/>
      <c r="T1015" s="50"/>
      <c r="U1015" s="11"/>
      <c r="V1015" s="50"/>
      <c r="W1015" s="50"/>
      <c r="X1015" s="50"/>
      <c r="Y1015" s="50"/>
      <c r="Z1015" s="50"/>
      <c r="AA1015" s="11"/>
      <c r="AB1015" s="50"/>
      <c r="AC1015" s="50"/>
      <c r="AD1015" s="50"/>
      <c r="AE1015" s="11"/>
      <c r="AF1015" s="50"/>
      <c r="AG1015" s="50"/>
      <c r="AH1015" s="50"/>
      <c r="AI1015" s="11"/>
      <c r="AJ1015" s="50"/>
      <c r="AK1015" s="50"/>
      <c r="AL1015" s="50"/>
      <c r="AM1015" s="11"/>
      <c r="AN1015" s="50"/>
      <c r="AO1015" s="50"/>
      <c r="AP1015" s="50"/>
      <c r="AQ1015" s="11"/>
      <c r="AR1015" s="50"/>
      <c r="AS1015" s="50"/>
      <c r="AT1015" s="50"/>
      <c r="AU1015" s="11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20"/>
      <c r="BF1015" s="518"/>
      <c r="BG1015" s="484"/>
      <c r="BH1015" s="484"/>
      <c r="BI1015" s="527"/>
      <c r="BJ1015" s="484"/>
      <c r="BK1015" s="484"/>
      <c r="BL1015" s="484"/>
      <c r="BM1015" s="484"/>
    </row>
    <row r="1016" spans="1:65" s="22" customFormat="1" x14ac:dyDescent="0.25">
      <c r="A1016" s="20"/>
      <c r="B1016" s="515"/>
      <c r="C1016" s="11"/>
      <c r="D1016" s="11"/>
      <c r="E1016" s="11"/>
      <c r="F1016" s="21"/>
      <c r="G1016" s="11"/>
      <c r="H1016" s="50"/>
      <c r="I1016" s="50"/>
      <c r="J1016" s="50"/>
      <c r="K1016" s="11"/>
      <c r="L1016" s="50"/>
      <c r="M1016" s="50"/>
      <c r="N1016" s="50"/>
      <c r="O1016" s="50"/>
      <c r="P1016" s="50"/>
      <c r="Q1016" s="11"/>
      <c r="R1016" s="50"/>
      <c r="S1016" s="50"/>
      <c r="T1016" s="50"/>
      <c r="U1016" s="11"/>
      <c r="V1016" s="50"/>
      <c r="W1016" s="50"/>
      <c r="X1016" s="50"/>
      <c r="Y1016" s="50"/>
      <c r="Z1016" s="50"/>
      <c r="AA1016" s="11"/>
      <c r="AB1016" s="50"/>
      <c r="AC1016" s="50"/>
      <c r="AD1016" s="50"/>
      <c r="AE1016" s="11"/>
      <c r="AF1016" s="50"/>
      <c r="AG1016" s="50"/>
      <c r="AH1016" s="50"/>
      <c r="AI1016" s="11"/>
      <c r="AJ1016" s="50"/>
      <c r="AK1016" s="50"/>
      <c r="AL1016" s="50"/>
      <c r="AM1016" s="11"/>
      <c r="AN1016" s="50"/>
      <c r="AO1016" s="50"/>
      <c r="AP1016" s="50"/>
      <c r="AQ1016" s="11"/>
      <c r="AR1016" s="50"/>
      <c r="AS1016" s="50"/>
      <c r="AT1016" s="50"/>
      <c r="AU1016" s="11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20"/>
      <c r="BF1016" s="518"/>
      <c r="BG1016" s="484"/>
      <c r="BH1016" s="484"/>
      <c r="BI1016" s="527"/>
      <c r="BJ1016" s="484"/>
      <c r="BK1016" s="484"/>
      <c r="BL1016" s="484"/>
      <c r="BM1016" s="484"/>
    </row>
    <row r="1017" spans="1:65" s="22" customFormat="1" x14ac:dyDescent="0.25">
      <c r="A1017" s="20"/>
      <c r="B1017" s="515"/>
      <c r="C1017" s="11"/>
      <c r="D1017" s="11"/>
      <c r="E1017" s="11"/>
      <c r="F1017" s="21"/>
      <c r="G1017" s="11"/>
      <c r="H1017" s="50"/>
      <c r="I1017" s="50"/>
      <c r="J1017" s="50"/>
      <c r="K1017" s="11"/>
      <c r="L1017" s="50"/>
      <c r="M1017" s="50"/>
      <c r="N1017" s="50"/>
      <c r="O1017" s="50"/>
      <c r="P1017" s="50"/>
      <c r="Q1017" s="11"/>
      <c r="R1017" s="50"/>
      <c r="S1017" s="50"/>
      <c r="T1017" s="50"/>
      <c r="U1017" s="11"/>
      <c r="V1017" s="50"/>
      <c r="W1017" s="50"/>
      <c r="X1017" s="50"/>
      <c r="Y1017" s="50"/>
      <c r="Z1017" s="50"/>
      <c r="AA1017" s="11"/>
      <c r="AB1017" s="50"/>
      <c r="AC1017" s="50"/>
      <c r="AD1017" s="50"/>
      <c r="AE1017" s="11"/>
      <c r="AF1017" s="50"/>
      <c r="AG1017" s="50"/>
      <c r="AH1017" s="50"/>
      <c r="AI1017" s="11"/>
      <c r="AJ1017" s="50"/>
      <c r="AK1017" s="50"/>
      <c r="AL1017" s="50"/>
      <c r="AM1017" s="11"/>
      <c r="AN1017" s="50"/>
      <c r="AO1017" s="50"/>
      <c r="AP1017" s="50"/>
      <c r="AQ1017" s="11"/>
      <c r="AR1017" s="50"/>
      <c r="AS1017" s="50"/>
      <c r="AT1017" s="50"/>
      <c r="AU1017" s="11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20"/>
      <c r="BF1017" s="518"/>
      <c r="BG1017" s="484"/>
      <c r="BH1017" s="484"/>
      <c r="BI1017" s="527"/>
      <c r="BJ1017" s="484"/>
      <c r="BK1017" s="484"/>
      <c r="BL1017" s="484"/>
      <c r="BM1017" s="484"/>
    </row>
    <row r="1018" spans="1:65" s="22" customFormat="1" x14ac:dyDescent="0.25">
      <c r="A1018" s="20"/>
      <c r="B1018" s="515"/>
      <c r="C1018" s="11"/>
      <c r="D1018" s="11"/>
      <c r="E1018" s="11"/>
      <c r="F1018" s="21"/>
      <c r="G1018" s="11"/>
      <c r="H1018" s="50"/>
      <c r="I1018" s="50"/>
      <c r="J1018" s="50"/>
      <c r="K1018" s="11"/>
      <c r="L1018" s="50"/>
      <c r="M1018" s="50"/>
      <c r="N1018" s="50"/>
      <c r="O1018" s="50"/>
      <c r="P1018" s="50"/>
      <c r="Q1018" s="11"/>
      <c r="R1018" s="50"/>
      <c r="S1018" s="50"/>
      <c r="T1018" s="50"/>
      <c r="U1018" s="11"/>
      <c r="V1018" s="50"/>
      <c r="W1018" s="50"/>
      <c r="X1018" s="50"/>
      <c r="Y1018" s="50"/>
      <c r="Z1018" s="50"/>
      <c r="AA1018" s="11"/>
      <c r="AB1018" s="50"/>
      <c r="AC1018" s="50"/>
      <c r="AD1018" s="50"/>
      <c r="AE1018" s="11"/>
      <c r="AF1018" s="50"/>
      <c r="AG1018" s="50"/>
      <c r="AH1018" s="50"/>
      <c r="AI1018" s="11"/>
      <c r="AJ1018" s="50"/>
      <c r="AK1018" s="50"/>
      <c r="AL1018" s="50"/>
      <c r="AM1018" s="11"/>
      <c r="AN1018" s="50"/>
      <c r="AO1018" s="50"/>
      <c r="AP1018" s="50"/>
      <c r="AQ1018" s="11"/>
      <c r="AR1018" s="50"/>
      <c r="AS1018" s="50"/>
      <c r="AT1018" s="50"/>
      <c r="AU1018" s="11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20"/>
      <c r="BF1018" s="518"/>
      <c r="BG1018" s="484"/>
      <c r="BH1018" s="484"/>
      <c r="BI1018" s="527"/>
      <c r="BJ1018" s="484"/>
      <c r="BK1018" s="484"/>
      <c r="BL1018" s="484"/>
      <c r="BM1018" s="484"/>
    </row>
    <row r="1019" spans="1:65" s="22" customFormat="1" x14ac:dyDescent="0.25">
      <c r="A1019" s="20"/>
      <c r="B1019" s="515"/>
      <c r="C1019" s="11"/>
      <c r="D1019" s="11"/>
      <c r="E1019" s="11"/>
      <c r="F1019" s="21"/>
      <c r="G1019" s="11"/>
      <c r="H1019" s="50"/>
      <c r="I1019" s="50"/>
      <c r="J1019" s="50"/>
      <c r="K1019" s="11"/>
      <c r="L1019" s="50"/>
      <c r="M1019" s="50"/>
      <c r="N1019" s="50"/>
      <c r="O1019" s="50"/>
      <c r="P1019" s="50"/>
      <c r="Q1019" s="11"/>
      <c r="R1019" s="50"/>
      <c r="S1019" s="50"/>
      <c r="T1019" s="50"/>
      <c r="U1019" s="11"/>
      <c r="V1019" s="50"/>
      <c r="W1019" s="50"/>
      <c r="X1019" s="50"/>
      <c r="Y1019" s="50"/>
      <c r="Z1019" s="50"/>
      <c r="AA1019" s="11"/>
      <c r="AB1019" s="50"/>
      <c r="AC1019" s="50"/>
      <c r="AD1019" s="50"/>
      <c r="AE1019" s="11"/>
      <c r="AF1019" s="50"/>
      <c r="AG1019" s="50"/>
      <c r="AH1019" s="50"/>
      <c r="AI1019" s="11"/>
      <c r="AJ1019" s="50"/>
      <c r="AK1019" s="50"/>
      <c r="AL1019" s="50"/>
      <c r="AM1019" s="11"/>
      <c r="AN1019" s="50"/>
      <c r="AO1019" s="50"/>
      <c r="AP1019" s="50"/>
      <c r="AQ1019" s="11"/>
      <c r="AR1019" s="50"/>
      <c r="AS1019" s="50"/>
      <c r="AT1019" s="50"/>
      <c r="AU1019" s="11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20"/>
      <c r="BF1019" s="518"/>
      <c r="BG1019" s="484"/>
      <c r="BH1019" s="484"/>
      <c r="BI1019" s="527"/>
      <c r="BJ1019" s="484"/>
      <c r="BK1019" s="484"/>
      <c r="BL1019" s="484"/>
      <c r="BM1019" s="484"/>
    </row>
    <row r="1020" spans="1:65" s="22" customFormat="1" x14ac:dyDescent="0.25">
      <c r="A1020" s="20"/>
      <c r="B1020" s="515"/>
      <c r="C1020" s="11"/>
      <c r="D1020" s="11"/>
      <c r="E1020" s="11"/>
      <c r="F1020" s="21"/>
      <c r="G1020" s="11"/>
      <c r="H1020" s="50"/>
      <c r="I1020" s="50"/>
      <c r="J1020" s="50"/>
      <c r="K1020" s="11"/>
      <c r="L1020" s="50"/>
      <c r="M1020" s="50"/>
      <c r="N1020" s="50"/>
      <c r="O1020" s="50"/>
      <c r="P1020" s="50"/>
      <c r="Q1020" s="11"/>
      <c r="R1020" s="50"/>
      <c r="S1020" s="50"/>
      <c r="T1020" s="50"/>
      <c r="U1020" s="11"/>
      <c r="V1020" s="50"/>
      <c r="W1020" s="50"/>
      <c r="X1020" s="50"/>
      <c r="Y1020" s="50"/>
      <c r="Z1020" s="50"/>
      <c r="AA1020" s="11"/>
      <c r="AB1020" s="50"/>
      <c r="AC1020" s="50"/>
      <c r="AD1020" s="50"/>
      <c r="AE1020" s="11"/>
      <c r="AF1020" s="50"/>
      <c r="AG1020" s="50"/>
      <c r="AH1020" s="50"/>
      <c r="AI1020" s="11"/>
      <c r="AJ1020" s="50"/>
      <c r="AK1020" s="50"/>
      <c r="AL1020" s="50"/>
      <c r="AM1020" s="11"/>
      <c r="AN1020" s="50"/>
      <c r="AO1020" s="50"/>
      <c r="AP1020" s="50"/>
      <c r="AQ1020" s="11"/>
      <c r="AR1020" s="50"/>
      <c r="AS1020" s="50"/>
      <c r="AT1020" s="50"/>
      <c r="AU1020" s="11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20"/>
      <c r="BF1020" s="518"/>
      <c r="BG1020" s="484"/>
      <c r="BH1020" s="484"/>
      <c r="BI1020" s="527"/>
      <c r="BJ1020" s="484"/>
      <c r="BK1020" s="484"/>
      <c r="BL1020" s="484"/>
      <c r="BM1020" s="484"/>
    </row>
    <row r="1021" spans="1:65" s="22" customFormat="1" x14ac:dyDescent="0.25">
      <c r="A1021" s="20"/>
      <c r="B1021" s="515"/>
      <c r="C1021" s="11"/>
      <c r="D1021" s="11"/>
      <c r="E1021" s="11"/>
      <c r="F1021" s="21"/>
      <c r="G1021" s="11"/>
      <c r="H1021" s="50"/>
      <c r="I1021" s="50"/>
      <c r="J1021" s="50"/>
      <c r="K1021" s="11"/>
      <c r="L1021" s="50"/>
      <c r="M1021" s="50"/>
      <c r="N1021" s="50"/>
      <c r="O1021" s="50"/>
      <c r="P1021" s="50"/>
      <c r="Q1021" s="11"/>
      <c r="R1021" s="50"/>
      <c r="S1021" s="50"/>
      <c r="T1021" s="50"/>
      <c r="U1021" s="11"/>
      <c r="V1021" s="50"/>
      <c r="W1021" s="50"/>
      <c r="X1021" s="50"/>
      <c r="Y1021" s="50"/>
      <c r="Z1021" s="50"/>
      <c r="AA1021" s="11"/>
      <c r="AB1021" s="50"/>
      <c r="AC1021" s="50"/>
      <c r="AD1021" s="50"/>
      <c r="AE1021" s="11"/>
      <c r="AF1021" s="50"/>
      <c r="AG1021" s="50"/>
      <c r="AH1021" s="50"/>
      <c r="AI1021" s="11"/>
      <c r="AJ1021" s="50"/>
      <c r="AK1021" s="50"/>
      <c r="AL1021" s="50"/>
      <c r="AM1021" s="11"/>
      <c r="AN1021" s="50"/>
      <c r="AO1021" s="50"/>
      <c r="AP1021" s="50"/>
      <c r="AQ1021" s="11"/>
      <c r="AR1021" s="50"/>
      <c r="AS1021" s="50"/>
      <c r="AT1021" s="50"/>
      <c r="AU1021" s="11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20"/>
      <c r="BF1021" s="518"/>
      <c r="BG1021" s="484"/>
      <c r="BH1021" s="484"/>
      <c r="BI1021" s="527"/>
      <c r="BJ1021" s="484"/>
      <c r="BK1021" s="484"/>
      <c r="BL1021" s="484"/>
      <c r="BM1021" s="484"/>
    </row>
    <row r="1022" spans="1:65" s="22" customFormat="1" x14ac:dyDescent="0.25">
      <c r="A1022" s="20"/>
      <c r="B1022" s="515"/>
      <c r="C1022" s="11"/>
      <c r="D1022" s="11"/>
      <c r="E1022" s="11"/>
      <c r="F1022" s="21"/>
      <c r="G1022" s="11"/>
      <c r="H1022" s="50"/>
      <c r="I1022" s="50"/>
      <c r="J1022" s="50"/>
      <c r="K1022" s="11"/>
      <c r="L1022" s="50"/>
      <c r="M1022" s="50"/>
      <c r="N1022" s="50"/>
      <c r="O1022" s="50"/>
      <c r="P1022" s="50"/>
      <c r="Q1022" s="11"/>
      <c r="R1022" s="50"/>
      <c r="S1022" s="50"/>
      <c r="T1022" s="50"/>
      <c r="U1022" s="11"/>
      <c r="V1022" s="50"/>
      <c r="W1022" s="50"/>
      <c r="X1022" s="50"/>
      <c r="Y1022" s="50"/>
      <c r="Z1022" s="50"/>
      <c r="AA1022" s="11"/>
      <c r="AB1022" s="50"/>
      <c r="AC1022" s="50"/>
      <c r="AD1022" s="50"/>
      <c r="AE1022" s="11"/>
      <c r="AF1022" s="50"/>
      <c r="AG1022" s="50"/>
      <c r="AH1022" s="50"/>
      <c r="AI1022" s="11"/>
      <c r="AJ1022" s="50"/>
      <c r="AK1022" s="50"/>
      <c r="AL1022" s="50"/>
      <c r="AM1022" s="11"/>
      <c r="AN1022" s="50"/>
      <c r="AO1022" s="50"/>
      <c r="AP1022" s="50"/>
      <c r="AQ1022" s="11"/>
      <c r="AR1022" s="50"/>
      <c r="AS1022" s="50"/>
      <c r="AT1022" s="50"/>
      <c r="AU1022" s="11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20"/>
      <c r="BF1022" s="518"/>
      <c r="BG1022" s="484"/>
      <c r="BH1022" s="484"/>
      <c r="BI1022" s="527"/>
      <c r="BJ1022" s="484"/>
      <c r="BK1022" s="484"/>
      <c r="BL1022" s="484"/>
      <c r="BM1022" s="484"/>
    </row>
    <row r="1023" spans="1:65" s="22" customFormat="1" x14ac:dyDescent="0.25">
      <c r="A1023" s="20"/>
      <c r="B1023" s="515"/>
      <c r="C1023" s="11"/>
      <c r="D1023" s="11"/>
      <c r="E1023" s="11"/>
      <c r="F1023" s="21"/>
      <c r="G1023" s="11"/>
      <c r="H1023" s="50"/>
      <c r="I1023" s="50"/>
      <c r="J1023" s="50"/>
      <c r="K1023" s="11"/>
      <c r="L1023" s="50"/>
      <c r="M1023" s="50"/>
      <c r="N1023" s="50"/>
      <c r="O1023" s="50"/>
      <c r="P1023" s="50"/>
      <c r="Q1023" s="11"/>
      <c r="R1023" s="50"/>
      <c r="S1023" s="50"/>
      <c r="T1023" s="50"/>
      <c r="U1023" s="11"/>
      <c r="V1023" s="50"/>
      <c r="W1023" s="50"/>
      <c r="X1023" s="50"/>
      <c r="Y1023" s="50"/>
      <c r="Z1023" s="50"/>
      <c r="AA1023" s="11"/>
      <c r="AB1023" s="50"/>
      <c r="AC1023" s="50"/>
      <c r="AD1023" s="50"/>
      <c r="AE1023" s="11"/>
      <c r="AF1023" s="50"/>
      <c r="AG1023" s="50"/>
      <c r="AH1023" s="50"/>
      <c r="AI1023" s="11"/>
      <c r="AJ1023" s="50"/>
      <c r="AK1023" s="50"/>
      <c r="AL1023" s="50"/>
      <c r="AM1023" s="11"/>
      <c r="AN1023" s="50"/>
      <c r="AO1023" s="50"/>
      <c r="AP1023" s="50"/>
      <c r="AQ1023" s="11"/>
      <c r="AR1023" s="50"/>
      <c r="AS1023" s="50"/>
      <c r="AT1023" s="50"/>
      <c r="AU1023" s="11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20"/>
      <c r="BF1023" s="518"/>
      <c r="BG1023" s="484"/>
      <c r="BH1023" s="484"/>
      <c r="BI1023" s="527"/>
      <c r="BJ1023" s="484"/>
      <c r="BK1023" s="484"/>
      <c r="BL1023" s="484"/>
      <c r="BM1023" s="484"/>
    </row>
    <row r="1024" spans="1:65" s="22" customFormat="1" x14ac:dyDescent="0.25">
      <c r="A1024" s="20"/>
      <c r="B1024" s="515"/>
      <c r="C1024" s="11"/>
      <c r="D1024" s="11"/>
      <c r="E1024" s="11"/>
      <c r="F1024" s="21"/>
      <c r="G1024" s="11"/>
      <c r="H1024" s="50"/>
      <c r="I1024" s="50"/>
      <c r="J1024" s="50"/>
      <c r="K1024" s="11"/>
      <c r="L1024" s="50"/>
      <c r="M1024" s="50"/>
      <c r="N1024" s="50"/>
      <c r="O1024" s="50"/>
      <c r="P1024" s="50"/>
      <c r="Q1024" s="11"/>
      <c r="R1024" s="50"/>
      <c r="S1024" s="50"/>
      <c r="T1024" s="50"/>
      <c r="U1024" s="11"/>
      <c r="V1024" s="50"/>
      <c r="W1024" s="50"/>
      <c r="X1024" s="50"/>
      <c r="Y1024" s="50"/>
      <c r="Z1024" s="50"/>
      <c r="AA1024" s="11"/>
      <c r="AB1024" s="50"/>
      <c r="AC1024" s="50"/>
      <c r="AD1024" s="50"/>
      <c r="AE1024" s="11"/>
      <c r="AF1024" s="50"/>
      <c r="AG1024" s="50"/>
      <c r="AH1024" s="50"/>
      <c r="AI1024" s="11"/>
      <c r="AJ1024" s="50"/>
      <c r="AK1024" s="50"/>
      <c r="AL1024" s="50"/>
      <c r="AM1024" s="11"/>
      <c r="AN1024" s="50"/>
      <c r="AO1024" s="50"/>
      <c r="AP1024" s="50"/>
      <c r="AQ1024" s="11"/>
      <c r="AR1024" s="50"/>
      <c r="AS1024" s="50"/>
      <c r="AT1024" s="50"/>
      <c r="AU1024" s="11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20"/>
      <c r="BF1024" s="518"/>
      <c r="BG1024" s="484"/>
      <c r="BH1024" s="484"/>
      <c r="BI1024" s="527"/>
      <c r="BJ1024" s="484"/>
      <c r="BK1024" s="484"/>
      <c r="BL1024" s="484"/>
      <c r="BM1024" s="484"/>
    </row>
    <row r="1025" spans="1:65" s="22" customFormat="1" x14ac:dyDescent="0.25">
      <c r="A1025" s="20"/>
      <c r="B1025" s="515"/>
      <c r="C1025" s="11"/>
      <c r="D1025" s="11"/>
      <c r="E1025" s="11"/>
      <c r="F1025" s="21"/>
      <c r="G1025" s="11"/>
      <c r="H1025" s="50"/>
      <c r="I1025" s="50"/>
      <c r="J1025" s="50"/>
      <c r="K1025" s="11"/>
      <c r="L1025" s="50"/>
      <c r="M1025" s="50"/>
      <c r="N1025" s="50"/>
      <c r="O1025" s="50"/>
      <c r="P1025" s="50"/>
      <c r="Q1025" s="11"/>
      <c r="R1025" s="50"/>
      <c r="S1025" s="50"/>
      <c r="T1025" s="50"/>
      <c r="U1025" s="11"/>
      <c r="V1025" s="50"/>
      <c r="W1025" s="50"/>
      <c r="X1025" s="50"/>
      <c r="Y1025" s="50"/>
      <c r="Z1025" s="50"/>
      <c r="AA1025" s="11"/>
      <c r="AB1025" s="50"/>
      <c r="AC1025" s="50"/>
      <c r="AD1025" s="50"/>
      <c r="AE1025" s="11"/>
      <c r="AF1025" s="50"/>
      <c r="AG1025" s="50"/>
      <c r="AH1025" s="50"/>
      <c r="AI1025" s="11"/>
      <c r="AJ1025" s="50"/>
      <c r="AK1025" s="50"/>
      <c r="AL1025" s="50"/>
      <c r="AM1025" s="11"/>
      <c r="AN1025" s="50"/>
      <c r="AO1025" s="50"/>
      <c r="AP1025" s="50"/>
      <c r="AQ1025" s="11"/>
      <c r="AR1025" s="50"/>
      <c r="AS1025" s="50"/>
      <c r="AT1025" s="50"/>
      <c r="AU1025" s="11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20"/>
      <c r="BF1025" s="518"/>
      <c r="BG1025" s="484"/>
      <c r="BH1025" s="484"/>
      <c r="BI1025" s="527"/>
      <c r="BJ1025" s="484"/>
      <c r="BK1025" s="484"/>
      <c r="BL1025" s="484"/>
      <c r="BM1025" s="484"/>
    </row>
    <row r="1026" spans="1:65" s="22" customFormat="1" x14ac:dyDescent="0.25">
      <c r="A1026" s="20"/>
      <c r="B1026" s="515"/>
      <c r="C1026" s="11"/>
      <c r="D1026" s="11"/>
      <c r="E1026" s="11"/>
      <c r="F1026" s="21"/>
      <c r="G1026" s="11"/>
      <c r="H1026" s="50"/>
      <c r="I1026" s="50"/>
      <c r="J1026" s="50"/>
      <c r="K1026" s="11"/>
      <c r="L1026" s="50"/>
      <c r="M1026" s="50"/>
      <c r="N1026" s="50"/>
      <c r="O1026" s="50"/>
      <c r="P1026" s="50"/>
      <c r="Q1026" s="11"/>
      <c r="R1026" s="50"/>
      <c r="S1026" s="50"/>
      <c r="T1026" s="50"/>
      <c r="U1026" s="11"/>
      <c r="V1026" s="50"/>
      <c r="W1026" s="50"/>
      <c r="X1026" s="50"/>
      <c r="Y1026" s="50"/>
      <c r="Z1026" s="50"/>
      <c r="AA1026" s="11"/>
      <c r="AB1026" s="50"/>
      <c r="AC1026" s="50"/>
      <c r="AD1026" s="50"/>
      <c r="AE1026" s="11"/>
      <c r="AF1026" s="50"/>
      <c r="AG1026" s="50"/>
      <c r="AH1026" s="50"/>
      <c r="AI1026" s="11"/>
      <c r="AJ1026" s="50"/>
      <c r="AK1026" s="50"/>
      <c r="AL1026" s="50"/>
      <c r="AM1026" s="11"/>
      <c r="AN1026" s="50"/>
      <c r="AO1026" s="50"/>
      <c r="AP1026" s="50"/>
      <c r="AQ1026" s="11"/>
      <c r="AR1026" s="50"/>
      <c r="AS1026" s="50"/>
      <c r="AT1026" s="50"/>
      <c r="AU1026" s="11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20"/>
      <c r="BF1026" s="518"/>
      <c r="BG1026" s="484"/>
      <c r="BH1026" s="484"/>
      <c r="BI1026" s="527"/>
      <c r="BJ1026" s="484"/>
      <c r="BK1026" s="484"/>
      <c r="BL1026" s="484"/>
      <c r="BM1026" s="484"/>
    </row>
    <row r="1027" spans="1:65" s="22" customFormat="1" x14ac:dyDescent="0.25">
      <c r="A1027" s="20"/>
      <c r="B1027" s="515"/>
      <c r="C1027" s="11"/>
      <c r="D1027" s="11"/>
      <c r="E1027" s="11"/>
      <c r="F1027" s="21"/>
      <c r="G1027" s="11"/>
      <c r="H1027" s="50"/>
      <c r="I1027" s="50"/>
      <c r="J1027" s="50"/>
      <c r="K1027" s="11"/>
      <c r="L1027" s="50"/>
      <c r="M1027" s="50"/>
      <c r="N1027" s="50"/>
      <c r="O1027" s="50"/>
      <c r="P1027" s="50"/>
      <c r="Q1027" s="11"/>
      <c r="R1027" s="50"/>
      <c r="S1027" s="50"/>
      <c r="T1027" s="50"/>
      <c r="U1027" s="11"/>
      <c r="V1027" s="50"/>
      <c r="W1027" s="50"/>
      <c r="X1027" s="50"/>
      <c r="Y1027" s="50"/>
      <c r="Z1027" s="50"/>
      <c r="AA1027" s="11"/>
      <c r="AB1027" s="50"/>
      <c r="AC1027" s="50"/>
      <c r="AD1027" s="50"/>
      <c r="AE1027" s="11"/>
      <c r="AF1027" s="50"/>
      <c r="AG1027" s="50"/>
      <c r="AH1027" s="50"/>
      <c r="AI1027" s="11"/>
      <c r="AJ1027" s="50"/>
      <c r="AK1027" s="50"/>
      <c r="AL1027" s="50"/>
      <c r="AM1027" s="11"/>
      <c r="AN1027" s="50"/>
      <c r="AO1027" s="50"/>
      <c r="AP1027" s="50"/>
      <c r="AQ1027" s="11"/>
      <c r="AR1027" s="50"/>
      <c r="AS1027" s="50"/>
      <c r="AT1027" s="50"/>
      <c r="AU1027" s="11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20"/>
      <c r="BF1027" s="518"/>
      <c r="BG1027" s="484"/>
      <c r="BH1027" s="484"/>
      <c r="BI1027" s="527"/>
      <c r="BJ1027" s="484"/>
      <c r="BK1027" s="484"/>
      <c r="BL1027" s="484"/>
      <c r="BM1027" s="484"/>
    </row>
    <row r="1028" spans="1:65" s="22" customFormat="1" x14ac:dyDescent="0.25">
      <c r="A1028" s="20"/>
      <c r="B1028" s="515"/>
      <c r="C1028" s="11"/>
      <c r="D1028" s="11"/>
      <c r="E1028" s="11"/>
      <c r="F1028" s="21"/>
      <c r="G1028" s="11"/>
      <c r="H1028" s="50"/>
      <c r="I1028" s="50"/>
      <c r="J1028" s="50"/>
      <c r="K1028" s="11"/>
      <c r="L1028" s="50"/>
      <c r="M1028" s="50"/>
      <c r="N1028" s="50"/>
      <c r="O1028" s="50"/>
      <c r="P1028" s="50"/>
      <c r="Q1028" s="11"/>
      <c r="R1028" s="50"/>
      <c r="S1028" s="50"/>
      <c r="T1028" s="50"/>
      <c r="U1028" s="11"/>
      <c r="V1028" s="50"/>
      <c r="W1028" s="50"/>
      <c r="X1028" s="50"/>
      <c r="Y1028" s="50"/>
      <c r="Z1028" s="50"/>
      <c r="AA1028" s="11"/>
      <c r="AB1028" s="50"/>
      <c r="AC1028" s="50"/>
      <c r="AD1028" s="50"/>
      <c r="AE1028" s="11"/>
      <c r="AF1028" s="50"/>
      <c r="AG1028" s="50"/>
      <c r="AH1028" s="50"/>
      <c r="AI1028" s="11"/>
      <c r="AJ1028" s="50"/>
      <c r="AK1028" s="50"/>
      <c r="AL1028" s="50"/>
      <c r="AM1028" s="11"/>
      <c r="AN1028" s="50"/>
      <c r="AO1028" s="50"/>
      <c r="AP1028" s="50"/>
      <c r="AQ1028" s="11"/>
      <c r="AR1028" s="50"/>
      <c r="AS1028" s="50"/>
      <c r="AT1028" s="50"/>
      <c r="AU1028" s="11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20"/>
      <c r="BF1028" s="518"/>
      <c r="BG1028" s="484"/>
      <c r="BH1028" s="484"/>
      <c r="BI1028" s="527"/>
      <c r="BJ1028" s="484"/>
      <c r="BK1028" s="484"/>
      <c r="BL1028" s="484"/>
      <c r="BM1028" s="484"/>
    </row>
    <row r="1029" spans="1:65" s="22" customFormat="1" x14ac:dyDescent="0.25">
      <c r="A1029" s="20"/>
      <c r="B1029" s="515"/>
      <c r="C1029" s="11"/>
      <c r="D1029" s="11"/>
      <c r="E1029" s="11"/>
      <c r="F1029" s="21"/>
      <c r="G1029" s="11"/>
      <c r="H1029" s="50"/>
      <c r="I1029" s="50"/>
      <c r="J1029" s="50"/>
      <c r="K1029" s="11"/>
      <c r="L1029" s="50"/>
      <c r="M1029" s="50"/>
      <c r="N1029" s="50"/>
      <c r="O1029" s="50"/>
      <c r="P1029" s="50"/>
      <c r="Q1029" s="11"/>
      <c r="R1029" s="50"/>
      <c r="S1029" s="50"/>
      <c r="T1029" s="50"/>
      <c r="U1029" s="11"/>
      <c r="V1029" s="50"/>
      <c r="W1029" s="50"/>
      <c r="X1029" s="50"/>
      <c r="Y1029" s="50"/>
      <c r="Z1029" s="50"/>
      <c r="AA1029" s="11"/>
      <c r="AB1029" s="50"/>
      <c r="AC1029" s="50"/>
      <c r="AD1029" s="50"/>
      <c r="AE1029" s="11"/>
      <c r="AF1029" s="50"/>
      <c r="AG1029" s="50"/>
      <c r="AH1029" s="50"/>
      <c r="AI1029" s="11"/>
      <c r="AJ1029" s="50"/>
      <c r="AK1029" s="50"/>
      <c r="AL1029" s="50"/>
      <c r="AM1029" s="11"/>
      <c r="AN1029" s="50"/>
      <c r="AO1029" s="50"/>
      <c r="AP1029" s="50"/>
      <c r="AQ1029" s="11"/>
      <c r="AR1029" s="50"/>
      <c r="AS1029" s="50"/>
      <c r="AT1029" s="50"/>
      <c r="AU1029" s="11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20"/>
      <c r="BF1029" s="518"/>
      <c r="BG1029" s="484"/>
      <c r="BH1029" s="484"/>
      <c r="BI1029" s="527"/>
      <c r="BJ1029" s="484"/>
      <c r="BK1029" s="484"/>
      <c r="BL1029" s="484"/>
      <c r="BM1029" s="484"/>
    </row>
    <row r="1030" spans="1:65" s="22" customFormat="1" x14ac:dyDescent="0.25">
      <c r="A1030" s="20"/>
      <c r="B1030" s="515"/>
      <c r="C1030" s="11"/>
      <c r="D1030" s="11"/>
      <c r="E1030" s="11"/>
      <c r="F1030" s="21"/>
      <c r="G1030" s="11"/>
      <c r="H1030" s="50"/>
      <c r="I1030" s="50"/>
      <c r="J1030" s="50"/>
      <c r="K1030" s="11"/>
      <c r="L1030" s="50"/>
      <c r="M1030" s="50"/>
      <c r="N1030" s="50"/>
      <c r="O1030" s="50"/>
      <c r="P1030" s="50"/>
      <c r="Q1030" s="11"/>
      <c r="R1030" s="50"/>
      <c r="S1030" s="50"/>
      <c r="T1030" s="50"/>
      <c r="U1030" s="11"/>
      <c r="V1030" s="50"/>
      <c r="W1030" s="50"/>
      <c r="X1030" s="50"/>
      <c r="Y1030" s="50"/>
      <c r="Z1030" s="50"/>
      <c r="AA1030" s="11"/>
      <c r="AB1030" s="50"/>
      <c r="AC1030" s="50"/>
      <c r="AD1030" s="50"/>
      <c r="AE1030" s="11"/>
      <c r="AF1030" s="50"/>
      <c r="AG1030" s="50"/>
      <c r="AH1030" s="50"/>
      <c r="AI1030" s="11"/>
      <c r="AJ1030" s="50"/>
      <c r="AK1030" s="50"/>
      <c r="AL1030" s="50"/>
      <c r="AM1030" s="11"/>
      <c r="AN1030" s="50"/>
      <c r="AO1030" s="50"/>
      <c r="AP1030" s="50"/>
      <c r="AQ1030" s="11"/>
      <c r="AR1030" s="50"/>
      <c r="AS1030" s="50"/>
      <c r="AT1030" s="50"/>
      <c r="AU1030" s="11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20"/>
      <c r="BF1030" s="518"/>
      <c r="BG1030" s="484"/>
      <c r="BH1030" s="484"/>
      <c r="BI1030" s="527"/>
      <c r="BJ1030" s="484"/>
      <c r="BK1030" s="484"/>
      <c r="BL1030" s="484"/>
      <c r="BM1030" s="484"/>
    </row>
    <row r="1031" spans="1:65" s="22" customFormat="1" x14ac:dyDescent="0.25">
      <c r="A1031" s="20"/>
      <c r="B1031" s="515"/>
      <c r="C1031" s="11"/>
      <c r="D1031" s="11"/>
      <c r="E1031" s="11"/>
      <c r="F1031" s="21"/>
      <c r="G1031" s="11"/>
      <c r="H1031" s="50"/>
      <c r="I1031" s="50"/>
      <c r="J1031" s="50"/>
      <c r="K1031" s="11"/>
      <c r="L1031" s="50"/>
      <c r="M1031" s="50"/>
      <c r="N1031" s="50"/>
      <c r="O1031" s="50"/>
      <c r="P1031" s="50"/>
      <c r="Q1031" s="11"/>
      <c r="R1031" s="50"/>
      <c r="S1031" s="50"/>
      <c r="T1031" s="50"/>
      <c r="U1031" s="11"/>
      <c r="V1031" s="50"/>
      <c r="W1031" s="50"/>
      <c r="X1031" s="50"/>
      <c r="Y1031" s="50"/>
      <c r="Z1031" s="50"/>
      <c r="AA1031" s="11"/>
      <c r="AB1031" s="50"/>
      <c r="AC1031" s="50"/>
      <c r="AD1031" s="50"/>
      <c r="AE1031" s="11"/>
      <c r="AF1031" s="50"/>
      <c r="AG1031" s="50"/>
      <c r="AH1031" s="50"/>
      <c r="AI1031" s="11"/>
      <c r="AJ1031" s="50"/>
      <c r="AK1031" s="50"/>
      <c r="AL1031" s="50"/>
      <c r="AM1031" s="11"/>
      <c r="AN1031" s="50"/>
      <c r="AO1031" s="50"/>
      <c r="AP1031" s="50"/>
      <c r="AQ1031" s="11"/>
      <c r="AR1031" s="50"/>
      <c r="AS1031" s="50"/>
      <c r="AT1031" s="50"/>
      <c r="AU1031" s="11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20"/>
      <c r="BF1031" s="518"/>
      <c r="BG1031" s="484"/>
      <c r="BH1031" s="484"/>
      <c r="BI1031" s="527"/>
      <c r="BJ1031" s="484"/>
      <c r="BK1031" s="484"/>
      <c r="BL1031" s="484"/>
      <c r="BM1031" s="484"/>
    </row>
    <row r="1032" spans="1:65" s="22" customFormat="1" x14ac:dyDescent="0.25">
      <c r="A1032" s="20"/>
      <c r="B1032" s="515"/>
      <c r="C1032" s="11"/>
      <c r="D1032" s="11"/>
      <c r="E1032" s="11"/>
      <c r="F1032" s="21"/>
      <c r="G1032" s="11"/>
      <c r="H1032" s="50"/>
      <c r="I1032" s="50"/>
      <c r="J1032" s="50"/>
      <c r="K1032" s="11"/>
      <c r="L1032" s="50"/>
      <c r="M1032" s="50"/>
      <c r="N1032" s="50"/>
      <c r="O1032" s="50"/>
      <c r="P1032" s="50"/>
      <c r="Q1032" s="11"/>
      <c r="R1032" s="50"/>
      <c r="S1032" s="50"/>
      <c r="T1032" s="50"/>
      <c r="U1032" s="11"/>
      <c r="V1032" s="50"/>
      <c r="W1032" s="50"/>
      <c r="X1032" s="50"/>
      <c r="Y1032" s="50"/>
      <c r="Z1032" s="50"/>
      <c r="AA1032" s="11"/>
      <c r="AB1032" s="50"/>
      <c r="AC1032" s="50"/>
      <c r="AD1032" s="50"/>
      <c r="AE1032" s="11"/>
      <c r="AF1032" s="50"/>
      <c r="AG1032" s="50"/>
      <c r="AH1032" s="50"/>
      <c r="AI1032" s="11"/>
      <c r="AJ1032" s="50"/>
      <c r="AK1032" s="50"/>
      <c r="AL1032" s="50"/>
      <c r="AM1032" s="11"/>
      <c r="AN1032" s="50"/>
      <c r="AO1032" s="50"/>
      <c r="AP1032" s="50"/>
      <c r="AQ1032" s="11"/>
      <c r="AR1032" s="50"/>
      <c r="AS1032" s="50"/>
      <c r="AT1032" s="50"/>
      <c r="AU1032" s="11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20"/>
      <c r="BF1032" s="518"/>
      <c r="BG1032" s="484"/>
      <c r="BH1032" s="484"/>
      <c r="BI1032" s="527"/>
      <c r="BJ1032" s="484"/>
      <c r="BK1032" s="484"/>
      <c r="BL1032" s="484"/>
      <c r="BM1032" s="484"/>
    </row>
    <row r="1033" spans="1:65" s="22" customFormat="1" x14ac:dyDescent="0.25">
      <c r="A1033" s="20"/>
      <c r="B1033" s="515"/>
      <c r="C1033" s="11"/>
      <c r="D1033" s="11"/>
      <c r="E1033" s="11"/>
      <c r="F1033" s="21"/>
      <c r="G1033" s="11"/>
      <c r="H1033" s="50"/>
      <c r="I1033" s="50"/>
      <c r="J1033" s="50"/>
      <c r="K1033" s="11"/>
      <c r="L1033" s="50"/>
      <c r="M1033" s="50"/>
      <c r="N1033" s="50"/>
      <c r="O1033" s="50"/>
      <c r="P1033" s="50"/>
      <c r="Q1033" s="11"/>
      <c r="R1033" s="50"/>
      <c r="S1033" s="50"/>
      <c r="T1033" s="50"/>
      <c r="U1033" s="11"/>
      <c r="V1033" s="50"/>
      <c r="W1033" s="50"/>
      <c r="X1033" s="50"/>
      <c r="Y1033" s="50"/>
      <c r="Z1033" s="50"/>
      <c r="AA1033" s="11"/>
      <c r="AB1033" s="50"/>
      <c r="AC1033" s="50"/>
      <c r="AD1033" s="50"/>
      <c r="AE1033" s="11"/>
      <c r="AF1033" s="50"/>
      <c r="AG1033" s="50"/>
      <c r="AH1033" s="50"/>
      <c r="AI1033" s="11"/>
      <c r="AJ1033" s="50"/>
      <c r="AK1033" s="50"/>
      <c r="AL1033" s="50"/>
      <c r="AM1033" s="11"/>
      <c r="AN1033" s="50"/>
      <c r="AO1033" s="50"/>
      <c r="AP1033" s="50"/>
      <c r="AQ1033" s="11"/>
      <c r="AR1033" s="50"/>
      <c r="AS1033" s="50"/>
      <c r="AT1033" s="50"/>
      <c r="AU1033" s="11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20"/>
      <c r="BF1033" s="518"/>
      <c r="BG1033" s="484"/>
      <c r="BH1033" s="484"/>
      <c r="BI1033" s="527"/>
      <c r="BJ1033" s="484"/>
      <c r="BK1033" s="484"/>
      <c r="BL1033" s="484"/>
      <c r="BM1033" s="484"/>
    </row>
    <row r="1034" spans="1:65" s="22" customFormat="1" x14ac:dyDescent="0.25">
      <c r="A1034" s="20"/>
      <c r="B1034" s="515"/>
      <c r="C1034" s="11"/>
      <c r="D1034" s="11"/>
      <c r="E1034" s="11"/>
      <c r="F1034" s="21"/>
      <c r="G1034" s="11"/>
      <c r="H1034" s="50"/>
      <c r="I1034" s="50"/>
      <c r="J1034" s="50"/>
      <c r="K1034" s="11"/>
      <c r="L1034" s="50"/>
      <c r="M1034" s="50"/>
      <c r="N1034" s="50"/>
      <c r="O1034" s="50"/>
      <c r="P1034" s="50"/>
      <c r="Q1034" s="11"/>
      <c r="R1034" s="50"/>
      <c r="S1034" s="50"/>
      <c r="T1034" s="50"/>
      <c r="U1034" s="11"/>
      <c r="V1034" s="50"/>
      <c r="W1034" s="50"/>
      <c r="X1034" s="50"/>
      <c r="Y1034" s="50"/>
      <c r="Z1034" s="50"/>
      <c r="AA1034" s="11"/>
      <c r="AB1034" s="50"/>
      <c r="AC1034" s="50"/>
      <c r="AD1034" s="50"/>
      <c r="AE1034" s="11"/>
      <c r="AF1034" s="50"/>
      <c r="AG1034" s="50"/>
      <c r="AH1034" s="50"/>
      <c r="AI1034" s="11"/>
      <c r="AJ1034" s="50"/>
      <c r="AK1034" s="50"/>
      <c r="AL1034" s="50"/>
      <c r="AM1034" s="11"/>
      <c r="AN1034" s="50"/>
      <c r="AO1034" s="50"/>
      <c r="AP1034" s="50"/>
      <c r="AQ1034" s="11"/>
      <c r="AR1034" s="50"/>
      <c r="AS1034" s="50"/>
      <c r="AT1034" s="50"/>
      <c r="AU1034" s="11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20"/>
      <c r="BF1034" s="518"/>
      <c r="BG1034" s="484"/>
      <c r="BH1034" s="484"/>
      <c r="BI1034" s="527"/>
      <c r="BJ1034" s="484"/>
      <c r="BK1034" s="484"/>
      <c r="BL1034" s="484"/>
      <c r="BM1034" s="484"/>
    </row>
    <row r="1035" spans="1:65" s="22" customFormat="1" x14ac:dyDescent="0.25">
      <c r="A1035" s="20"/>
      <c r="B1035" s="515"/>
      <c r="C1035" s="11"/>
      <c r="D1035" s="11"/>
      <c r="E1035" s="11"/>
      <c r="F1035" s="21"/>
      <c r="G1035" s="11"/>
      <c r="H1035" s="50"/>
      <c r="I1035" s="50"/>
      <c r="J1035" s="50"/>
      <c r="K1035" s="11"/>
      <c r="L1035" s="50"/>
      <c r="M1035" s="50"/>
      <c r="N1035" s="50"/>
      <c r="O1035" s="50"/>
      <c r="P1035" s="50"/>
      <c r="Q1035" s="11"/>
      <c r="R1035" s="50"/>
      <c r="S1035" s="50"/>
      <c r="T1035" s="50"/>
      <c r="U1035" s="11"/>
      <c r="V1035" s="50"/>
      <c r="W1035" s="50"/>
      <c r="X1035" s="50"/>
      <c r="Y1035" s="50"/>
      <c r="Z1035" s="50"/>
      <c r="AA1035" s="11"/>
      <c r="AB1035" s="50"/>
      <c r="AC1035" s="50"/>
      <c r="AD1035" s="50"/>
      <c r="AE1035" s="11"/>
      <c r="AF1035" s="50"/>
      <c r="AG1035" s="50"/>
      <c r="AH1035" s="50"/>
      <c r="AI1035" s="11"/>
      <c r="AJ1035" s="50"/>
      <c r="AK1035" s="50"/>
      <c r="AL1035" s="50"/>
      <c r="AM1035" s="11"/>
      <c r="AN1035" s="50"/>
      <c r="AO1035" s="50"/>
      <c r="AP1035" s="50"/>
      <c r="AQ1035" s="11"/>
      <c r="AR1035" s="50"/>
      <c r="AS1035" s="50"/>
      <c r="AT1035" s="50"/>
      <c r="AU1035" s="11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20"/>
      <c r="BF1035" s="518"/>
      <c r="BG1035" s="484"/>
      <c r="BH1035" s="484"/>
      <c r="BI1035" s="527"/>
      <c r="BJ1035" s="484"/>
      <c r="BK1035" s="484"/>
      <c r="BL1035" s="484"/>
      <c r="BM1035" s="484"/>
    </row>
    <row r="1036" spans="1:65" s="22" customFormat="1" x14ac:dyDescent="0.25">
      <c r="A1036" s="20"/>
      <c r="B1036" s="515"/>
      <c r="C1036" s="11"/>
      <c r="D1036" s="11"/>
      <c r="E1036" s="11"/>
      <c r="F1036" s="21"/>
      <c r="G1036" s="11"/>
      <c r="H1036" s="50"/>
      <c r="I1036" s="50"/>
      <c r="J1036" s="50"/>
      <c r="K1036" s="11"/>
      <c r="L1036" s="50"/>
      <c r="M1036" s="50"/>
      <c r="N1036" s="50"/>
      <c r="O1036" s="50"/>
      <c r="P1036" s="50"/>
      <c r="Q1036" s="11"/>
      <c r="R1036" s="50"/>
      <c r="S1036" s="50"/>
      <c r="T1036" s="50"/>
      <c r="U1036" s="11"/>
      <c r="V1036" s="50"/>
      <c r="W1036" s="50"/>
      <c r="X1036" s="50"/>
      <c r="Y1036" s="50"/>
      <c r="Z1036" s="50"/>
      <c r="AA1036" s="11"/>
      <c r="AB1036" s="50"/>
      <c r="AC1036" s="50"/>
      <c r="AD1036" s="50"/>
      <c r="AE1036" s="11"/>
      <c r="AF1036" s="50"/>
      <c r="AG1036" s="50"/>
      <c r="AH1036" s="50"/>
      <c r="AI1036" s="11"/>
      <c r="AJ1036" s="50"/>
      <c r="AK1036" s="50"/>
      <c r="AL1036" s="50"/>
      <c r="AM1036" s="11"/>
      <c r="AN1036" s="50"/>
      <c r="AO1036" s="50"/>
      <c r="AP1036" s="50"/>
      <c r="AQ1036" s="11"/>
      <c r="AR1036" s="50"/>
      <c r="AS1036" s="50"/>
      <c r="AT1036" s="50"/>
      <c r="AU1036" s="11"/>
      <c r="AV1036" s="50"/>
      <c r="AW1036" s="50"/>
      <c r="AX1036" s="50"/>
      <c r="AY1036" s="50"/>
      <c r="AZ1036" s="50"/>
      <c r="BA1036" s="50"/>
      <c r="BB1036" s="50"/>
      <c r="BC1036" s="50"/>
      <c r="BD1036" s="50"/>
      <c r="BE1036" s="20"/>
      <c r="BF1036" s="518"/>
      <c r="BG1036" s="484"/>
      <c r="BH1036" s="484"/>
      <c r="BI1036" s="527"/>
      <c r="BJ1036" s="484"/>
      <c r="BK1036" s="484"/>
      <c r="BL1036" s="484"/>
      <c r="BM1036" s="484"/>
    </row>
    <row r="1037" spans="1:65" s="22" customFormat="1" x14ac:dyDescent="0.25">
      <c r="A1037" s="20"/>
      <c r="B1037" s="515"/>
      <c r="C1037" s="11"/>
      <c r="D1037" s="11"/>
      <c r="E1037" s="11"/>
      <c r="F1037" s="21"/>
      <c r="G1037" s="11"/>
      <c r="H1037" s="50"/>
      <c r="I1037" s="50"/>
      <c r="J1037" s="50"/>
      <c r="K1037" s="11"/>
      <c r="L1037" s="50"/>
      <c r="M1037" s="50"/>
      <c r="N1037" s="50"/>
      <c r="O1037" s="50"/>
      <c r="P1037" s="50"/>
      <c r="Q1037" s="11"/>
      <c r="R1037" s="50"/>
      <c r="S1037" s="50"/>
      <c r="T1037" s="50"/>
      <c r="U1037" s="11"/>
      <c r="V1037" s="50"/>
      <c r="W1037" s="50"/>
      <c r="X1037" s="50"/>
      <c r="Y1037" s="50"/>
      <c r="Z1037" s="50"/>
      <c r="AA1037" s="11"/>
      <c r="AB1037" s="50"/>
      <c r="AC1037" s="50"/>
      <c r="AD1037" s="50"/>
      <c r="AE1037" s="11"/>
      <c r="AF1037" s="50"/>
      <c r="AG1037" s="50"/>
      <c r="AH1037" s="50"/>
      <c r="AI1037" s="11"/>
      <c r="AJ1037" s="50"/>
      <c r="AK1037" s="50"/>
      <c r="AL1037" s="50"/>
      <c r="AM1037" s="11"/>
      <c r="AN1037" s="50"/>
      <c r="AO1037" s="50"/>
      <c r="AP1037" s="50"/>
      <c r="AQ1037" s="11"/>
      <c r="AR1037" s="50"/>
      <c r="AS1037" s="50"/>
      <c r="AT1037" s="50"/>
      <c r="AU1037" s="11"/>
      <c r="AV1037" s="50"/>
      <c r="AW1037" s="50"/>
      <c r="AX1037" s="50"/>
      <c r="AY1037" s="50"/>
      <c r="AZ1037" s="50"/>
      <c r="BA1037" s="50"/>
      <c r="BB1037" s="50"/>
      <c r="BC1037" s="50"/>
      <c r="BD1037" s="50"/>
      <c r="BE1037" s="20"/>
      <c r="BF1037" s="518"/>
      <c r="BG1037" s="484"/>
      <c r="BH1037" s="484"/>
      <c r="BI1037" s="527"/>
      <c r="BJ1037" s="484"/>
      <c r="BK1037" s="484"/>
      <c r="BL1037" s="484"/>
      <c r="BM1037" s="484"/>
    </row>
    <row r="1038" spans="1:65" s="22" customFormat="1" x14ac:dyDescent="0.25">
      <c r="A1038" s="20"/>
      <c r="B1038" s="515"/>
      <c r="C1038" s="11"/>
      <c r="D1038" s="11"/>
      <c r="E1038" s="11"/>
      <c r="F1038" s="21"/>
      <c r="G1038" s="11"/>
      <c r="H1038" s="50"/>
      <c r="I1038" s="50"/>
      <c r="J1038" s="50"/>
      <c r="K1038" s="11"/>
      <c r="L1038" s="50"/>
      <c r="M1038" s="50"/>
      <c r="N1038" s="50"/>
      <c r="O1038" s="50"/>
      <c r="P1038" s="50"/>
      <c r="Q1038" s="11"/>
      <c r="R1038" s="50"/>
      <c r="S1038" s="50"/>
      <c r="T1038" s="50"/>
      <c r="U1038" s="11"/>
      <c r="V1038" s="50"/>
      <c r="W1038" s="50"/>
      <c r="X1038" s="50"/>
      <c r="Y1038" s="50"/>
      <c r="Z1038" s="50"/>
      <c r="AA1038" s="11"/>
      <c r="AB1038" s="50"/>
      <c r="AC1038" s="50"/>
      <c r="AD1038" s="50"/>
      <c r="AE1038" s="11"/>
      <c r="AF1038" s="50"/>
      <c r="AG1038" s="50"/>
      <c r="AH1038" s="50"/>
      <c r="AI1038" s="11"/>
      <c r="AJ1038" s="50"/>
      <c r="AK1038" s="50"/>
      <c r="AL1038" s="50"/>
      <c r="AM1038" s="11"/>
      <c r="AN1038" s="50"/>
      <c r="AO1038" s="50"/>
      <c r="AP1038" s="50"/>
      <c r="AQ1038" s="11"/>
      <c r="AR1038" s="50"/>
      <c r="AS1038" s="50"/>
      <c r="AT1038" s="50"/>
      <c r="AU1038" s="11"/>
      <c r="AV1038" s="50"/>
      <c r="AW1038" s="50"/>
      <c r="AX1038" s="50"/>
      <c r="AY1038" s="50"/>
      <c r="AZ1038" s="50"/>
      <c r="BA1038" s="50"/>
      <c r="BB1038" s="50"/>
      <c r="BC1038" s="50"/>
      <c r="BD1038" s="50"/>
      <c r="BE1038" s="20"/>
      <c r="BF1038" s="518"/>
      <c r="BG1038" s="484"/>
      <c r="BH1038" s="484"/>
      <c r="BI1038" s="527"/>
      <c r="BJ1038" s="484"/>
      <c r="BK1038" s="484"/>
      <c r="BL1038" s="484"/>
      <c r="BM1038" s="484"/>
    </row>
    <row r="1039" spans="1:65" s="22" customFormat="1" x14ac:dyDescent="0.25">
      <c r="A1039" s="20"/>
      <c r="B1039" s="515"/>
      <c r="C1039" s="11"/>
      <c r="D1039" s="11"/>
      <c r="E1039" s="11"/>
      <c r="F1039" s="21"/>
      <c r="G1039" s="11"/>
      <c r="H1039" s="50"/>
      <c r="I1039" s="50"/>
      <c r="J1039" s="50"/>
      <c r="K1039" s="11"/>
      <c r="L1039" s="50"/>
      <c r="M1039" s="50"/>
      <c r="N1039" s="50"/>
      <c r="O1039" s="50"/>
      <c r="P1039" s="50"/>
      <c r="Q1039" s="11"/>
      <c r="R1039" s="50"/>
      <c r="S1039" s="50"/>
      <c r="T1039" s="50"/>
      <c r="U1039" s="11"/>
      <c r="V1039" s="50"/>
      <c r="W1039" s="50"/>
      <c r="X1039" s="50"/>
      <c r="Y1039" s="50"/>
      <c r="Z1039" s="50"/>
      <c r="AA1039" s="11"/>
      <c r="AB1039" s="50"/>
      <c r="AC1039" s="50"/>
      <c r="AD1039" s="50"/>
      <c r="AE1039" s="11"/>
      <c r="AF1039" s="50"/>
      <c r="AG1039" s="50"/>
      <c r="AH1039" s="50"/>
      <c r="AI1039" s="11"/>
      <c r="AJ1039" s="50"/>
      <c r="AK1039" s="50"/>
      <c r="AL1039" s="50"/>
      <c r="AM1039" s="11"/>
      <c r="AN1039" s="50"/>
      <c r="AO1039" s="50"/>
      <c r="AP1039" s="50"/>
      <c r="AQ1039" s="11"/>
      <c r="AR1039" s="50"/>
      <c r="AS1039" s="50"/>
      <c r="AT1039" s="50"/>
      <c r="AU1039" s="11"/>
      <c r="AV1039" s="50"/>
      <c r="AW1039" s="50"/>
      <c r="AX1039" s="50"/>
      <c r="AY1039" s="50"/>
      <c r="AZ1039" s="50"/>
      <c r="BA1039" s="50"/>
      <c r="BB1039" s="50"/>
      <c r="BC1039" s="50"/>
      <c r="BD1039" s="50"/>
      <c r="BE1039" s="20"/>
      <c r="BF1039" s="518"/>
      <c r="BG1039" s="484"/>
      <c r="BH1039" s="484"/>
      <c r="BI1039" s="527"/>
      <c r="BJ1039" s="484"/>
      <c r="BK1039" s="484"/>
      <c r="BL1039" s="484"/>
      <c r="BM1039" s="484"/>
    </row>
    <row r="1040" spans="1:65" s="22" customFormat="1" x14ac:dyDescent="0.25">
      <c r="A1040" s="20"/>
      <c r="B1040" s="515"/>
      <c r="C1040" s="11"/>
      <c r="D1040" s="11"/>
      <c r="E1040" s="11"/>
      <c r="F1040" s="21"/>
      <c r="G1040" s="11"/>
      <c r="H1040" s="50"/>
      <c r="I1040" s="50"/>
      <c r="J1040" s="50"/>
      <c r="K1040" s="11"/>
      <c r="L1040" s="50"/>
      <c r="M1040" s="50"/>
      <c r="N1040" s="50"/>
      <c r="O1040" s="50"/>
      <c r="P1040" s="50"/>
      <c r="Q1040" s="11"/>
      <c r="R1040" s="50"/>
      <c r="S1040" s="50"/>
      <c r="T1040" s="50"/>
      <c r="U1040" s="11"/>
      <c r="V1040" s="50"/>
      <c r="W1040" s="50"/>
      <c r="X1040" s="50"/>
      <c r="Y1040" s="50"/>
      <c r="Z1040" s="50"/>
      <c r="AA1040" s="11"/>
      <c r="AB1040" s="50"/>
      <c r="AC1040" s="50"/>
      <c r="AD1040" s="50"/>
      <c r="AE1040" s="11"/>
      <c r="AF1040" s="50"/>
      <c r="AG1040" s="50"/>
      <c r="AH1040" s="50"/>
      <c r="AI1040" s="11"/>
      <c r="AJ1040" s="50"/>
      <c r="AK1040" s="50"/>
      <c r="AL1040" s="50"/>
      <c r="AM1040" s="11"/>
      <c r="AN1040" s="50"/>
      <c r="AO1040" s="50"/>
      <c r="AP1040" s="50"/>
      <c r="AQ1040" s="11"/>
      <c r="AR1040" s="50"/>
      <c r="AS1040" s="50"/>
      <c r="AT1040" s="50"/>
      <c r="AU1040" s="11"/>
      <c r="AV1040" s="50"/>
      <c r="AW1040" s="50"/>
      <c r="AX1040" s="50"/>
      <c r="AY1040" s="50"/>
      <c r="AZ1040" s="50"/>
      <c r="BA1040" s="50"/>
      <c r="BB1040" s="50"/>
      <c r="BC1040" s="50"/>
      <c r="BD1040" s="50"/>
      <c r="BE1040" s="20"/>
      <c r="BF1040" s="518"/>
      <c r="BG1040" s="484"/>
      <c r="BH1040" s="484"/>
      <c r="BI1040" s="527"/>
      <c r="BJ1040" s="484"/>
      <c r="BK1040" s="484"/>
      <c r="BL1040" s="484"/>
      <c r="BM1040" s="484"/>
    </row>
    <row r="1041" spans="1:65" s="22" customFormat="1" x14ac:dyDescent="0.25">
      <c r="A1041" s="20"/>
      <c r="B1041" s="515"/>
      <c r="C1041" s="11"/>
      <c r="D1041" s="11"/>
      <c r="E1041" s="11"/>
      <c r="F1041" s="21"/>
      <c r="G1041" s="11"/>
      <c r="H1041" s="50"/>
      <c r="I1041" s="50"/>
      <c r="J1041" s="50"/>
      <c r="K1041" s="11"/>
      <c r="L1041" s="50"/>
      <c r="M1041" s="50"/>
      <c r="N1041" s="50"/>
      <c r="O1041" s="50"/>
      <c r="P1041" s="50"/>
      <c r="Q1041" s="11"/>
      <c r="R1041" s="50"/>
      <c r="S1041" s="50"/>
      <c r="T1041" s="50"/>
      <c r="U1041" s="11"/>
      <c r="V1041" s="50"/>
      <c r="W1041" s="50"/>
      <c r="X1041" s="50"/>
      <c r="Y1041" s="50"/>
      <c r="Z1041" s="50"/>
      <c r="AA1041" s="11"/>
      <c r="AB1041" s="50"/>
      <c r="AC1041" s="50"/>
      <c r="AD1041" s="50"/>
      <c r="AE1041" s="11"/>
      <c r="AF1041" s="50"/>
      <c r="AG1041" s="50"/>
      <c r="AH1041" s="50"/>
      <c r="AI1041" s="11"/>
      <c r="AJ1041" s="50"/>
      <c r="AK1041" s="50"/>
      <c r="AL1041" s="50"/>
      <c r="AM1041" s="11"/>
      <c r="AN1041" s="50"/>
      <c r="AO1041" s="50"/>
      <c r="AP1041" s="50"/>
      <c r="AQ1041" s="11"/>
      <c r="AR1041" s="50"/>
      <c r="AS1041" s="50"/>
      <c r="AT1041" s="50"/>
      <c r="AU1041" s="11"/>
      <c r="AV1041" s="50"/>
      <c r="AW1041" s="50"/>
      <c r="AX1041" s="50"/>
      <c r="AY1041" s="50"/>
      <c r="AZ1041" s="50"/>
      <c r="BA1041" s="50"/>
      <c r="BB1041" s="50"/>
      <c r="BC1041" s="50"/>
      <c r="BD1041" s="50"/>
      <c r="BE1041" s="20"/>
      <c r="BF1041" s="518"/>
      <c r="BG1041" s="484"/>
      <c r="BH1041" s="484"/>
      <c r="BI1041" s="527"/>
      <c r="BJ1041" s="484"/>
      <c r="BK1041" s="484"/>
      <c r="BL1041" s="484"/>
      <c r="BM1041" s="484"/>
    </row>
    <row r="1042" spans="1:65" s="22" customFormat="1" x14ac:dyDescent="0.25">
      <c r="A1042" s="20"/>
      <c r="B1042" s="515"/>
      <c r="C1042" s="11"/>
      <c r="D1042" s="11"/>
      <c r="E1042" s="11"/>
      <c r="F1042" s="21"/>
      <c r="G1042" s="11"/>
      <c r="H1042" s="50"/>
      <c r="I1042" s="50"/>
      <c r="J1042" s="50"/>
      <c r="K1042" s="11"/>
      <c r="L1042" s="50"/>
      <c r="M1042" s="50"/>
      <c r="N1042" s="50"/>
      <c r="O1042" s="50"/>
      <c r="P1042" s="50"/>
      <c r="Q1042" s="11"/>
      <c r="R1042" s="50"/>
      <c r="S1042" s="50"/>
      <c r="T1042" s="50"/>
      <c r="U1042" s="11"/>
      <c r="V1042" s="50"/>
      <c r="W1042" s="50"/>
      <c r="X1042" s="50"/>
      <c r="Y1042" s="50"/>
      <c r="Z1042" s="50"/>
      <c r="AA1042" s="11"/>
      <c r="AB1042" s="50"/>
      <c r="AC1042" s="50"/>
      <c r="AD1042" s="50"/>
      <c r="AE1042" s="11"/>
      <c r="AF1042" s="50"/>
      <c r="AG1042" s="50"/>
      <c r="AH1042" s="50"/>
      <c r="AI1042" s="11"/>
      <c r="AJ1042" s="50"/>
      <c r="AK1042" s="50"/>
      <c r="AL1042" s="50"/>
      <c r="AM1042" s="11"/>
      <c r="AN1042" s="50"/>
      <c r="AO1042" s="50"/>
      <c r="AP1042" s="50"/>
      <c r="AQ1042" s="11"/>
      <c r="AR1042" s="50"/>
      <c r="AS1042" s="50"/>
      <c r="AT1042" s="50"/>
      <c r="AU1042" s="11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20"/>
      <c r="BF1042" s="518"/>
      <c r="BG1042" s="484"/>
      <c r="BH1042" s="484"/>
      <c r="BI1042" s="527"/>
      <c r="BJ1042" s="484"/>
      <c r="BK1042" s="484"/>
      <c r="BL1042" s="484"/>
      <c r="BM1042" s="484"/>
    </row>
    <row r="1043" spans="1:65" s="22" customFormat="1" x14ac:dyDescent="0.25">
      <c r="A1043" s="20"/>
      <c r="B1043" s="515"/>
      <c r="C1043" s="11"/>
      <c r="D1043" s="11"/>
      <c r="E1043" s="11"/>
      <c r="F1043" s="21"/>
      <c r="G1043" s="11"/>
      <c r="H1043" s="50"/>
      <c r="I1043" s="50"/>
      <c r="J1043" s="50"/>
      <c r="K1043" s="11"/>
      <c r="L1043" s="50"/>
      <c r="M1043" s="50"/>
      <c r="N1043" s="50"/>
      <c r="O1043" s="50"/>
      <c r="P1043" s="50"/>
      <c r="Q1043" s="11"/>
      <c r="R1043" s="50"/>
      <c r="S1043" s="50"/>
      <c r="T1043" s="50"/>
      <c r="U1043" s="11"/>
      <c r="V1043" s="50"/>
      <c r="W1043" s="50"/>
      <c r="X1043" s="50"/>
      <c r="Y1043" s="50"/>
      <c r="Z1043" s="50"/>
      <c r="AA1043" s="11"/>
      <c r="AB1043" s="50"/>
      <c r="AC1043" s="50"/>
      <c r="AD1043" s="50"/>
      <c r="AE1043" s="11"/>
      <c r="AF1043" s="50"/>
      <c r="AG1043" s="50"/>
      <c r="AH1043" s="50"/>
      <c r="AI1043" s="11"/>
      <c r="AJ1043" s="50"/>
      <c r="AK1043" s="50"/>
      <c r="AL1043" s="50"/>
      <c r="AM1043" s="11"/>
      <c r="AN1043" s="50"/>
      <c r="AO1043" s="50"/>
      <c r="AP1043" s="50"/>
      <c r="AQ1043" s="11"/>
      <c r="AR1043" s="50"/>
      <c r="AS1043" s="50"/>
      <c r="AT1043" s="50"/>
      <c r="AU1043" s="11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20"/>
      <c r="BF1043" s="518"/>
      <c r="BG1043" s="484"/>
      <c r="BH1043" s="484"/>
      <c r="BI1043" s="527"/>
      <c r="BJ1043" s="484"/>
      <c r="BK1043" s="484"/>
      <c r="BL1043" s="484"/>
      <c r="BM1043" s="484"/>
    </row>
    <row r="1044" spans="1:65" s="22" customFormat="1" x14ac:dyDescent="0.25">
      <c r="A1044" s="20"/>
      <c r="B1044" s="515"/>
      <c r="C1044" s="11"/>
      <c r="D1044" s="11"/>
      <c r="E1044" s="11"/>
      <c r="F1044" s="21"/>
      <c r="G1044" s="11"/>
      <c r="H1044" s="50"/>
      <c r="I1044" s="50"/>
      <c r="J1044" s="50"/>
      <c r="K1044" s="11"/>
      <c r="L1044" s="50"/>
      <c r="M1044" s="50"/>
      <c r="N1044" s="50"/>
      <c r="O1044" s="50"/>
      <c r="P1044" s="50"/>
      <c r="Q1044" s="11"/>
      <c r="R1044" s="50"/>
      <c r="S1044" s="50"/>
      <c r="T1044" s="50"/>
      <c r="U1044" s="11"/>
      <c r="V1044" s="50"/>
      <c r="W1044" s="50"/>
      <c r="X1044" s="50"/>
      <c r="Y1044" s="50"/>
      <c r="Z1044" s="50"/>
      <c r="AA1044" s="11"/>
      <c r="AB1044" s="50"/>
      <c r="AC1044" s="50"/>
      <c r="AD1044" s="50"/>
      <c r="AE1044" s="11"/>
      <c r="AF1044" s="50"/>
      <c r="AG1044" s="50"/>
      <c r="AH1044" s="50"/>
      <c r="AI1044" s="11"/>
      <c r="AJ1044" s="50"/>
      <c r="AK1044" s="50"/>
      <c r="AL1044" s="50"/>
      <c r="AM1044" s="11"/>
      <c r="AN1044" s="50"/>
      <c r="AO1044" s="50"/>
      <c r="AP1044" s="50"/>
      <c r="AQ1044" s="11"/>
      <c r="AR1044" s="50"/>
      <c r="AS1044" s="50"/>
      <c r="AT1044" s="50"/>
      <c r="AU1044" s="11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20"/>
      <c r="BF1044" s="518"/>
      <c r="BG1044" s="484"/>
      <c r="BH1044" s="484"/>
      <c r="BI1044" s="527"/>
      <c r="BJ1044" s="484"/>
      <c r="BK1044" s="484"/>
      <c r="BL1044" s="484"/>
      <c r="BM1044" s="484"/>
    </row>
    <row r="1045" spans="1:65" s="22" customFormat="1" x14ac:dyDescent="0.25">
      <c r="A1045" s="20"/>
      <c r="B1045" s="515"/>
      <c r="C1045" s="11"/>
      <c r="D1045" s="11"/>
      <c r="E1045" s="11"/>
      <c r="F1045" s="21"/>
      <c r="G1045" s="11"/>
      <c r="H1045" s="50"/>
      <c r="I1045" s="50"/>
      <c r="J1045" s="50"/>
      <c r="K1045" s="11"/>
      <c r="L1045" s="50"/>
      <c r="M1045" s="50"/>
      <c r="N1045" s="50"/>
      <c r="O1045" s="50"/>
      <c r="P1045" s="50"/>
      <c r="Q1045" s="11"/>
      <c r="R1045" s="50"/>
      <c r="S1045" s="50"/>
      <c r="T1045" s="50"/>
      <c r="U1045" s="11"/>
      <c r="V1045" s="50"/>
      <c r="W1045" s="50"/>
      <c r="X1045" s="50"/>
      <c r="Y1045" s="50"/>
      <c r="Z1045" s="50"/>
      <c r="AA1045" s="11"/>
      <c r="AB1045" s="50"/>
      <c r="AC1045" s="50"/>
      <c r="AD1045" s="50"/>
      <c r="AE1045" s="11"/>
      <c r="AF1045" s="50"/>
      <c r="AG1045" s="50"/>
      <c r="AH1045" s="50"/>
      <c r="AI1045" s="11"/>
      <c r="AJ1045" s="50"/>
      <c r="AK1045" s="50"/>
      <c r="AL1045" s="50"/>
      <c r="AM1045" s="11"/>
      <c r="AN1045" s="50"/>
      <c r="AO1045" s="50"/>
      <c r="AP1045" s="50"/>
      <c r="AQ1045" s="11"/>
      <c r="AR1045" s="50"/>
      <c r="AS1045" s="50"/>
      <c r="AT1045" s="50"/>
      <c r="AU1045" s="11"/>
      <c r="AV1045" s="50"/>
      <c r="AW1045" s="50"/>
      <c r="AX1045" s="50"/>
      <c r="AY1045" s="50"/>
      <c r="AZ1045" s="50"/>
      <c r="BA1045" s="50"/>
      <c r="BB1045" s="50"/>
      <c r="BC1045" s="50"/>
      <c r="BD1045" s="50"/>
      <c r="BE1045" s="20"/>
      <c r="BF1045" s="518"/>
      <c r="BG1045" s="484"/>
      <c r="BH1045" s="484"/>
      <c r="BI1045" s="527"/>
      <c r="BJ1045" s="484"/>
      <c r="BK1045" s="484"/>
      <c r="BL1045" s="484"/>
      <c r="BM1045" s="484"/>
    </row>
    <row r="1046" spans="1:65" s="22" customFormat="1" x14ac:dyDescent="0.25">
      <c r="A1046" s="20"/>
      <c r="B1046" s="515"/>
      <c r="C1046" s="11"/>
      <c r="D1046" s="11"/>
      <c r="E1046" s="11"/>
      <c r="F1046" s="21"/>
      <c r="G1046" s="11"/>
      <c r="H1046" s="50"/>
      <c r="I1046" s="50"/>
      <c r="J1046" s="50"/>
      <c r="K1046" s="11"/>
      <c r="L1046" s="50"/>
      <c r="M1046" s="50"/>
      <c r="N1046" s="50"/>
      <c r="O1046" s="50"/>
      <c r="P1046" s="50"/>
      <c r="Q1046" s="11"/>
      <c r="R1046" s="50"/>
      <c r="S1046" s="50"/>
      <c r="T1046" s="50"/>
      <c r="U1046" s="11"/>
      <c r="V1046" s="50"/>
      <c r="W1046" s="50"/>
      <c r="X1046" s="50"/>
      <c r="Y1046" s="50"/>
      <c r="Z1046" s="50"/>
      <c r="AA1046" s="11"/>
      <c r="AB1046" s="50"/>
      <c r="AC1046" s="50"/>
      <c r="AD1046" s="50"/>
      <c r="AE1046" s="11"/>
      <c r="AF1046" s="50"/>
      <c r="AG1046" s="50"/>
      <c r="AH1046" s="50"/>
      <c r="AI1046" s="11"/>
      <c r="AJ1046" s="50"/>
      <c r="AK1046" s="50"/>
      <c r="AL1046" s="50"/>
      <c r="AM1046" s="11"/>
      <c r="AN1046" s="50"/>
      <c r="AO1046" s="50"/>
      <c r="AP1046" s="50"/>
      <c r="AQ1046" s="11"/>
      <c r="AR1046" s="50"/>
      <c r="AS1046" s="50"/>
      <c r="AT1046" s="50"/>
      <c r="AU1046" s="11"/>
      <c r="AV1046" s="50"/>
      <c r="AW1046" s="50"/>
      <c r="AX1046" s="50"/>
      <c r="AY1046" s="50"/>
      <c r="AZ1046" s="50"/>
      <c r="BA1046" s="50"/>
      <c r="BB1046" s="50"/>
      <c r="BC1046" s="50"/>
      <c r="BD1046" s="50"/>
      <c r="BE1046" s="20"/>
      <c r="BF1046" s="518"/>
      <c r="BG1046" s="484"/>
      <c r="BH1046" s="484"/>
      <c r="BI1046" s="527"/>
      <c r="BJ1046" s="484"/>
      <c r="BK1046" s="484"/>
      <c r="BL1046" s="484"/>
      <c r="BM1046" s="484"/>
    </row>
    <row r="1047" spans="1:65" s="22" customFormat="1" x14ac:dyDescent="0.25">
      <c r="A1047" s="20"/>
      <c r="B1047" s="515"/>
      <c r="C1047" s="11"/>
      <c r="D1047" s="11"/>
      <c r="E1047" s="11"/>
      <c r="F1047" s="21"/>
      <c r="G1047" s="11"/>
      <c r="H1047" s="50"/>
      <c r="I1047" s="50"/>
      <c r="J1047" s="50"/>
      <c r="K1047" s="11"/>
      <c r="L1047" s="50"/>
      <c r="M1047" s="50"/>
      <c r="N1047" s="50"/>
      <c r="O1047" s="50"/>
      <c r="P1047" s="50"/>
      <c r="Q1047" s="11"/>
      <c r="R1047" s="50"/>
      <c r="S1047" s="50"/>
      <c r="T1047" s="50"/>
      <c r="U1047" s="11"/>
      <c r="V1047" s="50"/>
      <c r="W1047" s="50"/>
      <c r="X1047" s="50"/>
      <c r="Y1047" s="50"/>
      <c r="Z1047" s="50"/>
      <c r="AA1047" s="11"/>
      <c r="AB1047" s="50"/>
      <c r="AC1047" s="50"/>
      <c r="AD1047" s="50"/>
      <c r="AE1047" s="11"/>
      <c r="AF1047" s="50"/>
      <c r="AG1047" s="50"/>
      <c r="AH1047" s="50"/>
      <c r="AI1047" s="11"/>
      <c r="AJ1047" s="50"/>
      <c r="AK1047" s="50"/>
      <c r="AL1047" s="50"/>
      <c r="AM1047" s="11"/>
      <c r="AN1047" s="50"/>
      <c r="AO1047" s="50"/>
      <c r="AP1047" s="50"/>
      <c r="AQ1047" s="11"/>
      <c r="AR1047" s="50"/>
      <c r="AS1047" s="50"/>
      <c r="AT1047" s="50"/>
      <c r="AU1047" s="11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20"/>
      <c r="BF1047" s="518"/>
      <c r="BG1047" s="484"/>
      <c r="BH1047" s="484"/>
      <c r="BI1047" s="527"/>
      <c r="BJ1047" s="484"/>
      <c r="BK1047" s="484"/>
      <c r="BL1047" s="484"/>
      <c r="BM1047" s="484"/>
    </row>
    <row r="1048" spans="1:65" s="22" customFormat="1" x14ac:dyDescent="0.25">
      <c r="A1048" s="20"/>
      <c r="B1048" s="515"/>
      <c r="C1048" s="11"/>
      <c r="D1048" s="11"/>
      <c r="E1048" s="11"/>
      <c r="F1048" s="21"/>
      <c r="G1048" s="11"/>
      <c r="H1048" s="50"/>
      <c r="I1048" s="50"/>
      <c r="J1048" s="50"/>
      <c r="K1048" s="11"/>
      <c r="L1048" s="50"/>
      <c r="M1048" s="50"/>
      <c r="N1048" s="50"/>
      <c r="O1048" s="50"/>
      <c r="P1048" s="50"/>
      <c r="Q1048" s="11"/>
      <c r="R1048" s="50"/>
      <c r="S1048" s="50"/>
      <c r="T1048" s="50"/>
      <c r="U1048" s="11"/>
      <c r="V1048" s="50"/>
      <c r="W1048" s="50"/>
      <c r="X1048" s="50"/>
      <c r="Y1048" s="50"/>
      <c r="Z1048" s="50"/>
      <c r="AA1048" s="11"/>
      <c r="AB1048" s="50"/>
      <c r="AC1048" s="50"/>
      <c r="AD1048" s="50"/>
      <c r="AE1048" s="11"/>
      <c r="AF1048" s="50"/>
      <c r="AG1048" s="50"/>
      <c r="AH1048" s="50"/>
      <c r="AI1048" s="11"/>
      <c r="AJ1048" s="50"/>
      <c r="AK1048" s="50"/>
      <c r="AL1048" s="50"/>
      <c r="AM1048" s="11"/>
      <c r="AN1048" s="50"/>
      <c r="AO1048" s="50"/>
      <c r="AP1048" s="50"/>
      <c r="AQ1048" s="11"/>
      <c r="AR1048" s="50"/>
      <c r="AS1048" s="50"/>
      <c r="AT1048" s="50"/>
      <c r="AU1048" s="11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20"/>
      <c r="BF1048" s="518"/>
      <c r="BG1048" s="484"/>
      <c r="BH1048" s="484"/>
      <c r="BI1048" s="527"/>
      <c r="BJ1048" s="484"/>
      <c r="BK1048" s="484"/>
      <c r="BL1048" s="484"/>
      <c r="BM1048" s="484"/>
    </row>
    <row r="1049" spans="1:65" s="22" customFormat="1" x14ac:dyDescent="0.25">
      <c r="A1049" s="20"/>
      <c r="B1049" s="515"/>
      <c r="C1049" s="11"/>
      <c r="D1049" s="11"/>
      <c r="E1049" s="11"/>
      <c r="F1049" s="21"/>
      <c r="G1049" s="11"/>
      <c r="H1049" s="50"/>
      <c r="I1049" s="50"/>
      <c r="J1049" s="50"/>
      <c r="K1049" s="11"/>
      <c r="L1049" s="50"/>
      <c r="M1049" s="50"/>
      <c r="N1049" s="50"/>
      <c r="O1049" s="50"/>
      <c r="P1049" s="50"/>
      <c r="Q1049" s="11"/>
      <c r="R1049" s="50"/>
      <c r="S1049" s="50"/>
      <c r="T1049" s="50"/>
      <c r="U1049" s="11"/>
      <c r="V1049" s="50"/>
      <c r="W1049" s="50"/>
      <c r="X1049" s="50"/>
      <c r="Y1049" s="50"/>
      <c r="Z1049" s="50"/>
      <c r="AA1049" s="11"/>
      <c r="AB1049" s="50"/>
      <c r="AC1049" s="50"/>
      <c r="AD1049" s="50"/>
      <c r="AE1049" s="11"/>
      <c r="AF1049" s="50"/>
      <c r="AG1049" s="50"/>
      <c r="AH1049" s="50"/>
      <c r="AI1049" s="11"/>
      <c r="AJ1049" s="50"/>
      <c r="AK1049" s="50"/>
      <c r="AL1049" s="50"/>
      <c r="AM1049" s="11"/>
      <c r="AN1049" s="50"/>
      <c r="AO1049" s="50"/>
      <c r="AP1049" s="50"/>
      <c r="AQ1049" s="11"/>
      <c r="AR1049" s="50"/>
      <c r="AS1049" s="50"/>
      <c r="AT1049" s="50"/>
      <c r="AU1049" s="11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20"/>
      <c r="BF1049" s="518"/>
      <c r="BG1049" s="484"/>
      <c r="BH1049" s="484"/>
      <c r="BI1049" s="527"/>
      <c r="BJ1049" s="484"/>
      <c r="BK1049" s="484"/>
      <c r="BL1049" s="484"/>
      <c r="BM1049" s="484"/>
    </row>
    <row r="1050" spans="1:65" s="22" customFormat="1" x14ac:dyDescent="0.25">
      <c r="A1050" s="20"/>
      <c r="B1050" s="515"/>
      <c r="C1050" s="11"/>
      <c r="D1050" s="11"/>
      <c r="E1050" s="11"/>
      <c r="F1050" s="21"/>
      <c r="G1050" s="11"/>
      <c r="H1050" s="50"/>
      <c r="I1050" s="50"/>
      <c r="J1050" s="50"/>
      <c r="K1050" s="11"/>
      <c r="L1050" s="50"/>
      <c r="M1050" s="50"/>
      <c r="N1050" s="50"/>
      <c r="O1050" s="50"/>
      <c r="P1050" s="50"/>
      <c r="Q1050" s="11"/>
      <c r="R1050" s="50"/>
      <c r="S1050" s="50"/>
      <c r="T1050" s="50"/>
      <c r="U1050" s="11"/>
      <c r="V1050" s="50"/>
      <c r="W1050" s="50"/>
      <c r="X1050" s="50"/>
      <c r="Y1050" s="50"/>
      <c r="Z1050" s="50"/>
      <c r="AA1050" s="11"/>
      <c r="AB1050" s="50"/>
      <c r="AC1050" s="50"/>
      <c r="AD1050" s="50"/>
      <c r="AE1050" s="11"/>
      <c r="AF1050" s="50"/>
      <c r="AG1050" s="50"/>
      <c r="AH1050" s="50"/>
      <c r="AI1050" s="11"/>
      <c r="AJ1050" s="50"/>
      <c r="AK1050" s="50"/>
      <c r="AL1050" s="50"/>
      <c r="AM1050" s="11"/>
      <c r="AN1050" s="50"/>
      <c r="AO1050" s="50"/>
      <c r="AP1050" s="50"/>
      <c r="AQ1050" s="11"/>
      <c r="AR1050" s="50"/>
      <c r="AS1050" s="50"/>
      <c r="AT1050" s="50"/>
      <c r="AU1050" s="11"/>
      <c r="AV1050" s="50"/>
      <c r="AW1050" s="50"/>
      <c r="AX1050" s="50"/>
      <c r="AY1050" s="50"/>
      <c r="AZ1050" s="50"/>
      <c r="BA1050" s="50"/>
      <c r="BB1050" s="50"/>
      <c r="BC1050" s="50"/>
      <c r="BD1050" s="50"/>
      <c r="BE1050" s="20"/>
      <c r="BF1050" s="518"/>
      <c r="BG1050" s="484"/>
      <c r="BH1050" s="484"/>
      <c r="BI1050" s="527"/>
      <c r="BJ1050" s="484"/>
      <c r="BK1050" s="484"/>
      <c r="BL1050" s="484"/>
      <c r="BM1050" s="484"/>
    </row>
    <row r="1051" spans="1:65" s="22" customFormat="1" x14ac:dyDescent="0.25">
      <c r="A1051" s="20"/>
      <c r="B1051" s="515"/>
      <c r="C1051" s="11"/>
      <c r="D1051" s="11"/>
      <c r="E1051" s="11"/>
      <c r="F1051" s="21"/>
      <c r="G1051" s="11"/>
      <c r="H1051" s="50"/>
      <c r="I1051" s="50"/>
      <c r="J1051" s="50"/>
      <c r="K1051" s="11"/>
      <c r="L1051" s="50"/>
      <c r="M1051" s="50"/>
      <c r="N1051" s="50"/>
      <c r="O1051" s="50"/>
      <c r="P1051" s="50"/>
      <c r="Q1051" s="11"/>
      <c r="R1051" s="50"/>
      <c r="S1051" s="50"/>
      <c r="T1051" s="50"/>
      <c r="U1051" s="11"/>
      <c r="V1051" s="50"/>
      <c r="W1051" s="50"/>
      <c r="X1051" s="50"/>
      <c r="Y1051" s="50"/>
      <c r="Z1051" s="50"/>
      <c r="AA1051" s="11"/>
      <c r="AB1051" s="50"/>
      <c r="AC1051" s="50"/>
      <c r="AD1051" s="50"/>
      <c r="AE1051" s="11"/>
      <c r="AF1051" s="50"/>
      <c r="AG1051" s="50"/>
      <c r="AH1051" s="50"/>
      <c r="AI1051" s="11"/>
      <c r="AJ1051" s="50"/>
      <c r="AK1051" s="50"/>
      <c r="AL1051" s="50"/>
      <c r="AM1051" s="11"/>
      <c r="AN1051" s="50"/>
      <c r="AO1051" s="50"/>
      <c r="AP1051" s="50"/>
      <c r="AQ1051" s="11"/>
      <c r="AR1051" s="50"/>
      <c r="AS1051" s="50"/>
      <c r="AT1051" s="50"/>
      <c r="AU1051" s="11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20"/>
      <c r="BF1051" s="518"/>
      <c r="BG1051" s="484"/>
      <c r="BH1051" s="484"/>
      <c r="BI1051" s="527"/>
      <c r="BJ1051" s="484"/>
      <c r="BK1051" s="484"/>
      <c r="BL1051" s="484"/>
      <c r="BM1051" s="484"/>
    </row>
    <row r="1052" spans="1:65" s="22" customFormat="1" x14ac:dyDescent="0.25">
      <c r="A1052" s="20"/>
      <c r="B1052" s="515"/>
      <c r="C1052" s="11"/>
      <c r="D1052" s="11"/>
      <c r="E1052" s="11"/>
      <c r="F1052" s="21"/>
      <c r="G1052" s="11"/>
      <c r="H1052" s="50"/>
      <c r="I1052" s="50"/>
      <c r="J1052" s="50"/>
      <c r="K1052" s="11"/>
      <c r="L1052" s="50"/>
      <c r="M1052" s="50"/>
      <c r="N1052" s="50"/>
      <c r="O1052" s="50"/>
      <c r="P1052" s="50"/>
      <c r="Q1052" s="11"/>
      <c r="R1052" s="50"/>
      <c r="S1052" s="50"/>
      <c r="T1052" s="50"/>
      <c r="U1052" s="11"/>
      <c r="V1052" s="50"/>
      <c r="W1052" s="50"/>
      <c r="X1052" s="50"/>
      <c r="Y1052" s="50"/>
      <c r="Z1052" s="50"/>
      <c r="AA1052" s="11"/>
      <c r="AB1052" s="50"/>
      <c r="AC1052" s="50"/>
      <c r="AD1052" s="50"/>
      <c r="AE1052" s="11"/>
      <c r="AF1052" s="50"/>
      <c r="AG1052" s="50"/>
      <c r="AH1052" s="50"/>
      <c r="AI1052" s="11"/>
      <c r="AJ1052" s="50"/>
      <c r="AK1052" s="50"/>
      <c r="AL1052" s="50"/>
      <c r="AM1052" s="11"/>
      <c r="AN1052" s="50"/>
      <c r="AO1052" s="50"/>
      <c r="AP1052" s="50"/>
      <c r="AQ1052" s="11"/>
      <c r="AR1052" s="50"/>
      <c r="AS1052" s="50"/>
      <c r="AT1052" s="50"/>
      <c r="AU1052" s="11"/>
      <c r="AV1052" s="50"/>
      <c r="AW1052" s="50"/>
      <c r="AX1052" s="50"/>
      <c r="AY1052" s="50"/>
      <c r="AZ1052" s="50"/>
      <c r="BA1052" s="50"/>
      <c r="BB1052" s="50"/>
      <c r="BC1052" s="50"/>
      <c r="BD1052" s="50"/>
      <c r="BE1052" s="20"/>
      <c r="BF1052" s="518"/>
      <c r="BG1052" s="484"/>
      <c r="BH1052" s="484"/>
      <c r="BI1052" s="527"/>
      <c r="BJ1052" s="484"/>
      <c r="BK1052" s="484"/>
      <c r="BL1052" s="484"/>
      <c r="BM1052" s="484"/>
    </row>
    <row r="1053" spans="1:65" s="22" customFormat="1" x14ac:dyDescent="0.25">
      <c r="A1053" s="20"/>
      <c r="B1053" s="515"/>
      <c r="C1053" s="11"/>
      <c r="D1053" s="11"/>
      <c r="E1053" s="11"/>
      <c r="F1053" s="21"/>
      <c r="G1053" s="11"/>
      <c r="H1053" s="50"/>
      <c r="I1053" s="50"/>
      <c r="J1053" s="50"/>
      <c r="K1053" s="11"/>
      <c r="L1053" s="50"/>
      <c r="M1053" s="50"/>
      <c r="N1053" s="50"/>
      <c r="O1053" s="50"/>
      <c r="P1053" s="50"/>
      <c r="Q1053" s="11"/>
      <c r="R1053" s="50"/>
      <c r="S1053" s="50"/>
      <c r="T1053" s="50"/>
      <c r="U1053" s="11"/>
      <c r="V1053" s="50"/>
      <c r="W1053" s="50"/>
      <c r="X1053" s="50"/>
      <c r="Y1053" s="50"/>
      <c r="Z1053" s="50"/>
      <c r="AA1053" s="11"/>
      <c r="AB1053" s="50"/>
      <c r="AC1053" s="50"/>
      <c r="AD1053" s="50"/>
      <c r="AE1053" s="11"/>
      <c r="AF1053" s="50"/>
      <c r="AG1053" s="50"/>
      <c r="AH1053" s="50"/>
      <c r="AI1053" s="11"/>
      <c r="AJ1053" s="50"/>
      <c r="AK1053" s="50"/>
      <c r="AL1053" s="50"/>
      <c r="AM1053" s="11"/>
      <c r="AN1053" s="50"/>
      <c r="AO1053" s="50"/>
      <c r="AP1053" s="50"/>
      <c r="AQ1053" s="11"/>
      <c r="AR1053" s="50"/>
      <c r="AS1053" s="50"/>
      <c r="AT1053" s="50"/>
      <c r="AU1053" s="11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20"/>
      <c r="BF1053" s="518"/>
      <c r="BG1053" s="484"/>
      <c r="BH1053" s="484"/>
      <c r="BI1053" s="527"/>
      <c r="BJ1053" s="484"/>
      <c r="BK1053" s="484"/>
      <c r="BL1053" s="484"/>
      <c r="BM1053" s="484"/>
    </row>
    <row r="1054" spans="1:65" s="22" customFormat="1" x14ac:dyDescent="0.25">
      <c r="A1054" s="20"/>
      <c r="B1054" s="515"/>
      <c r="C1054" s="11"/>
      <c r="D1054" s="11"/>
      <c r="E1054" s="11"/>
      <c r="F1054" s="21"/>
      <c r="G1054" s="11"/>
      <c r="H1054" s="50"/>
      <c r="I1054" s="50"/>
      <c r="J1054" s="50"/>
      <c r="K1054" s="11"/>
      <c r="L1054" s="50"/>
      <c r="M1054" s="50"/>
      <c r="N1054" s="50"/>
      <c r="O1054" s="50"/>
      <c r="P1054" s="50"/>
      <c r="Q1054" s="11"/>
      <c r="R1054" s="50"/>
      <c r="S1054" s="50"/>
      <c r="T1054" s="50"/>
      <c r="U1054" s="11"/>
      <c r="V1054" s="50"/>
      <c r="W1054" s="50"/>
      <c r="X1054" s="50"/>
      <c r="Y1054" s="50"/>
      <c r="Z1054" s="50"/>
      <c r="AA1054" s="11"/>
      <c r="AB1054" s="50"/>
      <c r="AC1054" s="50"/>
      <c r="AD1054" s="50"/>
      <c r="AE1054" s="11"/>
      <c r="AF1054" s="50"/>
      <c r="AG1054" s="50"/>
      <c r="AH1054" s="50"/>
      <c r="AI1054" s="11"/>
      <c r="AJ1054" s="50"/>
      <c r="AK1054" s="50"/>
      <c r="AL1054" s="50"/>
      <c r="AM1054" s="11"/>
      <c r="AN1054" s="50"/>
      <c r="AO1054" s="50"/>
      <c r="AP1054" s="50"/>
      <c r="AQ1054" s="11"/>
      <c r="AR1054" s="50"/>
      <c r="AS1054" s="50"/>
      <c r="AT1054" s="50"/>
      <c r="AU1054" s="11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20"/>
      <c r="BF1054" s="518"/>
      <c r="BG1054" s="484"/>
      <c r="BH1054" s="484"/>
      <c r="BI1054" s="527"/>
      <c r="BJ1054" s="484"/>
      <c r="BK1054" s="484"/>
      <c r="BL1054" s="484"/>
      <c r="BM1054" s="484"/>
    </row>
    <row r="1055" spans="1:65" s="22" customFormat="1" x14ac:dyDescent="0.25">
      <c r="A1055" s="20"/>
      <c r="B1055" s="515"/>
      <c r="C1055" s="11"/>
      <c r="D1055" s="11"/>
      <c r="E1055" s="11"/>
      <c r="F1055" s="21"/>
      <c r="G1055" s="11"/>
      <c r="H1055" s="50"/>
      <c r="I1055" s="50"/>
      <c r="J1055" s="50"/>
      <c r="K1055" s="11"/>
      <c r="L1055" s="50"/>
      <c r="M1055" s="50"/>
      <c r="N1055" s="50"/>
      <c r="O1055" s="50"/>
      <c r="P1055" s="50"/>
      <c r="Q1055" s="11"/>
      <c r="R1055" s="50"/>
      <c r="S1055" s="50"/>
      <c r="T1055" s="50"/>
      <c r="U1055" s="11"/>
      <c r="V1055" s="50"/>
      <c r="W1055" s="50"/>
      <c r="X1055" s="50"/>
      <c r="Y1055" s="50"/>
      <c r="Z1055" s="50"/>
      <c r="AA1055" s="11"/>
      <c r="AB1055" s="50"/>
      <c r="AC1055" s="50"/>
      <c r="AD1055" s="50"/>
      <c r="AE1055" s="11"/>
      <c r="AF1055" s="50"/>
      <c r="AG1055" s="50"/>
      <c r="AH1055" s="50"/>
      <c r="AI1055" s="11"/>
      <c r="AJ1055" s="50"/>
      <c r="AK1055" s="50"/>
      <c r="AL1055" s="50"/>
      <c r="AM1055" s="11"/>
      <c r="AN1055" s="50"/>
      <c r="AO1055" s="50"/>
      <c r="AP1055" s="50"/>
      <c r="AQ1055" s="11"/>
      <c r="AR1055" s="50"/>
      <c r="AS1055" s="50"/>
      <c r="AT1055" s="50"/>
      <c r="AU1055" s="11"/>
      <c r="AV1055" s="50"/>
      <c r="AW1055" s="50"/>
      <c r="AX1055" s="50"/>
      <c r="AY1055" s="50"/>
      <c r="AZ1055" s="50"/>
      <c r="BA1055" s="50"/>
      <c r="BB1055" s="50"/>
      <c r="BC1055" s="50"/>
      <c r="BD1055" s="50"/>
      <c r="BE1055" s="20"/>
      <c r="BF1055" s="518"/>
      <c r="BG1055" s="484"/>
      <c r="BH1055" s="484"/>
      <c r="BI1055" s="527"/>
      <c r="BJ1055" s="484"/>
      <c r="BK1055" s="484"/>
      <c r="BL1055" s="484"/>
      <c r="BM1055" s="484"/>
    </row>
    <row r="1056" spans="1:65" s="22" customFormat="1" x14ac:dyDescent="0.25">
      <c r="A1056" s="20"/>
      <c r="B1056" s="515"/>
      <c r="C1056" s="11"/>
      <c r="D1056" s="11"/>
      <c r="E1056" s="11"/>
      <c r="F1056" s="21"/>
      <c r="G1056" s="11"/>
      <c r="H1056" s="50"/>
      <c r="I1056" s="50"/>
      <c r="J1056" s="50"/>
      <c r="K1056" s="11"/>
      <c r="L1056" s="50"/>
      <c r="M1056" s="50"/>
      <c r="N1056" s="50"/>
      <c r="O1056" s="50"/>
      <c r="P1056" s="50"/>
      <c r="Q1056" s="11"/>
      <c r="R1056" s="50"/>
      <c r="S1056" s="50"/>
      <c r="T1056" s="50"/>
      <c r="U1056" s="11"/>
      <c r="V1056" s="50"/>
      <c r="W1056" s="50"/>
      <c r="X1056" s="50"/>
      <c r="Y1056" s="50"/>
      <c r="Z1056" s="50"/>
      <c r="AA1056" s="11"/>
      <c r="AB1056" s="50"/>
      <c r="AC1056" s="50"/>
      <c r="AD1056" s="50"/>
      <c r="AE1056" s="11"/>
      <c r="AF1056" s="50"/>
      <c r="AG1056" s="50"/>
      <c r="AH1056" s="50"/>
      <c r="AI1056" s="11"/>
      <c r="AJ1056" s="50"/>
      <c r="AK1056" s="50"/>
      <c r="AL1056" s="50"/>
      <c r="AM1056" s="11"/>
      <c r="AN1056" s="50"/>
      <c r="AO1056" s="50"/>
      <c r="AP1056" s="50"/>
      <c r="AQ1056" s="11"/>
      <c r="AR1056" s="50"/>
      <c r="AS1056" s="50"/>
      <c r="AT1056" s="50"/>
      <c r="AU1056" s="11"/>
      <c r="AV1056" s="50"/>
      <c r="AW1056" s="50"/>
      <c r="AX1056" s="50"/>
      <c r="AY1056" s="50"/>
      <c r="AZ1056" s="50"/>
      <c r="BA1056" s="50"/>
      <c r="BB1056" s="50"/>
      <c r="BC1056" s="50"/>
      <c r="BD1056" s="50"/>
      <c r="BE1056" s="20"/>
      <c r="BF1056" s="518"/>
      <c r="BG1056" s="484"/>
      <c r="BH1056" s="484"/>
      <c r="BI1056" s="527"/>
      <c r="BJ1056" s="484"/>
      <c r="BK1056" s="484"/>
      <c r="BL1056" s="484"/>
      <c r="BM1056" s="484"/>
    </row>
    <row r="1057" spans="1:65" s="22" customFormat="1" x14ac:dyDescent="0.25">
      <c r="A1057" s="20"/>
      <c r="B1057" s="515"/>
      <c r="C1057" s="11"/>
      <c r="D1057" s="11"/>
      <c r="E1057" s="11"/>
      <c r="F1057" s="21"/>
      <c r="G1057" s="11"/>
      <c r="H1057" s="50"/>
      <c r="I1057" s="50"/>
      <c r="J1057" s="50"/>
      <c r="K1057" s="11"/>
      <c r="L1057" s="50"/>
      <c r="M1057" s="50"/>
      <c r="N1057" s="50"/>
      <c r="O1057" s="50"/>
      <c r="P1057" s="50"/>
      <c r="Q1057" s="11"/>
      <c r="R1057" s="50"/>
      <c r="S1057" s="50"/>
      <c r="T1057" s="50"/>
      <c r="U1057" s="11"/>
      <c r="V1057" s="50"/>
      <c r="W1057" s="50"/>
      <c r="X1057" s="50"/>
      <c r="Y1057" s="50"/>
      <c r="Z1057" s="50"/>
      <c r="AA1057" s="11"/>
      <c r="AB1057" s="50"/>
      <c r="AC1057" s="50"/>
      <c r="AD1057" s="50"/>
      <c r="AE1057" s="11"/>
      <c r="AF1057" s="50"/>
      <c r="AG1057" s="50"/>
      <c r="AH1057" s="50"/>
      <c r="AI1057" s="11"/>
      <c r="AJ1057" s="50"/>
      <c r="AK1057" s="50"/>
      <c r="AL1057" s="50"/>
      <c r="AM1057" s="11"/>
      <c r="AN1057" s="50"/>
      <c r="AO1057" s="50"/>
      <c r="AP1057" s="50"/>
      <c r="AQ1057" s="11"/>
      <c r="AR1057" s="50"/>
      <c r="AS1057" s="50"/>
      <c r="AT1057" s="50"/>
      <c r="AU1057" s="11"/>
      <c r="AV1057" s="50"/>
      <c r="AW1057" s="50"/>
      <c r="AX1057" s="50"/>
      <c r="AY1057" s="50"/>
      <c r="AZ1057" s="50"/>
      <c r="BA1057" s="50"/>
      <c r="BB1057" s="50"/>
      <c r="BC1057" s="50"/>
      <c r="BD1057" s="50"/>
      <c r="BE1057" s="20"/>
      <c r="BF1057" s="518"/>
      <c r="BG1057" s="484"/>
      <c r="BH1057" s="484"/>
      <c r="BI1057" s="527"/>
      <c r="BJ1057" s="484"/>
      <c r="BK1057" s="484"/>
      <c r="BL1057" s="484"/>
      <c r="BM1057" s="484"/>
    </row>
    <row r="1058" spans="1:65" s="22" customFormat="1" x14ac:dyDescent="0.25">
      <c r="A1058" s="20"/>
      <c r="B1058" s="515"/>
      <c r="C1058" s="11"/>
      <c r="D1058" s="11"/>
      <c r="E1058" s="11"/>
      <c r="F1058" s="21"/>
      <c r="G1058" s="11"/>
      <c r="H1058" s="50"/>
      <c r="I1058" s="50"/>
      <c r="J1058" s="50"/>
      <c r="K1058" s="11"/>
      <c r="L1058" s="50"/>
      <c r="M1058" s="50"/>
      <c r="N1058" s="50"/>
      <c r="O1058" s="50"/>
      <c r="P1058" s="50"/>
      <c r="Q1058" s="11"/>
      <c r="R1058" s="50"/>
      <c r="S1058" s="50"/>
      <c r="T1058" s="50"/>
      <c r="U1058" s="11"/>
      <c r="V1058" s="50"/>
      <c r="W1058" s="50"/>
      <c r="X1058" s="50"/>
      <c r="Y1058" s="50"/>
      <c r="Z1058" s="50"/>
      <c r="AA1058" s="11"/>
      <c r="AB1058" s="50"/>
      <c r="AC1058" s="50"/>
      <c r="AD1058" s="50"/>
      <c r="AE1058" s="11"/>
      <c r="AF1058" s="50"/>
      <c r="AG1058" s="50"/>
      <c r="AH1058" s="50"/>
      <c r="AI1058" s="11"/>
      <c r="AJ1058" s="50"/>
      <c r="AK1058" s="50"/>
      <c r="AL1058" s="50"/>
      <c r="AM1058" s="11"/>
      <c r="AN1058" s="50"/>
      <c r="AO1058" s="50"/>
      <c r="AP1058" s="50"/>
      <c r="AQ1058" s="11"/>
      <c r="AR1058" s="50"/>
      <c r="AS1058" s="50"/>
      <c r="AT1058" s="50"/>
      <c r="AU1058" s="11"/>
      <c r="AV1058" s="50"/>
      <c r="AW1058" s="50"/>
      <c r="AX1058" s="50"/>
      <c r="AY1058" s="50"/>
      <c r="AZ1058" s="50"/>
      <c r="BA1058" s="50"/>
      <c r="BB1058" s="50"/>
      <c r="BC1058" s="50"/>
      <c r="BD1058" s="50"/>
      <c r="BE1058" s="20"/>
      <c r="BF1058" s="518"/>
      <c r="BG1058" s="484"/>
      <c r="BH1058" s="484"/>
      <c r="BI1058" s="527"/>
      <c r="BJ1058" s="484"/>
      <c r="BK1058" s="484"/>
      <c r="BL1058" s="484"/>
      <c r="BM1058" s="484"/>
    </row>
    <row r="1059" spans="1:65" s="22" customFormat="1" x14ac:dyDescent="0.25">
      <c r="A1059" s="20"/>
      <c r="B1059" s="515"/>
      <c r="C1059" s="11"/>
      <c r="D1059" s="11"/>
      <c r="E1059" s="11"/>
      <c r="F1059" s="21"/>
      <c r="G1059" s="11"/>
      <c r="H1059" s="50"/>
      <c r="I1059" s="50"/>
      <c r="J1059" s="50"/>
      <c r="K1059" s="11"/>
      <c r="L1059" s="50"/>
      <c r="M1059" s="50"/>
      <c r="N1059" s="50"/>
      <c r="O1059" s="50"/>
      <c r="P1059" s="50"/>
      <c r="Q1059" s="11"/>
      <c r="R1059" s="50"/>
      <c r="S1059" s="50"/>
      <c r="T1059" s="50"/>
      <c r="U1059" s="11"/>
      <c r="V1059" s="50"/>
      <c r="W1059" s="50"/>
      <c r="X1059" s="50"/>
      <c r="Y1059" s="50"/>
      <c r="Z1059" s="50"/>
      <c r="AA1059" s="11"/>
      <c r="AB1059" s="50"/>
      <c r="AC1059" s="50"/>
      <c r="AD1059" s="50"/>
      <c r="AE1059" s="11"/>
      <c r="AF1059" s="50"/>
      <c r="AG1059" s="50"/>
      <c r="AH1059" s="50"/>
      <c r="AI1059" s="11"/>
      <c r="AJ1059" s="50"/>
      <c r="AK1059" s="50"/>
      <c r="AL1059" s="50"/>
      <c r="AM1059" s="11"/>
      <c r="AN1059" s="50"/>
      <c r="AO1059" s="50"/>
      <c r="AP1059" s="50"/>
      <c r="AQ1059" s="11"/>
      <c r="AR1059" s="50"/>
      <c r="AS1059" s="50"/>
      <c r="AT1059" s="50"/>
      <c r="AU1059" s="11"/>
      <c r="AV1059" s="50"/>
      <c r="AW1059" s="50"/>
      <c r="AX1059" s="50"/>
      <c r="AY1059" s="50"/>
      <c r="AZ1059" s="50"/>
      <c r="BA1059" s="50"/>
      <c r="BB1059" s="50"/>
      <c r="BC1059" s="50"/>
      <c r="BD1059" s="50"/>
      <c r="BE1059" s="20"/>
      <c r="BF1059" s="518"/>
      <c r="BG1059" s="484"/>
      <c r="BH1059" s="484"/>
      <c r="BI1059" s="527"/>
      <c r="BJ1059" s="484"/>
      <c r="BK1059" s="484"/>
      <c r="BL1059" s="484"/>
      <c r="BM1059" s="484"/>
    </row>
    <row r="1060" spans="1:65" s="22" customFormat="1" x14ac:dyDescent="0.25">
      <c r="A1060" s="20"/>
      <c r="B1060" s="515"/>
      <c r="C1060" s="11"/>
      <c r="D1060" s="11"/>
      <c r="E1060" s="11"/>
      <c r="F1060" s="21"/>
      <c r="G1060" s="11"/>
      <c r="H1060" s="50"/>
      <c r="I1060" s="50"/>
      <c r="J1060" s="50"/>
      <c r="K1060" s="11"/>
      <c r="L1060" s="50"/>
      <c r="M1060" s="50"/>
      <c r="N1060" s="50"/>
      <c r="O1060" s="50"/>
      <c r="P1060" s="50"/>
      <c r="Q1060" s="11"/>
      <c r="R1060" s="50"/>
      <c r="S1060" s="50"/>
      <c r="T1060" s="50"/>
      <c r="U1060" s="11"/>
      <c r="V1060" s="50"/>
      <c r="W1060" s="50"/>
      <c r="X1060" s="50"/>
      <c r="Y1060" s="50"/>
      <c r="Z1060" s="50"/>
      <c r="AA1060" s="11"/>
      <c r="AB1060" s="50"/>
      <c r="AC1060" s="50"/>
      <c r="AD1060" s="50"/>
      <c r="AE1060" s="11"/>
      <c r="AF1060" s="50"/>
      <c r="AG1060" s="50"/>
      <c r="AH1060" s="50"/>
      <c r="AI1060" s="11"/>
      <c r="AJ1060" s="50"/>
      <c r="AK1060" s="50"/>
      <c r="AL1060" s="50"/>
      <c r="AM1060" s="11"/>
      <c r="AN1060" s="50"/>
      <c r="AO1060" s="50"/>
      <c r="AP1060" s="50"/>
      <c r="AQ1060" s="11"/>
      <c r="AR1060" s="50"/>
      <c r="AS1060" s="50"/>
      <c r="AT1060" s="50"/>
      <c r="AU1060" s="11"/>
      <c r="AV1060" s="50"/>
      <c r="AW1060" s="50"/>
      <c r="AX1060" s="50"/>
      <c r="AY1060" s="50"/>
      <c r="AZ1060" s="50"/>
      <c r="BA1060" s="50"/>
      <c r="BB1060" s="50"/>
      <c r="BC1060" s="50"/>
      <c r="BD1060" s="50"/>
      <c r="BE1060" s="20"/>
      <c r="BF1060" s="518"/>
      <c r="BG1060" s="484"/>
      <c r="BH1060" s="484"/>
      <c r="BI1060" s="527"/>
      <c r="BJ1060" s="484"/>
      <c r="BK1060" s="484"/>
      <c r="BL1060" s="484"/>
      <c r="BM1060" s="484"/>
    </row>
    <row r="1061" spans="1:65" s="22" customFormat="1" x14ac:dyDescent="0.25">
      <c r="A1061" s="20"/>
      <c r="B1061" s="515"/>
      <c r="C1061" s="11"/>
      <c r="D1061" s="11"/>
      <c r="E1061" s="11"/>
      <c r="F1061" s="21"/>
      <c r="G1061" s="11"/>
      <c r="H1061" s="50"/>
      <c r="I1061" s="50"/>
      <c r="J1061" s="50"/>
      <c r="K1061" s="11"/>
      <c r="L1061" s="50"/>
      <c r="M1061" s="50"/>
      <c r="N1061" s="50"/>
      <c r="O1061" s="50"/>
      <c r="P1061" s="50"/>
      <c r="Q1061" s="11"/>
      <c r="R1061" s="50"/>
      <c r="S1061" s="50"/>
      <c r="T1061" s="50"/>
      <c r="U1061" s="11"/>
      <c r="V1061" s="50"/>
      <c r="W1061" s="50"/>
      <c r="X1061" s="50"/>
      <c r="Y1061" s="50"/>
      <c r="Z1061" s="50"/>
      <c r="AA1061" s="11"/>
      <c r="AB1061" s="50"/>
      <c r="AC1061" s="50"/>
      <c r="AD1061" s="50"/>
      <c r="AE1061" s="11"/>
      <c r="AF1061" s="50"/>
      <c r="AG1061" s="50"/>
      <c r="AH1061" s="50"/>
      <c r="AI1061" s="11"/>
      <c r="AJ1061" s="50"/>
      <c r="AK1061" s="50"/>
      <c r="AL1061" s="50"/>
      <c r="AM1061" s="11"/>
      <c r="AN1061" s="50"/>
      <c r="AO1061" s="50"/>
      <c r="AP1061" s="50"/>
      <c r="AQ1061" s="11"/>
      <c r="AR1061" s="50"/>
      <c r="AS1061" s="50"/>
      <c r="AT1061" s="50"/>
      <c r="AU1061" s="11"/>
      <c r="AV1061" s="50"/>
      <c r="AW1061" s="50"/>
      <c r="AX1061" s="50"/>
      <c r="AY1061" s="50"/>
      <c r="AZ1061" s="50"/>
      <c r="BA1061" s="50"/>
      <c r="BB1061" s="50"/>
      <c r="BC1061" s="50"/>
      <c r="BD1061" s="50"/>
      <c r="BE1061" s="20"/>
      <c r="BF1061" s="518"/>
      <c r="BG1061" s="484"/>
      <c r="BH1061" s="484"/>
      <c r="BI1061" s="527"/>
      <c r="BJ1061" s="484"/>
      <c r="BK1061" s="484"/>
      <c r="BL1061" s="484"/>
      <c r="BM1061" s="484"/>
    </row>
    <row r="1062" spans="1:65" s="22" customFormat="1" x14ac:dyDescent="0.25">
      <c r="A1062" s="20"/>
      <c r="B1062" s="515"/>
      <c r="C1062" s="11"/>
      <c r="D1062" s="11"/>
      <c r="E1062" s="11"/>
      <c r="F1062" s="21"/>
      <c r="G1062" s="11"/>
      <c r="H1062" s="50"/>
      <c r="I1062" s="50"/>
      <c r="J1062" s="50"/>
      <c r="K1062" s="11"/>
      <c r="L1062" s="50"/>
      <c r="M1062" s="50"/>
      <c r="N1062" s="50"/>
      <c r="O1062" s="50"/>
      <c r="P1062" s="50"/>
      <c r="Q1062" s="11"/>
      <c r="R1062" s="50"/>
      <c r="S1062" s="50"/>
      <c r="T1062" s="50"/>
      <c r="U1062" s="11"/>
      <c r="V1062" s="50"/>
      <c r="W1062" s="50"/>
      <c r="X1062" s="50"/>
      <c r="Y1062" s="50"/>
      <c r="Z1062" s="50"/>
      <c r="AA1062" s="11"/>
      <c r="AB1062" s="50"/>
      <c r="AC1062" s="50"/>
      <c r="AD1062" s="50"/>
      <c r="AE1062" s="11"/>
      <c r="AF1062" s="50"/>
      <c r="AG1062" s="50"/>
      <c r="AH1062" s="50"/>
      <c r="AI1062" s="11"/>
      <c r="AJ1062" s="50"/>
      <c r="AK1062" s="50"/>
      <c r="AL1062" s="50"/>
      <c r="AM1062" s="11"/>
      <c r="AN1062" s="50"/>
      <c r="AO1062" s="50"/>
      <c r="AP1062" s="50"/>
      <c r="AQ1062" s="11"/>
      <c r="AR1062" s="50"/>
      <c r="AS1062" s="50"/>
      <c r="AT1062" s="50"/>
      <c r="AU1062" s="11"/>
      <c r="AV1062" s="50"/>
      <c r="AW1062" s="50"/>
      <c r="AX1062" s="50"/>
      <c r="AY1062" s="50"/>
      <c r="AZ1062" s="50"/>
      <c r="BA1062" s="50"/>
      <c r="BB1062" s="50"/>
      <c r="BC1062" s="50"/>
      <c r="BD1062" s="50"/>
      <c r="BE1062" s="20"/>
      <c r="BF1062" s="518"/>
      <c r="BG1062" s="484"/>
      <c r="BH1062" s="484"/>
      <c r="BI1062" s="527"/>
      <c r="BJ1062" s="484"/>
      <c r="BK1062" s="484"/>
      <c r="BL1062" s="484"/>
      <c r="BM1062" s="484"/>
    </row>
    <row r="1063" spans="1:65" s="22" customFormat="1" x14ac:dyDescent="0.25">
      <c r="A1063" s="20"/>
      <c r="B1063" s="515"/>
      <c r="C1063" s="11"/>
      <c r="D1063" s="11"/>
      <c r="E1063" s="11"/>
      <c r="F1063" s="21"/>
      <c r="G1063" s="11"/>
      <c r="H1063" s="50"/>
      <c r="I1063" s="50"/>
      <c r="J1063" s="50"/>
      <c r="K1063" s="11"/>
      <c r="L1063" s="50"/>
      <c r="M1063" s="50"/>
      <c r="N1063" s="50"/>
      <c r="O1063" s="50"/>
      <c r="P1063" s="50"/>
      <c r="Q1063" s="11"/>
      <c r="R1063" s="50"/>
      <c r="S1063" s="50"/>
      <c r="T1063" s="50"/>
      <c r="U1063" s="11"/>
      <c r="V1063" s="50"/>
      <c r="W1063" s="50"/>
      <c r="X1063" s="50"/>
      <c r="Y1063" s="50"/>
      <c r="Z1063" s="50"/>
      <c r="AA1063" s="11"/>
      <c r="AB1063" s="50"/>
      <c r="AC1063" s="50"/>
      <c r="AD1063" s="50"/>
      <c r="AE1063" s="11"/>
      <c r="AF1063" s="50"/>
      <c r="AG1063" s="50"/>
      <c r="AH1063" s="50"/>
      <c r="AI1063" s="11"/>
      <c r="AJ1063" s="50"/>
      <c r="AK1063" s="50"/>
      <c r="AL1063" s="50"/>
      <c r="AM1063" s="11"/>
      <c r="AN1063" s="50"/>
      <c r="AO1063" s="50"/>
      <c r="AP1063" s="50"/>
      <c r="AQ1063" s="11"/>
      <c r="AR1063" s="50"/>
      <c r="AS1063" s="50"/>
      <c r="AT1063" s="50"/>
      <c r="AU1063" s="11"/>
      <c r="AV1063" s="50"/>
      <c r="AW1063" s="50"/>
      <c r="AX1063" s="50"/>
      <c r="AY1063" s="50"/>
      <c r="AZ1063" s="50"/>
      <c r="BA1063" s="50"/>
      <c r="BB1063" s="50"/>
      <c r="BC1063" s="50"/>
      <c r="BD1063" s="50"/>
      <c r="BE1063" s="20"/>
      <c r="BF1063" s="518"/>
      <c r="BG1063" s="484"/>
      <c r="BH1063" s="484"/>
      <c r="BI1063" s="527"/>
      <c r="BJ1063" s="484"/>
      <c r="BK1063" s="484"/>
      <c r="BL1063" s="484"/>
      <c r="BM1063" s="484"/>
    </row>
    <row r="1064" spans="1:65" s="22" customFormat="1" x14ac:dyDescent="0.25">
      <c r="A1064" s="20"/>
      <c r="B1064" s="515"/>
      <c r="C1064" s="11"/>
      <c r="D1064" s="11"/>
      <c r="E1064" s="11"/>
      <c r="F1064" s="21"/>
      <c r="G1064" s="11"/>
      <c r="H1064" s="50"/>
      <c r="I1064" s="50"/>
      <c r="J1064" s="50"/>
      <c r="K1064" s="11"/>
      <c r="L1064" s="50"/>
      <c r="M1064" s="50"/>
      <c r="N1064" s="50"/>
      <c r="O1064" s="50"/>
      <c r="P1064" s="50"/>
      <c r="Q1064" s="11"/>
      <c r="R1064" s="50"/>
      <c r="S1064" s="50"/>
      <c r="T1064" s="50"/>
      <c r="U1064" s="11"/>
      <c r="V1064" s="50"/>
      <c r="W1064" s="50"/>
      <c r="X1064" s="50"/>
      <c r="Y1064" s="50"/>
      <c r="Z1064" s="50"/>
      <c r="AA1064" s="11"/>
      <c r="AB1064" s="50"/>
      <c r="AC1064" s="50"/>
      <c r="AD1064" s="50"/>
      <c r="AE1064" s="11"/>
      <c r="AF1064" s="50"/>
      <c r="AG1064" s="50"/>
      <c r="AH1064" s="50"/>
      <c r="AI1064" s="11"/>
      <c r="AJ1064" s="50"/>
      <c r="AK1064" s="50"/>
      <c r="AL1064" s="50"/>
      <c r="AM1064" s="11"/>
      <c r="AN1064" s="50"/>
      <c r="AO1064" s="50"/>
      <c r="AP1064" s="50"/>
      <c r="AQ1064" s="11"/>
      <c r="AR1064" s="50"/>
      <c r="AS1064" s="50"/>
      <c r="AT1064" s="50"/>
      <c r="AU1064" s="11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20"/>
      <c r="BF1064" s="518"/>
      <c r="BG1064" s="484"/>
      <c r="BH1064" s="484"/>
      <c r="BI1064" s="527"/>
      <c r="BJ1064" s="484"/>
      <c r="BK1064" s="484"/>
      <c r="BL1064" s="484"/>
      <c r="BM1064" s="484"/>
    </row>
    <row r="1065" spans="1:65" s="22" customFormat="1" x14ac:dyDescent="0.25">
      <c r="A1065" s="20"/>
      <c r="B1065" s="515"/>
      <c r="C1065" s="11"/>
      <c r="D1065" s="11"/>
      <c r="E1065" s="11"/>
      <c r="F1065" s="21"/>
      <c r="G1065" s="11"/>
      <c r="H1065" s="50"/>
      <c r="I1065" s="50"/>
      <c r="J1065" s="50"/>
      <c r="K1065" s="11"/>
      <c r="L1065" s="50"/>
      <c r="M1065" s="50"/>
      <c r="N1065" s="50"/>
      <c r="O1065" s="50"/>
      <c r="P1065" s="50"/>
      <c r="Q1065" s="11"/>
      <c r="R1065" s="50"/>
      <c r="S1065" s="50"/>
      <c r="T1065" s="50"/>
      <c r="U1065" s="11"/>
      <c r="V1065" s="50"/>
      <c r="W1065" s="50"/>
      <c r="X1065" s="50"/>
      <c r="Y1065" s="50"/>
      <c r="Z1065" s="50"/>
      <c r="AA1065" s="11"/>
      <c r="AB1065" s="50"/>
      <c r="AC1065" s="50"/>
      <c r="AD1065" s="50"/>
      <c r="AE1065" s="11"/>
      <c r="AF1065" s="50"/>
      <c r="AG1065" s="50"/>
      <c r="AH1065" s="50"/>
      <c r="AI1065" s="11"/>
      <c r="AJ1065" s="50"/>
      <c r="AK1065" s="50"/>
      <c r="AL1065" s="50"/>
      <c r="AM1065" s="11"/>
      <c r="AN1065" s="50"/>
      <c r="AO1065" s="50"/>
      <c r="AP1065" s="50"/>
      <c r="AQ1065" s="11"/>
      <c r="AR1065" s="50"/>
      <c r="AS1065" s="50"/>
      <c r="AT1065" s="50"/>
      <c r="AU1065" s="11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20"/>
      <c r="BF1065" s="518"/>
      <c r="BG1065" s="484"/>
      <c r="BH1065" s="484"/>
      <c r="BI1065" s="527"/>
      <c r="BJ1065" s="484"/>
      <c r="BK1065" s="484"/>
      <c r="BL1065" s="484"/>
      <c r="BM1065" s="484"/>
    </row>
    <row r="1066" spans="1:65" s="22" customFormat="1" x14ac:dyDescent="0.25">
      <c r="A1066" s="20"/>
      <c r="B1066" s="515"/>
      <c r="C1066" s="11"/>
      <c r="D1066" s="11"/>
      <c r="E1066" s="11"/>
      <c r="F1066" s="21"/>
      <c r="G1066" s="11"/>
      <c r="H1066" s="50"/>
      <c r="I1066" s="50"/>
      <c r="J1066" s="50"/>
      <c r="K1066" s="11"/>
      <c r="L1066" s="50"/>
      <c r="M1066" s="50"/>
      <c r="N1066" s="50"/>
      <c r="O1066" s="50"/>
      <c r="P1066" s="50"/>
      <c r="Q1066" s="11"/>
      <c r="R1066" s="50"/>
      <c r="S1066" s="50"/>
      <c r="T1066" s="50"/>
      <c r="U1066" s="11"/>
      <c r="V1066" s="50"/>
      <c r="W1066" s="50"/>
      <c r="X1066" s="50"/>
      <c r="Y1066" s="50"/>
      <c r="Z1066" s="50"/>
      <c r="AA1066" s="11"/>
      <c r="AB1066" s="50"/>
      <c r="AC1066" s="50"/>
      <c r="AD1066" s="50"/>
      <c r="AE1066" s="11"/>
      <c r="AF1066" s="50"/>
      <c r="AG1066" s="50"/>
      <c r="AH1066" s="50"/>
      <c r="AI1066" s="11"/>
      <c r="AJ1066" s="50"/>
      <c r="AK1066" s="50"/>
      <c r="AL1066" s="50"/>
      <c r="AM1066" s="11"/>
      <c r="AN1066" s="50"/>
      <c r="AO1066" s="50"/>
      <c r="AP1066" s="50"/>
      <c r="AQ1066" s="11"/>
      <c r="AR1066" s="50"/>
      <c r="AS1066" s="50"/>
      <c r="AT1066" s="50"/>
      <c r="AU1066" s="11"/>
      <c r="AV1066" s="50"/>
      <c r="AW1066" s="50"/>
      <c r="AX1066" s="50"/>
      <c r="AY1066" s="50"/>
      <c r="AZ1066" s="50"/>
      <c r="BA1066" s="50"/>
      <c r="BB1066" s="50"/>
      <c r="BC1066" s="50"/>
      <c r="BD1066" s="50"/>
      <c r="BE1066" s="20"/>
      <c r="BF1066" s="518"/>
      <c r="BG1066" s="484"/>
      <c r="BH1066" s="484"/>
      <c r="BI1066" s="527"/>
      <c r="BJ1066" s="484"/>
      <c r="BK1066" s="484"/>
      <c r="BL1066" s="484"/>
      <c r="BM1066" s="484"/>
    </row>
    <row r="1067" spans="1:65" s="22" customFormat="1" x14ac:dyDescent="0.25">
      <c r="A1067" s="20"/>
      <c r="B1067" s="515"/>
      <c r="C1067" s="11"/>
      <c r="D1067" s="11"/>
      <c r="E1067" s="11"/>
      <c r="F1067" s="21"/>
      <c r="G1067" s="11"/>
      <c r="H1067" s="50"/>
      <c r="I1067" s="50"/>
      <c r="J1067" s="50"/>
      <c r="K1067" s="11"/>
      <c r="L1067" s="50"/>
      <c r="M1067" s="50"/>
      <c r="N1067" s="50"/>
      <c r="O1067" s="50"/>
      <c r="P1067" s="50"/>
      <c r="Q1067" s="11"/>
      <c r="R1067" s="50"/>
      <c r="S1067" s="50"/>
      <c r="T1067" s="50"/>
      <c r="U1067" s="11"/>
      <c r="V1067" s="50"/>
      <c r="W1067" s="50"/>
      <c r="X1067" s="50"/>
      <c r="Y1067" s="50"/>
      <c r="Z1067" s="50"/>
      <c r="AA1067" s="11"/>
      <c r="AB1067" s="50"/>
      <c r="AC1067" s="50"/>
      <c r="AD1067" s="50"/>
      <c r="AE1067" s="11"/>
      <c r="AF1067" s="50"/>
      <c r="AG1067" s="50"/>
      <c r="AH1067" s="50"/>
      <c r="AI1067" s="11"/>
      <c r="AJ1067" s="50"/>
      <c r="AK1067" s="50"/>
      <c r="AL1067" s="50"/>
      <c r="AM1067" s="11"/>
      <c r="AN1067" s="50"/>
      <c r="AO1067" s="50"/>
      <c r="AP1067" s="50"/>
      <c r="AQ1067" s="11"/>
      <c r="AR1067" s="50"/>
      <c r="AS1067" s="50"/>
      <c r="AT1067" s="50"/>
      <c r="AU1067" s="11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20"/>
      <c r="BF1067" s="518"/>
      <c r="BG1067" s="484"/>
      <c r="BH1067" s="484"/>
      <c r="BI1067" s="527"/>
      <c r="BJ1067" s="484"/>
      <c r="BK1067" s="484"/>
      <c r="BL1067" s="484"/>
      <c r="BM1067" s="484"/>
    </row>
    <row r="1068" spans="1:65" s="22" customFormat="1" x14ac:dyDescent="0.25">
      <c r="A1068" s="20"/>
      <c r="B1068" s="515"/>
      <c r="C1068" s="11"/>
      <c r="D1068" s="11"/>
      <c r="E1068" s="11"/>
      <c r="F1068" s="21"/>
      <c r="G1068" s="11"/>
      <c r="H1068" s="50"/>
      <c r="I1068" s="50"/>
      <c r="J1068" s="50"/>
      <c r="K1068" s="11"/>
      <c r="L1068" s="50"/>
      <c r="M1068" s="50"/>
      <c r="N1068" s="50"/>
      <c r="O1068" s="50"/>
      <c r="P1068" s="50"/>
      <c r="Q1068" s="11"/>
      <c r="R1068" s="50"/>
      <c r="S1068" s="50"/>
      <c r="T1068" s="50"/>
      <c r="U1068" s="11"/>
      <c r="V1068" s="50"/>
      <c r="W1068" s="50"/>
      <c r="X1068" s="50"/>
      <c r="Y1068" s="50"/>
      <c r="Z1068" s="50"/>
      <c r="AA1068" s="11"/>
      <c r="AB1068" s="50"/>
      <c r="AC1068" s="50"/>
      <c r="AD1068" s="50"/>
      <c r="AE1068" s="11"/>
      <c r="AF1068" s="50"/>
      <c r="AG1068" s="50"/>
      <c r="AH1068" s="50"/>
      <c r="AI1068" s="11"/>
      <c r="AJ1068" s="50"/>
      <c r="AK1068" s="50"/>
      <c r="AL1068" s="50"/>
      <c r="AM1068" s="11"/>
      <c r="AN1068" s="50"/>
      <c r="AO1068" s="50"/>
      <c r="AP1068" s="50"/>
      <c r="AQ1068" s="11"/>
      <c r="AR1068" s="50"/>
      <c r="AS1068" s="50"/>
      <c r="AT1068" s="50"/>
      <c r="AU1068" s="11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20"/>
      <c r="BF1068" s="518"/>
      <c r="BG1068" s="484"/>
      <c r="BH1068" s="484"/>
      <c r="BI1068" s="527"/>
      <c r="BJ1068" s="484"/>
      <c r="BK1068" s="484"/>
      <c r="BL1068" s="484"/>
      <c r="BM1068" s="484"/>
    </row>
    <row r="1069" spans="1:65" s="22" customFormat="1" x14ac:dyDescent="0.25">
      <c r="A1069" s="20"/>
      <c r="B1069" s="515"/>
      <c r="C1069" s="11"/>
      <c r="D1069" s="11"/>
      <c r="E1069" s="11"/>
      <c r="F1069" s="21"/>
      <c r="G1069" s="11"/>
      <c r="H1069" s="50"/>
      <c r="I1069" s="50"/>
      <c r="J1069" s="50"/>
      <c r="K1069" s="11"/>
      <c r="L1069" s="50"/>
      <c r="M1069" s="50"/>
      <c r="N1069" s="50"/>
      <c r="O1069" s="50"/>
      <c r="P1069" s="50"/>
      <c r="Q1069" s="11"/>
      <c r="R1069" s="50"/>
      <c r="S1069" s="50"/>
      <c r="T1069" s="50"/>
      <c r="U1069" s="11"/>
      <c r="V1069" s="50"/>
      <c r="W1069" s="50"/>
      <c r="X1069" s="50"/>
      <c r="Y1069" s="50"/>
      <c r="Z1069" s="50"/>
      <c r="AA1069" s="11"/>
      <c r="AB1069" s="50"/>
      <c r="AC1069" s="50"/>
      <c r="AD1069" s="50"/>
      <c r="AE1069" s="11"/>
      <c r="AF1069" s="50"/>
      <c r="AG1069" s="50"/>
      <c r="AH1069" s="50"/>
      <c r="AI1069" s="11"/>
      <c r="AJ1069" s="50"/>
      <c r="AK1069" s="50"/>
      <c r="AL1069" s="50"/>
      <c r="AM1069" s="11"/>
      <c r="AN1069" s="50"/>
      <c r="AO1069" s="50"/>
      <c r="AP1069" s="50"/>
      <c r="AQ1069" s="11"/>
      <c r="AR1069" s="50"/>
      <c r="AS1069" s="50"/>
      <c r="AT1069" s="50"/>
      <c r="AU1069" s="11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20"/>
      <c r="BF1069" s="518"/>
      <c r="BG1069" s="484"/>
      <c r="BH1069" s="484"/>
      <c r="BI1069" s="527"/>
      <c r="BJ1069" s="484"/>
      <c r="BK1069" s="484"/>
      <c r="BL1069" s="484"/>
      <c r="BM1069" s="484"/>
    </row>
    <row r="1070" spans="1:65" s="22" customFormat="1" x14ac:dyDescent="0.25">
      <c r="A1070" s="20"/>
      <c r="B1070" s="515"/>
      <c r="C1070" s="11"/>
      <c r="D1070" s="11"/>
      <c r="E1070" s="11"/>
      <c r="F1070" s="21"/>
      <c r="G1070" s="11"/>
      <c r="H1070" s="50"/>
      <c r="I1070" s="50"/>
      <c r="J1070" s="50"/>
      <c r="K1070" s="11"/>
      <c r="L1070" s="50"/>
      <c r="M1070" s="50"/>
      <c r="N1070" s="50"/>
      <c r="O1070" s="50"/>
      <c r="P1070" s="50"/>
      <c r="Q1070" s="11"/>
      <c r="R1070" s="50"/>
      <c r="S1070" s="50"/>
      <c r="T1070" s="50"/>
      <c r="U1070" s="11"/>
      <c r="V1070" s="50"/>
      <c r="W1070" s="50"/>
      <c r="X1070" s="50"/>
      <c r="Y1070" s="50"/>
      <c r="Z1070" s="50"/>
      <c r="AA1070" s="11"/>
      <c r="AB1070" s="50"/>
      <c r="AC1070" s="50"/>
      <c r="AD1070" s="50"/>
      <c r="AE1070" s="11"/>
      <c r="AF1070" s="50"/>
      <c r="AG1070" s="50"/>
      <c r="AH1070" s="50"/>
      <c r="AI1070" s="11"/>
      <c r="AJ1070" s="50"/>
      <c r="AK1070" s="50"/>
      <c r="AL1070" s="50"/>
      <c r="AM1070" s="11"/>
      <c r="AN1070" s="50"/>
      <c r="AO1070" s="50"/>
      <c r="AP1070" s="50"/>
      <c r="AQ1070" s="11"/>
      <c r="AR1070" s="50"/>
      <c r="AS1070" s="50"/>
      <c r="AT1070" s="50"/>
      <c r="AU1070" s="11"/>
      <c r="AV1070" s="50"/>
      <c r="AW1070" s="50"/>
      <c r="AX1070" s="50"/>
      <c r="AY1070" s="50"/>
      <c r="AZ1070" s="50"/>
      <c r="BA1070" s="50"/>
      <c r="BB1070" s="50"/>
      <c r="BC1070" s="50"/>
      <c r="BD1070" s="50"/>
      <c r="BE1070" s="20"/>
      <c r="BF1070" s="518"/>
      <c r="BG1070" s="484"/>
      <c r="BH1070" s="484"/>
      <c r="BI1070" s="527"/>
      <c r="BJ1070" s="484"/>
      <c r="BK1070" s="484"/>
      <c r="BL1070" s="484"/>
      <c r="BM1070" s="484"/>
    </row>
    <row r="1071" spans="1:65" s="22" customFormat="1" x14ac:dyDescent="0.25">
      <c r="A1071" s="20"/>
      <c r="B1071" s="515"/>
      <c r="C1071" s="11"/>
      <c r="D1071" s="11"/>
      <c r="E1071" s="11"/>
      <c r="F1071" s="21"/>
      <c r="G1071" s="11"/>
      <c r="H1071" s="50"/>
      <c r="I1071" s="50"/>
      <c r="J1071" s="50"/>
      <c r="K1071" s="11"/>
      <c r="L1071" s="50"/>
      <c r="M1071" s="50"/>
      <c r="N1071" s="50"/>
      <c r="O1071" s="50"/>
      <c r="P1071" s="50"/>
      <c r="Q1071" s="11"/>
      <c r="R1071" s="50"/>
      <c r="S1071" s="50"/>
      <c r="T1071" s="50"/>
      <c r="U1071" s="11"/>
      <c r="V1071" s="50"/>
      <c r="W1071" s="50"/>
      <c r="X1071" s="50"/>
      <c r="Y1071" s="50"/>
      <c r="Z1071" s="50"/>
      <c r="AA1071" s="11"/>
      <c r="AB1071" s="50"/>
      <c r="AC1071" s="50"/>
      <c r="AD1071" s="50"/>
      <c r="AE1071" s="11"/>
      <c r="AF1071" s="50"/>
      <c r="AG1071" s="50"/>
      <c r="AH1071" s="50"/>
      <c r="AI1071" s="11"/>
      <c r="AJ1071" s="50"/>
      <c r="AK1071" s="50"/>
      <c r="AL1071" s="50"/>
      <c r="AM1071" s="11"/>
      <c r="AN1071" s="50"/>
      <c r="AO1071" s="50"/>
      <c r="AP1071" s="50"/>
      <c r="AQ1071" s="11"/>
      <c r="AR1071" s="50"/>
      <c r="AS1071" s="50"/>
      <c r="AT1071" s="50"/>
      <c r="AU1071" s="11"/>
      <c r="AV1071" s="50"/>
      <c r="AW1071" s="50"/>
      <c r="AX1071" s="50"/>
      <c r="AY1071" s="50"/>
      <c r="AZ1071" s="50"/>
      <c r="BA1071" s="50"/>
      <c r="BB1071" s="50"/>
      <c r="BC1071" s="50"/>
      <c r="BD1071" s="50"/>
      <c r="BE1071" s="20"/>
      <c r="BF1071" s="518"/>
      <c r="BG1071" s="484"/>
      <c r="BH1071" s="484"/>
      <c r="BI1071" s="527"/>
      <c r="BJ1071" s="484"/>
      <c r="BK1071" s="484"/>
      <c r="BL1071" s="484"/>
      <c r="BM1071" s="484"/>
    </row>
    <row r="1072" spans="1:65" s="22" customFormat="1" x14ac:dyDescent="0.25">
      <c r="A1072" s="20"/>
      <c r="B1072" s="515"/>
      <c r="C1072" s="11"/>
      <c r="D1072" s="11"/>
      <c r="E1072" s="11"/>
      <c r="F1072" s="21"/>
      <c r="G1072" s="11"/>
      <c r="H1072" s="50"/>
      <c r="I1072" s="50"/>
      <c r="J1072" s="50"/>
      <c r="K1072" s="11"/>
      <c r="L1072" s="50"/>
      <c r="M1072" s="50"/>
      <c r="N1072" s="50"/>
      <c r="O1072" s="50"/>
      <c r="P1072" s="50"/>
      <c r="Q1072" s="11"/>
      <c r="R1072" s="50"/>
      <c r="S1072" s="50"/>
      <c r="T1072" s="50"/>
      <c r="U1072" s="11"/>
      <c r="V1072" s="50"/>
      <c r="W1072" s="50"/>
      <c r="X1072" s="50"/>
      <c r="Y1072" s="50"/>
      <c r="Z1072" s="50"/>
      <c r="AA1072" s="11"/>
      <c r="AB1072" s="50"/>
      <c r="AC1072" s="50"/>
      <c r="AD1072" s="50"/>
      <c r="AE1072" s="11"/>
      <c r="AF1072" s="50"/>
      <c r="AG1072" s="50"/>
      <c r="AH1072" s="50"/>
      <c r="AI1072" s="11"/>
      <c r="AJ1072" s="50"/>
      <c r="AK1072" s="50"/>
      <c r="AL1072" s="50"/>
      <c r="AM1072" s="11"/>
      <c r="AN1072" s="50"/>
      <c r="AO1072" s="50"/>
      <c r="AP1072" s="50"/>
      <c r="AQ1072" s="11"/>
      <c r="AR1072" s="50"/>
      <c r="AS1072" s="50"/>
      <c r="AT1072" s="50"/>
      <c r="AU1072" s="11"/>
      <c r="AV1072" s="50"/>
      <c r="AW1072" s="50"/>
      <c r="AX1072" s="50"/>
      <c r="AY1072" s="50"/>
      <c r="AZ1072" s="50"/>
      <c r="BA1072" s="50"/>
      <c r="BB1072" s="50"/>
      <c r="BC1072" s="50"/>
      <c r="BD1072" s="50"/>
      <c r="BE1072" s="20"/>
      <c r="BF1072" s="518"/>
      <c r="BG1072" s="484"/>
      <c r="BH1072" s="484"/>
      <c r="BI1072" s="527"/>
      <c r="BJ1072" s="484"/>
      <c r="BK1072" s="484"/>
      <c r="BL1072" s="484"/>
      <c r="BM1072" s="484"/>
    </row>
    <row r="1073" spans="1:65" s="22" customFormat="1" x14ac:dyDescent="0.25">
      <c r="A1073" s="20"/>
      <c r="B1073" s="515"/>
      <c r="C1073" s="11"/>
      <c r="D1073" s="11"/>
      <c r="E1073" s="11"/>
      <c r="F1073" s="21"/>
      <c r="G1073" s="11"/>
      <c r="H1073" s="50"/>
      <c r="I1073" s="50"/>
      <c r="J1073" s="50"/>
      <c r="K1073" s="11"/>
      <c r="L1073" s="50"/>
      <c r="M1073" s="50"/>
      <c r="N1073" s="50"/>
      <c r="O1073" s="50"/>
      <c r="P1073" s="50"/>
      <c r="Q1073" s="11"/>
      <c r="R1073" s="50"/>
      <c r="S1073" s="50"/>
      <c r="T1073" s="50"/>
      <c r="U1073" s="11"/>
      <c r="V1073" s="50"/>
      <c r="W1073" s="50"/>
      <c r="X1073" s="50"/>
      <c r="Y1073" s="50"/>
      <c r="Z1073" s="50"/>
      <c r="AA1073" s="11"/>
      <c r="AB1073" s="50"/>
      <c r="AC1073" s="50"/>
      <c r="AD1073" s="50"/>
      <c r="AE1073" s="11"/>
      <c r="AF1073" s="50"/>
      <c r="AG1073" s="50"/>
      <c r="AH1073" s="50"/>
      <c r="AI1073" s="11"/>
      <c r="AJ1073" s="50"/>
      <c r="AK1073" s="50"/>
      <c r="AL1073" s="50"/>
      <c r="AM1073" s="11"/>
      <c r="AN1073" s="50"/>
      <c r="AO1073" s="50"/>
      <c r="AP1073" s="50"/>
      <c r="AQ1073" s="11"/>
      <c r="AR1073" s="50"/>
      <c r="AS1073" s="50"/>
      <c r="AT1073" s="50"/>
      <c r="AU1073" s="11"/>
      <c r="AV1073" s="50"/>
      <c r="AW1073" s="50"/>
      <c r="AX1073" s="50"/>
      <c r="AY1073" s="50"/>
      <c r="AZ1073" s="50"/>
      <c r="BA1073" s="50"/>
      <c r="BB1073" s="50"/>
      <c r="BC1073" s="50"/>
      <c r="BD1073" s="50"/>
      <c r="BE1073" s="20"/>
      <c r="BF1073" s="518"/>
      <c r="BG1073" s="484"/>
      <c r="BH1073" s="484"/>
      <c r="BI1073" s="527"/>
      <c r="BJ1073" s="484"/>
      <c r="BK1073" s="484"/>
      <c r="BL1073" s="484"/>
      <c r="BM1073" s="484"/>
    </row>
    <row r="1074" spans="1:65" s="22" customFormat="1" x14ac:dyDescent="0.25">
      <c r="A1074" s="20"/>
      <c r="B1074" s="515"/>
      <c r="C1074" s="11"/>
      <c r="D1074" s="11"/>
      <c r="E1074" s="11"/>
      <c r="F1074" s="21"/>
      <c r="G1074" s="11"/>
      <c r="H1074" s="50"/>
      <c r="I1074" s="50"/>
      <c r="J1074" s="50"/>
      <c r="K1074" s="11"/>
      <c r="L1074" s="50"/>
      <c r="M1074" s="50"/>
      <c r="N1074" s="50"/>
      <c r="O1074" s="50"/>
      <c r="P1074" s="50"/>
      <c r="Q1074" s="11"/>
      <c r="R1074" s="50"/>
      <c r="S1074" s="50"/>
      <c r="T1074" s="50"/>
      <c r="U1074" s="11"/>
      <c r="V1074" s="50"/>
      <c r="W1074" s="50"/>
      <c r="X1074" s="50"/>
      <c r="Y1074" s="50"/>
      <c r="Z1074" s="50"/>
      <c r="AA1074" s="11"/>
      <c r="AB1074" s="50"/>
      <c r="AC1074" s="50"/>
      <c r="AD1074" s="50"/>
      <c r="AE1074" s="11"/>
      <c r="AF1074" s="50"/>
      <c r="AG1074" s="50"/>
      <c r="AH1074" s="50"/>
      <c r="AI1074" s="11"/>
      <c r="AJ1074" s="50"/>
      <c r="AK1074" s="50"/>
      <c r="AL1074" s="50"/>
      <c r="AM1074" s="11"/>
      <c r="AN1074" s="50"/>
      <c r="AO1074" s="50"/>
      <c r="AP1074" s="50"/>
      <c r="AQ1074" s="11"/>
      <c r="AR1074" s="50"/>
      <c r="AS1074" s="50"/>
      <c r="AT1074" s="50"/>
      <c r="AU1074" s="11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20"/>
      <c r="BF1074" s="518"/>
      <c r="BG1074" s="484"/>
      <c r="BH1074" s="484"/>
      <c r="BI1074" s="527"/>
      <c r="BJ1074" s="484"/>
      <c r="BK1074" s="484"/>
      <c r="BL1074" s="484"/>
      <c r="BM1074" s="484"/>
    </row>
    <row r="1075" spans="1:65" s="22" customFormat="1" x14ac:dyDescent="0.25">
      <c r="A1075" s="20"/>
      <c r="B1075" s="515"/>
      <c r="C1075" s="11"/>
      <c r="D1075" s="11"/>
      <c r="E1075" s="11"/>
      <c r="F1075" s="21"/>
      <c r="G1075" s="11"/>
      <c r="H1075" s="50"/>
      <c r="I1075" s="50"/>
      <c r="J1075" s="50"/>
      <c r="K1075" s="11"/>
      <c r="L1075" s="50"/>
      <c r="M1075" s="50"/>
      <c r="N1075" s="50"/>
      <c r="O1075" s="50"/>
      <c r="P1075" s="50"/>
      <c r="Q1075" s="11"/>
      <c r="R1075" s="50"/>
      <c r="S1075" s="50"/>
      <c r="T1075" s="50"/>
      <c r="U1075" s="11"/>
      <c r="V1075" s="50"/>
      <c r="W1075" s="50"/>
      <c r="X1075" s="50"/>
      <c r="Y1075" s="50"/>
      <c r="Z1075" s="50"/>
      <c r="AA1075" s="11"/>
      <c r="AB1075" s="50"/>
      <c r="AC1075" s="50"/>
      <c r="AD1075" s="50"/>
      <c r="AE1075" s="11"/>
      <c r="AF1075" s="50"/>
      <c r="AG1075" s="50"/>
      <c r="AH1075" s="50"/>
      <c r="AI1075" s="11"/>
      <c r="AJ1075" s="50"/>
      <c r="AK1075" s="50"/>
      <c r="AL1075" s="50"/>
      <c r="AM1075" s="11"/>
      <c r="AN1075" s="50"/>
      <c r="AO1075" s="50"/>
      <c r="AP1075" s="50"/>
      <c r="AQ1075" s="11"/>
      <c r="AR1075" s="50"/>
      <c r="AS1075" s="50"/>
      <c r="AT1075" s="50"/>
      <c r="AU1075" s="11"/>
      <c r="AV1075" s="50"/>
      <c r="AW1075" s="50"/>
      <c r="AX1075" s="50"/>
      <c r="AY1075" s="50"/>
      <c r="AZ1075" s="50"/>
      <c r="BA1075" s="50"/>
      <c r="BB1075" s="50"/>
      <c r="BC1075" s="50"/>
      <c r="BD1075" s="50"/>
      <c r="BE1075" s="20"/>
      <c r="BF1075" s="518"/>
      <c r="BG1075" s="484"/>
      <c r="BH1075" s="484"/>
      <c r="BI1075" s="527"/>
      <c r="BJ1075" s="484"/>
      <c r="BK1075" s="484"/>
      <c r="BL1075" s="484"/>
      <c r="BM1075" s="484"/>
    </row>
    <row r="1076" spans="1:65" s="22" customFormat="1" x14ac:dyDescent="0.25">
      <c r="A1076" s="20"/>
      <c r="B1076" s="515"/>
      <c r="C1076" s="11"/>
      <c r="D1076" s="11"/>
      <c r="E1076" s="11"/>
      <c r="F1076" s="21"/>
      <c r="G1076" s="11"/>
      <c r="H1076" s="50"/>
      <c r="I1076" s="50"/>
      <c r="J1076" s="50"/>
      <c r="K1076" s="11"/>
      <c r="L1076" s="50"/>
      <c r="M1076" s="50"/>
      <c r="N1076" s="50"/>
      <c r="O1076" s="50"/>
      <c r="P1076" s="50"/>
      <c r="Q1076" s="11"/>
      <c r="R1076" s="50"/>
      <c r="S1076" s="50"/>
      <c r="T1076" s="50"/>
      <c r="U1076" s="11"/>
      <c r="V1076" s="50"/>
      <c r="W1076" s="50"/>
      <c r="X1076" s="50"/>
      <c r="Y1076" s="50"/>
      <c r="Z1076" s="50"/>
      <c r="AA1076" s="11"/>
      <c r="AB1076" s="50"/>
      <c r="AC1076" s="50"/>
      <c r="AD1076" s="50"/>
      <c r="AE1076" s="11"/>
      <c r="AF1076" s="50"/>
      <c r="AG1076" s="50"/>
      <c r="AH1076" s="50"/>
      <c r="AI1076" s="11"/>
      <c r="AJ1076" s="50"/>
      <c r="AK1076" s="50"/>
      <c r="AL1076" s="50"/>
      <c r="AM1076" s="11"/>
      <c r="AN1076" s="50"/>
      <c r="AO1076" s="50"/>
      <c r="AP1076" s="50"/>
      <c r="AQ1076" s="11"/>
      <c r="AR1076" s="50"/>
      <c r="AS1076" s="50"/>
      <c r="AT1076" s="50"/>
      <c r="AU1076" s="11"/>
      <c r="AV1076" s="50"/>
      <c r="AW1076" s="50"/>
      <c r="AX1076" s="50"/>
      <c r="AY1076" s="50"/>
      <c r="AZ1076" s="50"/>
      <c r="BA1076" s="50"/>
      <c r="BB1076" s="50"/>
      <c r="BC1076" s="50"/>
      <c r="BD1076" s="50"/>
      <c r="BE1076" s="20"/>
      <c r="BF1076" s="518"/>
      <c r="BG1076" s="484"/>
      <c r="BH1076" s="484"/>
      <c r="BI1076" s="527"/>
      <c r="BJ1076" s="484"/>
      <c r="BK1076" s="484"/>
      <c r="BL1076" s="484"/>
      <c r="BM1076" s="484"/>
    </row>
    <row r="1077" spans="1:65" s="22" customFormat="1" x14ac:dyDescent="0.25">
      <c r="A1077" s="20"/>
      <c r="B1077" s="515"/>
      <c r="C1077" s="11"/>
      <c r="D1077" s="11"/>
      <c r="E1077" s="11"/>
      <c r="F1077" s="21"/>
      <c r="G1077" s="11"/>
      <c r="H1077" s="50"/>
      <c r="I1077" s="50"/>
      <c r="J1077" s="50"/>
      <c r="K1077" s="11"/>
      <c r="L1077" s="50"/>
      <c r="M1077" s="50"/>
      <c r="N1077" s="50"/>
      <c r="O1077" s="50"/>
      <c r="P1077" s="50"/>
      <c r="Q1077" s="11"/>
      <c r="R1077" s="50"/>
      <c r="S1077" s="50"/>
      <c r="T1077" s="50"/>
      <c r="U1077" s="11"/>
      <c r="V1077" s="50"/>
      <c r="W1077" s="50"/>
      <c r="X1077" s="50"/>
      <c r="Y1077" s="50"/>
      <c r="Z1077" s="50"/>
      <c r="AA1077" s="11"/>
      <c r="AB1077" s="50"/>
      <c r="AC1077" s="50"/>
      <c r="AD1077" s="50"/>
      <c r="AE1077" s="11"/>
      <c r="AF1077" s="50"/>
      <c r="AG1077" s="50"/>
      <c r="AH1077" s="50"/>
      <c r="AI1077" s="11"/>
      <c r="AJ1077" s="50"/>
      <c r="AK1077" s="50"/>
      <c r="AL1077" s="50"/>
      <c r="AM1077" s="11"/>
      <c r="AN1077" s="50"/>
      <c r="AO1077" s="50"/>
      <c r="AP1077" s="50"/>
      <c r="AQ1077" s="11"/>
      <c r="AR1077" s="50"/>
      <c r="AS1077" s="50"/>
      <c r="AT1077" s="50"/>
      <c r="AU1077" s="11"/>
      <c r="AV1077" s="50"/>
      <c r="AW1077" s="50"/>
      <c r="AX1077" s="50"/>
      <c r="AY1077" s="50"/>
      <c r="AZ1077" s="50"/>
      <c r="BA1077" s="50"/>
      <c r="BB1077" s="50"/>
      <c r="BC1077" s="50"/>
      <c r="BD1077" s="50"/>
      <c r="BE1077" s="20"/>
      <c r="BF1077" s="518"/>
      <c r="BG1077" s="484"/>
      <c r="BH1077" s="484"/>
      <c r="BI1077" s="527"/>
      <c r="BJ1077" s="484"/>
      <c r="BK1077" s="484"/>
      <c r="BL1077" s="484"/>
      <c r="BM1077" s="484"/>
    </row>
    <row r="1078" spans="1:65" s="22" customFormat="1" x14ac:dyDescent="0.25">
      <c r="A1078" s="20"/>
      <c r="B1078" s="515"/>
      <c r="C1078" s="11"/>
      <c r="D1078" s="11"/>
      <c r="E1078" s="11"/>
      <c r="F1078" s="21"/>
      <c r="G1078" s="11"/>
      <c r="H1078" s="50"/>
      <c r="I1078" s="50"/>
      <c r="J1078" s="50"/>
      <c r="K1078" s="11"/>
      <c r="L1078" s="50"/>
      <c r="M1078" s="50"/>
      <c r="N1078" s="50"/>
      <c r="O1078" s="50"/>
      <c r="P1078" s="50"/>
      <c r="Q1078" s="11"/>
      <c r="R1078" s="50"/>
      <c r="S1078" s="50"/>
      <c r="T1078" s="50"/>
      <c r="U1078" s="11"/>
      <c r="V1078" s="50"/>
      <c r="W1078" s="50"/>
      <c r="X1078" s="50"/>
      <c r="Y1078" s="50"/>
      <c r="Z1078" s="50"/>
      <c r="AA1078" s="11"/>
      <c r="AB1078" s="50"/>
      <c r="AC1078" s="50"/>
      <c r="AD1078" s="50"/>
      <c r="AE1078" s="11"/>
      <c r="AF1078" s="50"/>
      <c r="AG1078" s="50"/>
      <c r="AH1078" s="50"/>
      <c r="AI1078" s="11"/>
      <c r="AJ1078" s="50"/>
      <c r="AK1078" s="50"/>
      <c r="AL1078" s="50"/>
      <c r="AM1078" s="11"/>
      <c r="AN1078" s="50"/>
      <c r="AO1078" s="50"/>
      <c r="AP1078" s="50"/>
      <c r="AQ1078" s="11"/>
      <c r="AR1078" s="50"/>
      <c r="AS1078" s="50"/>
      <c r="AT1078" s="50"/>
      <c r="AU1078" s="11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20"/>
      <c r="BF1078" s="518"/>
      <c r="BG1078" s="484"/>
      <c r="BH1078" s="484"/>
      <c r="BI1078" s="527"/>
      <c r="BJ1078" s="484"/>
      <c r="BK1078" s="484"/>
      <c r="BL1078" s="484"/>
      <c r="BM1078" s="484"/>
    </row>
    <row r="1079" spans="1:65" s="22" customFormat="1" x14ac:dyDescent="0.25">
      <c r="A1079" s="20"/>
      <c r="B1079" s="515"/>
      <c r="C1079" s="11"/>
      <c r="D1079" s="11"/>
      <c r="E1079" s="11"/>
      <c r="F1079" s="21"/>
      <c r="G1079" s="11"/>
      <c r="H1079" s="50"/>
      <c r="I1079" s="50"/>
      <c r="J1079" s="50"/>
      <c r="K1079" s="11"/>
      <c r="L1079" s="50"/>
      <c r="M1079" s="50"/>
      <c r="N1079" s="50"/>
      <c r="O1079" s="50"/>
      <c r="P1079" s="50"/>
      <c r="Q1079" s="11"/>
      <c r="R1079" s="50"/>
      <c r="S1079" s="50"/>
      <c r="T1079" s="50"/>
      <c r="U1079" s="11"/>
      <c r="V1079" s="50"/>
      <c r="W1079" s="50"/>
      <c r="X1079" s="50"/>
      <c r="Y1079" s="50"/>
      <c r="Z1079" s="50"/>
      <c r="AA1079" s="11"/>
      <c r="AB1079" s="50"/>
      <c r="AC1079" s="50"/>
      <c r="AD1079" s="50"/>
      <c r="AE1079" s="11"/>
      <c r="AF1079" s="50"/>
      <c r="AG1079" s="50"/>
      <c r="AH1079" s="50"/>
      <c r="AI1079" s="11"/>
      <c r="AJ1079" s="50"/>
      <c r="AK1079" s="50"/>
      <c r="AL1079" s="50"/>
      <c r="AM1079" s="11"/>
      <c r="AN1079" s="50"/>
      <c r="AO1079" s="50"/>
      <c r="AP1079" s="50"/>
      <c r="AQ1079" s="11"/>
      <c r="AR1079" s="50"/>
      <c r="AS1079" s="50"/>
      <c r="AT1079" s="50"/>
      <c r="AU1079" s="11"/>
      <c r="AV1079" s="50"/>
      <c r="AW1079" s="50"/>
      <c r="AX1079" s="50"/>
      <c r="AY1079" s="50"/>
      <c r="AZ1079" s="50"/>
      <c r="BA1079" s="50"/>
      <c r="BB1079" s="50"/>
      <c r="BC1079" s="50"/>
      <c r="BD1079" s="50"/>
      <c r="BE1079" s="20"/>
      <c r="BF1079" s="518"/>
      <c r="BG1079" s="484"/>
      <c r="BH1079" s="484"/>
      <c r="BI1079" s="527"/>
      <c r="BJ1079" s="484"/>
      <c r="BK1079" s="484"/>
      <c r="BL1079" s="484"/>
      <c r="BM1079" s="484"/>
    </row>
    <row r="1080" spans="1:65" s="22" customFormat="1" x14ac:dyDescent="0.25">
      <c r="A1080" s="20"/>
      <c r="B1080" s="515"/>
      <c r="C1080" s="11"/>
      <c r="D1080" s="11"/>
      <c r="E1080" s="11"/>
      <c r="F1080" s="21"/>
      <c r="G1080" s="11"/>
      <c r="H1080" s="50"/>
      <c r="I1080" s="50"/>
      <c r="J1080" s="50"/>
      <c r="K1080" s="11"/>
      <c r="L1080" s="50"/>
      <c r="M1080" s="50"/>
      <c r="N1080" s="50"/>
      <c r="O1080" s="50"/>
      <c r="P1080" s="50"/>
      <c r="Q1080" s="11"/>
      <c r="R1080" s="50"/>
      <c r="S1080" s="50"/>
      <c r="T1080" s="50"/>
      <c r="U1080" s="11"/>
      <c r="V1080" s="50"/>
      <c r="W1080" s="50"/>
      <c r="X1080" s="50"/>
      <c r="Y1080" s="50"/>
      <c r="Z1080" s="50"/>
      <c r="AA1080" s="11"/>
      <c r="AB1080" s="50"/>
      <c r="AC1080" s="50"/>
      <c r="AD1080" s="50"/>
      <c r="AE1080" s="11"/>
      <c r="AF1080" s="50"/>
      <c r="AG1080" s="50"/>
      <c r="AH1080" s="50"/>
      <c r="AI1080" s="11"/>
      <c r="AJ1080" s="50"/>
      <c r="AK1080" s="50"/>
      <c r="AL1080" s="50"/>
      <c r="AM1080" s="11"/>
      <c r="AN1080" s="50"/>
      <c r="AO1080" s="50"/>
      <c r="AP1080" s="50"/>
      <c r="AQ1080" s="11"/>
      <c r="AR1080" s="50"/>
      <c r="AS1080" s="50"/>
      <c r="AT1080" s="50"/>
      <c r="AU1080" s="11"/>
      <c r="AV1080" s="50"/>
      <c r="AW1080" s="50"/>
      <c r="AX1080" s="50"/>
      <c r="AY1080" s="50"/>
      <c r="AZ1080" s="50"/>
      <c r="BA1080" s="50"/>
      <c r="BB1080" s="50"/>
      <c r="BC1080" s="50"/>
      <c r="BD1080" s="50"/>
      <c r="BE1080" s="20"/>
      <c r="BF1080" s="518"/>
      <c r="BG1080" s="484"/>
      <c r="BH1080" s="484"/>
      <c r="BI1080" s="527"/>
      <c r="BJ1080" s="484"/>
      <c r="BK1080" s="484"/>
      <c r="BL1080" s="484"/>
      <c r="BM1080" s="484"/>
    </row>
    <row r="1081" spans="1:65" s="22" customFormat="1" x14ac:dyDescent="0.25">
      <c r="A1081" s="20"/>
      <c r="B1081" s="515"/>
      <c r="C1081" s="11"/>
      <c r="D1081" s="11"/>
      <c r="E1081" s="11"/>
      <c r="F1081" s="21"/>
      <c r="G1081" s="11"/>
      <c r="H1081" s="50"/>
      <c r="I1081" s="50"/>
      <c r="J1081" s="50"/>
      <c r="K1081" s="11"/>
      <c r="L1081" s="50"/>
      <c r="M1081" s="50"/>
      <c r="N1081" s="50"/>
      <c r="O1081" s="50"/>
      <c r="P1081" s="50"/>
      <c r="Q1081" s="11"/>
      <c r="R1081" s="50"/>
      <c r="S1081" s="50"/>
      <c r="T1081" s="50"/>
      <c r="U1081" s="11"/>
      <c r="V1081" s="50"/>
      <c r="W1081" s="50"/>
      <c r="X1081" s="50"/>
      <c r="Y1081" s="50"/>
      <c r="Z1081" s="50"/>
      <c r="AA1081" s="11"/>
      <c r="AB1081" s="50"/>
      <c r="AC1081" s="50"/>
      <c r="AD1081" s="50"/>
      <c r="AE1081" s="11"/>
      <c r="AF1081" s="50"/>
      <c r="AG1081" s="50"/>
      <c r="AH1081" s="50"/>
      <c r="AI1081" s="11"/>
      <c r="AJ1081" s="50"/>
      <c r="AK1081" s="50"/>
      <c r="AL1081" s="50"/>
      <c r="AM1081" s="11"/>
      <c r="AN1081" s="50"/>
      <c r="AO1081" s="50"/>
      <c r="AP1081" s="50"/>
      <c r="AQ1081" s="11"/>
      <c r="AR1081" s="50"/>
      <c r="AS1081" s="50"/>
      <c r="AT1081" s="50"/>
      <c r="AU1081" s="11"/>
      <c r="AV1081" s="50"/>
      <c r="AW1081" s="50"/>
      <c r="AX1081" s="50"/>
      <c r="AY1081" s="50"/>
      <c r="AZ1081" s="50"/>
      <c r="BA1081" s="50"/>
      <c r="BB1081" s="50"/>
      <c r="BC1081" s="50"/>
      <c r="BD1081" s="50"/>
      <c r="BE1081" s="20"/>
      <c r="BF1081" s="518"/>
      <c r="BG1081" s="484"/>
      <c r="BH1081" s="484"/>
      <c r="BI1081" s="527"/>
      <c r="BJ1081" s="484"/>
      <c r="BK1081" s="484"/>
      <c r="BL1081" s="484"/>
      <c r="BM1081" s="484"/>
    </row>
    <row r="1082" spans="1:65" s="22" customFormat="1" x14ac:dyDescent="0.25">
      <c r="A1082" s="20"/>
      <c r="B1082" s="515"/>
      <c r="C1082" s="11"/>
      <c r="D1082" s="11"/>
      <c r="E1082" s="11"/>
      <c r="F1082" s="21"/>
      <c r="G1082" s="11"/>
      <c r="H1082" s="50"/>
      <c r="I1082" s="50"/>
      <c r="J1082" s="50"/>
      <c r="K1082" s="11"/>
      <c r="L1082" s="50"/>
      <c r="M1082" s="50"/>
      <c r="N1082" s="50"/>
      <c r="O1082" s="50"/>
      <c r="P1082" s="50"/>
      <c r="Q1082" s="11"/>
      <c r="R1082" s="50"/>
      <c r="S1082" s="50"/>
      <c r="T1082" s="50"/>
      <c r="U1082" s="11"/>
      <c r="V1082" s="50"/>
      <c r="W1082" s="50"/>
      <c r="X1082" s="50"/>
      <c r="Y1082" s="50"/>
      <c r="Z1082" s="50"/>
      <c r="AA1082" s="11"/>
      <c r="AB1082" s="50"/>
      <c r="AC1082" s="50"/>
      <c r="AD1082" s="50"/>
      <c r="AE1082" s="11"/>
      <c r="AF1082" s="50"/>
      <c r="AG1082" s="50"/>
      <c r="AH1082" s="50"/>
      <c r="AI1082" s="11"/>
      <c r="AJ1082" s="50"/>
      <c r="AK1082" s="50"/>
      <c r="AL1082" s="50"/>
      <c r="AM1082" s="11"/>
      <c r="AN1082" s="50"/>
      <c r="AO1082" s="50"/>
      <c r="AP1082" s="50"/>
      <c r="AQ1082" s="11"/>
      <c r="AR1082" s="50"/>
      <c r="AS1082" s="50"/>
      <c r="AT1082" s="50"/>
      <c r="AU1082" s="11"/>
      <c r="AV1082" s="50"/>
      <c r="AW1082" s="50"/>
      <c r="AX1082" s="50"/>
      <c r="AY1082" s="50"/>
      <c r="AZ1082" s="50"/>
      <c r="BA1082" s="50"/>
      <c r="BB1082" s="50"/>
      <c r="BC1082" s="50"/>
      <c r="BD1082" s="50"/>
      <c r="BE1082" s="20"/>
      <c r="BF1082" s="518"/>
      <c r="BG1082" s="484"/>
      <c r="BH1082" s="484"/>
      <c r="BI1082" s="527"/>
      <c r="BJ1082" s="484"/>
      <c r="BK1082" s="484"/>
      <c r="BL1082" s="484"/>
      <c r="BM1082" s="484"/>
    </row>
    <row r="1083" spans="1:65" s="22" customFormat="1" x14ac:dyDescent="0.25">
      <c r="A1083" s="20"/>
      <c r="B1083" s="515"/>
      <c r="C1083" s="11"/>
      <c r="D1083" s="11"/>
      <c r="E1083" s="11"/>
      <c r="F1083" s="21"/>
      <c r="G1083" s="11"/>
      <c r="H1083" s="50"/>
      <c r="I1083" s="50"/>
      <c r="J1083" s="50"/>
      <c r="K1083" s="11"/>
      <c r="L1083" s="50"/>
      <c r="M1083" s="50"/>
      <c r="N1083" s="50"/>
      <c r="O1083" s="50"/>
      <c r="P1083" s="50"/>
      <c r="Q1083" s="11"/>
      <c r="R1083" s="50"/>
      <c r="S1083" s="50"/>
      <c r="T1083" s="50"/>
      <c r="U1083" s="11"/>
      <c r="V1083" s="50"/>
      <c r="W1083" s="50"/>
      <c r="X1083" s="50"/>
      <c r="Y1083" s="50"/>
      <c r="Z1083" s="50"/>
      <c r="AA1083" s="11"/>
      <c r="AB1083" s="50"/>
      <c r="AC1083" s="50"/>
      <c r="AD1083" s="50"/>
      <c r="AE1083" s="11"/>
      <c r="AF1083" s="50"/>
      <c r="AG1083" s="50"/>
      <c r="AH1083" s="50"/>
      <c r="AI1083" s="11"/>
      <c r="AJ1083" s="50"/>
      <c r="AK1083" s="50"/>
      <c r="AL1083" s="50"/>
      <c r="AM1083" s="11"/>
      <c r="AN1083" s="50"/>
      <c r="AO1083" s="50"/>
      <c r="AP1083" s="50"/>
      <c r="AQ1083" s="11"/>
      <c r="AR1083" s="50"/>
      <c r="AS1083" s="50"/>
      <c r="AT1083" s="50"/>
      <c r="AU1083" s="11"/>
      <c r="AV1083" s="50"/>
      <c r="AW1083" s="50"/>
      <c r="AX1083" s="50"/>
      <c r="AY1083" s="50"/>
      <c r="AZ1083" s="50"/>
      <c r="BA1083" s="50"/>
      <c r="BB1083" s="50"/>
      <c r="BC1083" s="50"/>
      <c r="BD1083" s="50"/>
      <c r="BE1083" s="20"/>
      <c r="BF1083" s="518"/>
      <c r="BG1083" s="484"/>
      <c r="BH1083" s="484"/>
      <c r="BI1083" s="527"/>
      <c r="BJ1083" s="484"/>
      <c r="BK1083" s="484"/>
      <c r="BL1083" s="484"/>
      <c r="BM1083" s="484"/>
    </row>
    <row r="1084" spans="1:65" s="22" customFormat="1" x14ac:dyDescent="0.25">
      <c r="A1084" s="20"/>
      <c r="B1084" s="515"/>
      <c r="C1084" s="11"/>
      <c r="D1084" s="11"/>
      <c r="E1084" s="11"/>
      <c r="F1084" s="21"/>
      <c r="G1084" s="11"/>
      <c r="H1084" s="50"/>
      <c r="I1084" s="50"/>
      <c r="J1084" s="50"/>
      <c r="K1084" s="11"/>
      <c r="L1084" s="50"/>
      <c r="M1084" s="50"/>
      <c r="N1084" s="50"/>
      <c r="O1084" s="50"/>
      <c r="P1084" s="50"/>
      <c r="Q1084" s="11"/>
      <c r="R1084" s="50"/>
      <c r="S1084" s="50"/>
      <c r="T1084" s="50"/>
      <c r="U1084" s="11"/>
      <c r="V1084" s="50"/>
      <c r="W1084" s="50"/>
      <c r="X1084" s="50"/>
      <c r="Y1084" s="50"/>
      <c r="Z1084" s="50"/>
      <c r="AA1084" s="11"/>
      <c r="AB1084" s="50"/>
      <c r="AC1084" s="50"/>
      <c r="AD1084" s="50"/>
      <c r="AE1084" s="11"/>
      <c r="AF1084" s="50"/>
      <c r="AG1084" s="50"/>
      <c r="AH1084" s="50"/>
      <c r="AI1084" s="11"/>
      <c r="AJ1084" s="50"/>
      <c r="AK1084" s="50"/>
      <c r="AL1084" s="50"/>
      <c r="AM1084" s="11"/>
      <c r="AN1084" s="50"/>
      <c r="AO1084" s="50"/>
      <c r="AP1084" s="50"/>
      <c r="AQ1084" s="11"/>
      <c r="AR1084" s="50"/>
      <c r="AS1084" s="50"/>
      <c r="AT1084" s="50"/>
      <c r="AU1084" s="11"/>
      <c r="AV1084" s="50"/>
      <c r="AW1084" s="50"/>
      <c r="AX1084" s="50"/>
      <c r="AY1084" s="50"/>
      <c r="AZ1084" s="50"/>
      <c r="BA1084" s="50"/>
      <c r="BB1084" s="50"/>
      <c r="BC1084" s="50"/>
      <c r="BD1084" s="50"/>
      <c r="BE1084" s="20"/>
      <c r="BF1084" s="518"/>
      <c r="BG1084" s="484"/>
      <c r="BH1084" s="484"/>
      <c r="BI1084" s="527"/>
      <c r="BJ1084" s="484"/>
      <c r="BK1084" s="484"/>
      <c r="BL1084" s="484"/>
      <c r="BM1084" s="484"/>
    </row>
    <row r="1085" spans="1:65" s="22" customFormat="1" x14ac:dyDescent="0.25">
      <c r="A1085" s="20"/>
      <c r="B1085" s="515"/>
      <c r="C1085" s="11"/>
      <c r="D1085" s="11"/>
      <c r="E1085" s="11"/>
      <c r="F1085" s="21"/>
      <c r="G1085" s="11"/>
      <c r="H1085" s="50"/>
      <c r="I1085" s="50"/>
      <c r="J1085" s="50"/>
      <c r="K1085" s="11"/>
      <c r="L1085" s="50"/>
      <c r="M1085" s="50"/>
      <c r="N1085" s="50"/>
      <c r="O1085" s="50"/>
      <c r="P1085" s="50"/>
      <c r="Q1085" s="11"/>
      <c r="R1085" s="50"/>
      <c r="S1085" s="50"/>
      <c r="T1085" s="50"/>
      <c r="U1085" s="11"/>
      <c r="V1085" s="50"/>
      <c r="W1085" s="50"/>
      <c r="X1085" s="50"/>
      <c r="Y1085" s="50"/>
      <c r="Z1085" s="50"/>
      <c r="AA1085" s="11"/>
      <c r="AB1085" s="50"/>
      <c r="AC1085" s="50"/>
      <c r="AD1085" s="50"/>
      <c r="AE1085" s="11"/>
      <c r="AF1085" s="50"/>
      <c r="AG1085" s="50"/>
      <c r="AH1085" s="50"/>
      <c r="AI1085" s="11"/>
      <c r="AJ1085" s="50"/>
      <c r="AK1085" s="50"/>
      <c r="AL1085" s="50"/>
      <c r="AM1085" s="11"/>
      <c r="AN1085" s="50"/>
      <c r="AO1085" s="50"/>
      <c r="AP1085" s="50"/>
      <c r="AQ1085" s="11"/>
      <c r="AR1085" s="50"/>
      <c r="AS1085" s="50"/>
      <c r="AT1085" s="50"/>
      <c r="AU1085" s="11"/>
      <c r="AV1085" s="50"/>
      <c r="AW1085" s="50"/>
      <c r="AX1085" s="50"/>
      <c r="AY1085" s="50"/>
      <c r="AZ1085" s="50"/>
      <c r="BA1085" s="50"/>
      <c r="BB1085" s="50"/>
      <c r="BC1085" s="50"/>
      <c r="BD1085" s="50"/>
      <c r="BE1085" s="20"/>
      <c r="BF1085" s="518"/>
      <c r="BG1085" s="484"/>
      <c r="BH1085" s="484"/>
      <c r="BI1085" s="527"/>
      <c r="BJ1085" s="484"/>
      <c r="BK1085" s="484"/>
      <c r="BL1085" s="484"/>
      <c r="BM1085" s="484"/>
    </row>
    <row r="1086" spans="1:65" s="22" customFormat="1" x14ac:dyDescent="0.25">
      <c r="A1086" s="20"/>
      <c r="B1086" s="515"/>
      <c r="C1086" s="11"/>
      <c r="D1086" s="11"/>
      <c r="E1086" s="11"/>
      <c r="F1086" s="21"/>
      <c r="G1086" s="11"/>
      <c r="H1086" s="50"/>
      <c r="I1086" s="50"/>
      <c r="J1086" s="50"/>
      <c r="K1086" s="11"/>
      <c r="L1086" s="50"/>
      <c r="M1086" s="50"/>
      <c r="N1086" s="50"/>
      <c r="O1086" s="50"/>
      <c r="P1086" s="50"/>
      <c r="Q1086" s="11"/>
      <c r="R1086" s="50"/>
      <c r="S1086" s="50"/>
      <c r="T1086" s="50"/>
      <c r="U1086" s="11"/>
      <c r="V1086" s="50"/>
      <c r="W1086" s="50"/>
      <c r="X1086" s="50"/>
      <c r="Y1086" s="50"/>
      <c r="Z1086" s="50"/>
      <c r="AA1086" s="11"/>
      <c r="AB1086" s="50"/>
      <c r="AC1086" s="50"/>
      <c r="AD1086" s="50"/>
      <c r="AE1086" s="11"/>
      <c r="AF1086" s="50"/>
      <c r="AG1086" s="50"/>
      <c r="AH1086" s="50"/>
      <c r="AI1086" s="11"/>
      <c r="AJ1086" s="50"/>
      <c r="AK1086" s="50"/>
      <c r="AL1086" s="50"/>
      <c r="AM1086" s="11"/>
      <c r="AN1086" s="50"/>
      <c r="AO1086" s="50"/>
      <c r="AP1086" s="50"/>
      <c r="AQ1086" s="11"/>
      <c r="AR1086" s="50"/>
      <c r="AS1086" s="50"/>
      <c r="AT1086" s="50"/>
      <c r="AU1086" s="11"/>
      <c r="AV1086" s="50"/>
      <c r="AW1086" s="50"/>
      <c r="AX1086" s="50"/>
      <c r="AY1086" s="50"/>
      <c r="AZ1086" s="50"/>
      <c r="BA1086" s="50"/>
      <c r="BB1086" s="50"/>
      <c r="BC1086" s="50"/>
      <c r="BD1086" s="50"/>
      <c r="BE1086" s="20"/>
      <c r="BF1086" s="518"/>
      <c r="BG1086" s="484"/>
      <c r="BH1086" s="484"/>
      <c r="BI1086" s="527"/>
      <c r="BJ1086" s="484"/>
      <c r="BK1086" s="484"/>
      <c r="BL1086" s="484"/>
      <c r="BM1086" s="484"/>
    </row>
    <row r="1087" spans="1:65" s="22" customFormat="1" x14ac:dyDescent="0.25">
      <c r="A1087" s="20"/>
      <c r="B1087" s="515"/>
      <c r="C1087" s="11"/>
      <c r="D1087" s="11"/>
      <c r="E1087" s="11"/>
      <c r="F1087" s="21"/>
      <c r="G1087" s="11"/>
      <c r="H1087" s="50"/>
      <c r="I1087" s="50"/>
      <c r="J1087" s="50"/>
      <c r="K1087" s="11"/>
      <c r="L1087" s="50"/>
      <c r="M1087" s="50"/>
      <c r="N1087" s="50"/>
      <c r="O1087" s="50"/>
      <c r="P1087" s="50"/>
      <c r="Q1087" s="11"/>
      <c r="R1087" s="50"/>
      <c r="S1087" s="50"/>
      <c r="T1087" s="50"/>
      <c r="U1087" s="11"/>
      <c r="V1087" s="50"/>
      <c r="W1087" s="50"/>
      <c r="X1087" s="50"/>
      <c r="Y1087" s="50"/>
      <c r="Z1087" s="50"/>
      <c r="AA1087" s="11"/>
      <c r="AB1087" s="50"/>
      <c r="AC1087" s="50"/>
      <c r="AD1087" s="50"/>
      <c r="AE1087" s="11"/>
      <c r="AF1087" s="50"/>
      <c r="AG1087" s="50"/>
      <c r="AH1087" s="50"/>
      <c r="AI1087" s="11"/>
      <c r="AJ1087" s="50"/>
      <c r="AK1087" s="50"/>
      <c r="AL1087" s="50"/>
      <c r="AM1087" s="11"/>
      <c r="AN1087" s="50"/>
      <c r="AO1087" s="50"/>
      <c r="AP1087" s="50"/>
      <c r="AQ1087" s="11"/>
      <c r="AR1087" s="50"/>
      <c r="AS1087" s="50"/>
      <c r="AT1087" s="50"/>
      <c r="AU1087" s="11"/>
      <c r="AV1087" s="50"/>
      <c r="AW1087" s="50"/>
      <c r="AX1087" s="50"/>
      <c r="AY1087" s="50"/>
      <c r="AZ1087" s="50"/>
      <c r="BA1087" s="50"/>
      <c r="BB1087" s="50"/>
      <c r="BC1087" s="50"/>
      <c r="BD1087" s="50"/>
      <c r="BE1087" s="20"/>
      <c r="BF1087" s="518"/>
      <c r="BG1087" s="484"/>
      <c r="BH1087" s="484"/>
      <c r="BI1087" s="527"/>
      <c r="BJ1087" s="484"/>
      <c r="BK1087" s="484"/>
      <c r="BL1087" s="484"/>
      <c r="BM1087" s="484"/>
    </row>
    <row r="1088" spans="1:65" s="22" customFormat="1" x14ac:dyDescent="0.25">
      <c r="A1088" s="20"/>
      <c r="B1088" s="515"/>
      <c r="C1088" s="11"/>
      <c r="D1088" s="11"/>
      <c r="E1088" s="11"/>
      <c r="F1088" s="21"/>
      <c r="G1088" s="11"/>
      <c r="H1088" s="50"/>
      <c r="I1088" s="50"/>
      <c r="J1088" s="50"/>
      <c r="K1088" s="11"/>
      <c r="L1088" s="50"/>
      <c r="M1088" s="50"/>
      <c r="N1088" s="50"/>
      <c r="O1088" s="50"/>
      <c r="P1088" s="50"/>
      <c r="Q1088" s="11"/>
      <c r="R1088" s="50"/>
      <c r="S1088" s="50"/>
      <c r="T1088" s="50"/>
      <c r="U1088" s="11"/>
      <c r="V1088" s="50"/>
      <c r="W1088" s="50"/>
      <c r="X1088" s="50"/>
      <c r="Y1088" s="50"/>
      <c r="Z1088" s="50"/>
      <c r="AA1088" s="11"/>
      <c r="AB1088" s="50"/>
      <c r="AC1088" s="50"/>
      <c r="AD1088" s="50"/>
      <c r="AE1088" s="11"/>
      <c r="AF1088" s="50"/>
      <c r="AG1088" s="50"/>
      <c r="AH1088" s="50"/>
      <c r="AI1088" s="11"/>
      <c r="AJ1088" s="50"/>
      <c r="AK1088" s="50"/>
      <c r="AL1088" s="50"/>
      <c r="AM1088" s="11"/>
      <c r="AN1088" s="50"/>
      <c r="AO1088" s="50"/>
      <c r="AP1088" s="50"/>
      <c r="AQ1088" s="11"/>
      <c r="AR1088" s="50"/>
      <c r="AS1088" s="50"/>
      <c r="AT1088" s="50"/>
      <c r="AU1088" s="11"/>
      <c r="AV1088" s="50"/>
      <c r="AW1088" s="50"/>
      <c r="AX1088" s="50"/>
      <c r="AY1088" s="50"/>
      <c r="AZ1088" s="50"/>
      <c r="BA1088" s="50"/>
      <c r="BB1088" s="50"/>
      <c r="BC1088" s="50"/>
      <c r="BD1088" s="50"/>
      <c r="BE1088" s="20"/>
      <c r="BF1088" s="518"/>
      <c r="BG1088" s="484"/>
      <c r="BH1088" s="484"/>
      <c r="BI1088" s="527"/>
      <c r="BJ1088" s="484"/>
      <c r="BK1088" s="484"/>
      <c r="BL1088" s="484"/>
      <c r="BM1088" s="484"/>
    </row>
    <row r="1089" spans="1:65" s="22" customFormat="1" x14ac:dyDescent="0.25">
      <c r="A1089" s="20"/>
      <c r="B1089" s="515"/>
      <c r="C1089" s="11"/>
      <c r="D1089" s="11"/>
      <c r="E1089" s="11"/>
      <c r="F1089" s="21"/>
      <c r="G1089" s="11"/>
      <c r="H1089" s="50"/>
      <c r="I1089" s="50"/>
      <c r="J1089" s="50"/>
      <c r="K1089" s="11"/>
      <c r="L1089" s="50"/>
      <c r="M1089" s="50"/>
      <c r="N1089" s="50"/>
      <c r="O1089" s="50"/>
      <c r="P1089" s="50"/>
      <c r="Q1089" s="11"/>
      <c r="R1089" s="50"/>
      <c r="S1089" s="50"/>
      <c r="T1089" s="50"/>
      <c r="U1089" s="11"/>
      <c r="V1089" s="50"/>
      <c r="W1089" s="50"/>
      <c r="X1089" s="50"/>
      <c r="Y1089" s="50"/>
      <c r="Z1089" s="50"/>
      <c r="AA1089" s="11"/>
      <c r="AB1089" s="50"/>
      <c r="AC1089" s="50"/>
      <c r="AD1089" s="50"/>
      <c r="AE1089" s="11"/>
      <c r="AF1089" s="50"/>
      <c r="AG1089" s="50"/>
      <c r="AH1089" s="50"/>
      <c r="AI1089" s="11"/>
      <c r="AJ1089" s="50"/>
      <c r="AK1089" s="50"/>
      <c r="AL1089" s="50"/>
      <c r="AM1089" s="11"/>
      <c r="AN1089" s="50"/>
      <c r="AO1089" s="50"/>
      <c r="AP1089" s="50"/>
      <c r="AQ1089" s="11"/>
      <c r="AR1089" s="50"/>
      <c r="AS1089" s="50"/>
      <c r="AT1089" s="50"/>
      <c r="AU1089" s="11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20"/>
      <c r="BF1089" s="518"/>
      <c r="BG1089" s="484"/>
      <c r="BH1089" s="484"/>
      <c r="BI1089" s="527"/>
      <c r="BJ1089" s="484"/>
      <c r="BK1089" s="484"/>
      <c r="BL1089" s="484"/>
      <c r="BM1089" s="484"/>
    </row>
    <row r="1090" spans="1:65" s="22" customFormat="1" x14ac:dyDescent="0.25">
      <c r="A1090" s="20"/>
      <c r="B1090" s="515"/>
      <c r="C1090" s="11"/>
      <c r="D1090" s="11"/>
      <c r="E1090" s="11"/>
      <c r="F1090" s="21"/>
      <c r="G1090" s="11"/>
      <c r="H1090" s="50"/>
      <c r="I1090" s="50"/>
      <c r="J1090" s="50"/>
      <c r="K1090" s="11"/>
      <c r="L1090" s="50"/>
      <c r="M1090" s="50"/>
      <c r="N1090" s="50"/>
      <c r="O1090" s="50"/>
      <c r="P1090" s="50"/>
      <c r="Q1090" s="11"/>
      <c r="R1090" s="50"/>
      <c r="S1090" s="50"/>
      <c r="T1090" s="50"/>
      <c r="U1090" s="11"/>
      <c r="V1090" s="50"/>
      <c r="W1090" s="50"/>
      <c r="X1090" s="50"/>
      <c r="Y1090" s="50"/>
      <c r="Z1090" s="50"/>
      <c r="AA1090" s="11"/>
      <c r="AB1090" s="50"/>
      <c r="AC1090" s="50"/>
      <c r="AD1090" s="50"/>
      <c r="AE1090" s="11"/>
      <c r="AF1090" s="50"/>
      <c r="AG1090" s="50"/>
      <c r="AH1090" s="50"/>
      <c r="AI1090" s="11"/>
      <c r="AJ1090" s="50"/>
      <c r="AK1090" s="50"/>
      <c r="AL1090" s="50"/>
      <c r="AM1090" s="11"/>
      <c r="AN1090" s="50"/>
      <c r="AO1090" s="50"/>
      <c r="AP1090" s="50"/>
      <c r="AQ1090" s="11"/>
      <c r="AR1090" s="50"/>
      <c r="AS1090" s="50"/>
      <c r="AT1090" s="50"/>
      <c r="AU1090" s="11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20"/>
      <c r="BF1090" s="518"/>
      <c r="BG1090" s="484"/>
      <c r="BH1090" s="484"/>
      <c r="BI1090" s="527"/>
      <c r="BJ1090" s="484"/>
      <c r="BK1090" s="484"/>
      <c r="BL1090" s="484"/>
      <c r="BM1090" s="484"/>
    </row>
    <row r="1091" spans="1:65" s="22" customFormat="1" x14ac:dyDescent="0.25">
      <c r="A1091" s="20"/>
      <c r="B1091" s="515"/>
      <c r="C1091" s="11"/>
      <c r="D1091" s="11"/>
      <c r="E1091" s="11"/>
      <c r="F1091" s="21"/>
      <c r="G1091" s="11"/>
      <c r="H1091" s="50"/>
      <c r="I1091" s="50"/>
      <c r="J1091" s="50"/>
      <c r="K1091" s="11"/>
      <c r="L1091" s="50"/>
      <c r="M1091" s="50"/>
      <c r="N1091" s="50"/>
      <c r="O1091" s="50"/>
      <c r="P1091" s="50"/>
      <c r="Q1091" s="11"/>
      <c r="R1091" s="50"/>
      <c r="S1091" s="50"/>
      <c r="T1091" s="50"/>
      <c r="U1091" s="11"/>
      <c r="V1091" s="50"/>
      <c r="W1091" s="50"/>
      <c r="X1091" s="50"/>
      <c r="Y1091" s="50"/>
      <c r="Z1091" s="50"/>
      <c r="AA1091" s="11"/>
      <c r="AB1091" s="50"/>
      <c r="AC1091" s="50"/>
      <c r="AD1091" s="50"/>
      <c r="AE1091" s="11"/>
      <c r="AF1091" s="50"/>
      <c r="AG1091" s="50"/>
      <c r="AH1091" s="50"/>
      <c r="AI1091" s="11"/>
      <c r="AJ1091" s="50"/>
      <c r="AK1091" s="50"/>
      <c r="AL1091" s="50"/>
      <c r="AM1091" s="11"/>
      <c r="AN1091" s="50"/>
      <c r="AO1091" s="50"/>
      <c r="AP1091" s="50"/>
      <c r="AQ1091" s="11"/>
      <c r="AR1091" s="50"/>
      <c r="AS1091" s="50"/>
      <c r="AT1091" s="50"/>
      <c r="AU1091" s="11"/>
      <c r="AV1091" s="50"/>
      <c r="AW1091" s="50"/>
      <c r="AX1091" s="50"/>
      <c r="AY1091" s="50"/>
      <c r="AZ1091" s="50"/>
      <c r="BA1091" s="50"/>
      <c r="BB1091" s="50"/>
      <c r="BC1091" s="50"/>
      <c r="BD1091" s="50"/>
      <c r="BE1091" s="20"/>
      <c r="BF1091" s="518"/>
      <c r="BG1091" s="484"/>
      <c r="BH1091" s="484"/>
      <c r="BI1091" s="527"/>
      <c r="BJ1091" s="484"/>
      <c r="BK1091" s="484"/>
      <c r="BL1091" s="484"/>
      <c r="BM1091" s="484"/>
    </row>
    <row r="1092" spans="1:65" s="22" customFormat="1" x14ac:dyDescent="0.25">
      <c r="A1092" s="20"/>
      <c r="B1092" s="515"/>
      <c r="C1092" s="11"/>
      <c r="D1092" s="11"/>
      <c r="E1092" s="11"/>
      <c r="F1092" s="21"/>
      <c r="G1092" s="11"/>
      <c r="H1092" s="50"/>
      <c r="I1092" s="50"/>
      <c r="J1092" s="50"/>
      <c r="K1092" s="11"/>
      <c r="L1092" s="50"/>
      <c r="M1092" s="50"/>
      <c r="N1092" s="50"/>
      <c r="O1092" s="50"/>
      <c r="P1092" s="50"/>
      <c r="Q1092" s="11"/>
      <c r="R1092" s="50"/>
      <c r="S1092" s="50"/>
      <c r="T1092" s="50"/>
      <c r="U1092" s="11"/>
      <c r="V1092" s="50"/>
      <c r="W1092" s="50"/>
      <c r="X1092" s="50"/>
      <c r="Y1092" s="50"/>
      <c r="Z1092" s="50"/>
      <c r="AA1092" s="11"/>
      <c r="AB1092" s="50"/>
      <c r="AC1092" s="50"/>
      <c r="AD1092" s="50"/>
      <c r="AE1092" s="11"/>
      <c r="AF1092" s="50"/>
      <c r="AG1092" s="50"/>
      <c r="AH1092" s="50"/>
      <c r="AI1092" s="11"/>
      <c r="AJ1092" s="50"/>
      <c r="AK1092" s="50"/>
      <c r="AL1092" s="50"/>
      <c r="AM1092" s="11"/>
      <c r="AN1092" s="50"/>
      <c r="AO1092" s="50"/>
      <c r="AP1092" s="50"/>
      <c r="AQ1092" s="11"/>
      <c r="AR1092" s="50"/>
      <c r="AS1092" s="50"/>
      <c r="AT1092" s="50"/>
      <c r="AU1092" s="11"/>
      <c r="AV1092" s="50"/>
      <c r="AW1092" s="50"/>
      <c r="AX1092" s="50"/>
      <c r="AY1092" s="50"/>
      <c r="AZ1092" s="50"/>
      <c r="BA1092" s="50"/>
      <c r="BB1092" s="50"/>
      <c r="BC1092" s="50"/>
      <c r="BD1092" s="50"/>
      <c r="BE1092" s="20"/>
      <c r="BF1092" s="518"/>
      <c r="BG1092" s="484"/>
      <c r="BH1092" s="484"/>
      <c r="BI1092" s="527"/>
      <c r="BJ1092" s="484"/>
      <c r="BK1092" s="484"/>
      <c r="BL1092" s="484"/>
      <c r="BM1092" s="484"/>
    </row>
    <row r="1093" spans="1:65" s="22" customFormat="1" x14ac:dyDescent="0.25">
      <c r="A1093" s="20"/>
      <c r="B1093" s="515"/>
      <c r="C1093" s="11"/>
      <c r="D1093" s="11"/>
      <c r="E1093" s="11"/>
      <c r="F1093" s="21"/>
      <c r="G1093" s="11"/>
      <c r="H1093" s="50"/>
      <c r="I1093" s="50"/>
      <c r="J1093" s="50"/>
      <c r="K1093" s="11"/>
      <c r="L1093" s="50"/>
      <c r="M1093" s="50"/>
      <c r="N1093" s="50"/>
      <c r="O1093" s="50"/>
      <c r="P1093" s="50"/>
      <c r="Q1093" s="11"/>
      <c r="R1093" s="50"/>
      <c r="S1093" s="50"/>
      <c r="T1093" s="50"/>
      <c r="U1093" s="11"/>
      <c r="V1093" s="50"/>
      <c r="W1093" s="50"/>
      <c r="X1093" s="50"/>
      <c r="Y1093" s="50"/>
      <c r="Z1093" s="50"/>
      <c r="AA1093" s="11"/>
      <c r="AB1093" s="50"/>
      <c r="AC1093" s="50"/>
      <c r="AD1093" s="50"/>
      <c r="AE1093" s="11"/>
      <c r="AF1093" s="50"/>
      <c r="AG1093" s="50"/>
      <c r="AH1093" s="50"/>
      <c r="AI1093" s="11"/>
      <c r="AJ1093" s="50"/>
      <c r="AK1093" s="50"/>
      <c r="AL1093" s="50"/>
      <c r="AM1093" s="11"/>
      <c r="AN1093" s="50"/>
      <c r="AO1093" s="50"/>
      <c r="AP1093" s="50"/>
      <c r="AQ1093" s="11"/>
      <c r="AR1093" s="50"/>
      <c r="AS1093" s="50"/>
      <c r="AT1093" s="50"/>
      <c r="AU1093" s="11"/>
      <c r="AV1093" s="50"/>
      <c r="AW1093" s="50"/>
      <c r="AX1093" s="50"/>
      <c r="AY1093" s="50"/>
      <c r="AZ1093" s="50"/>
      <c r="BA1093" s="50"/>
      <c r="BB1093" s="50"/>
      <c r="BC1093" s="50"/>
      <c r="BD1093" s="50"/>
      <c r="BE1093" s="20"/>
      <c r="BF1093" s="518"/>
      <c r="BG1093" s="484"/>
      <c r="BH1093" s="484"/>
      <c r="BI1093" s="527"/>
      <c r="BJ1093" s="484"/>
      <c r="BK1093" s="484"/>
      <c r="BL1093" s="484"/>
      <c r="BM1093" s="484"/>
    </row>
    <row r="1094" spans="1:65" s="22" customFormat="1" x14ac:dyDescent="0.25">
      <c r="A1094" s="20"/>
      <c r="B1094" s="515"/>
      <c r="C1094" s="11"/>
      <c r="D1094" s="11"/>
      <c r="E1094" s="11"/>
      <c r="F1094" s="21"/>
      <c r="G1094" s="11"/>
      <c r="H1094" s="50"/>
      <c r="I1094" s="50"/>
      <c r="J1094" s="50"/>
      <c r="K1094" s="11"/>
      <c r="L1094" s="50"/>
      <c r="M1094" s="50"/>
      <c r="N1094" s="50"/>
      <c r="O1094" s="50"/>
      <c r="P1094" s="50"/>
      <c r="Q1094" s="11"/>
      <c r="R1094" s="50"/>
      <c r="S1094" s="50"/>
      <c r="T1094" s="50"/>
      <c r="U1094" s="11"/>
      <c r="V1094" s="50"/>
      <c r="W1094" s="50"/>
      <c r="X1094" s="50"/>
      <c r="Y1094" s="50"/>
      <c r="Z1094" s="50"/>
      <c r="AA1094" s="11"/>
      <c r="AB1094" s="50"/>
      <c r="AC1094" s="50"/>
      <c r="AD1094" s="50"/>
      <c r="AE1094" s="11"/>
      <c r="AF1094" s="50"/>
      <c r="AG1094" s="50"/>
      <c r="AH1094" s="50"/>
      <c r="AI1094" s="11"/>
      <c r="AJ1094" s="50"/>
      <c r="AK1094" s="50"/>
      <c r="AL1094" s="50"/>
      <c r="AM1094" s="11"/>
      <c r="AN1094" s="50"/>
      <c r="AO1094" s="50"/>
      <c r="AP1094" s="50"/>
      <c r="AQ1094" s="11"/>
      <c r="AR1094" s="50"/>
      <c r="AS1094" s="50"/>
      <c r="AT1094" s="50"/>
      <c r="AU1094" s="11"/>
      <c r="AV1094" s="50"/>
      <c r="AW1094" s="50"/>
      <c r="AX1094" s="50"/>
      <c r="AY1094" s="50"/>
      <c r="AZ1094" s="50"/>
      <c r="BA1094" s="50"/>
      <c r="BB1094" s="50"/>
      <c r="BC1094" s="50"/>
      <c r="BD1094" s="50"/>
      <c r="BE1094" s="20"/>
      <c r="BF1094" s="518"/>
      <c r="BG1094" s="484"/>
      <c r="BH1094" s="484"/>
      <c r="BI1094" s="527"/>
      <c r="BJ1094" s="484"/>
      <c r="BK1094" s="484"/>
      <c r="BL1094" s="484"/>
      <c r="BM1094" s="484"/>
    </row>
    <row r="1095" spans="1:65" s="22" customFormat="1" x14ac:dyDescent="0.25">
      <c r="A1095" s="20"/>
      <c r="B1095" s="515"/>
      <c r="C1095" s="11"/>
      <c r="D1095" s="11"/>
      <c r="E1095" s="11"/>
      <c r="F1095" s="21"/>
      <c r="G1095" s="11"/>
      <c r="H1095" s="50"/>
      <c r="I1095" s="50"/>
      <c r="J1095" s="50"/>
      <c r="K1095" s="11"/>
      <c r="L1095" s="50"/>
      <c r="M1095" s="50"/>
      <c r="N1095" s="50"/>
      <c r="O1095" s="50"/>
      <c r="P1095" s="50"/>
      <c r="Q1095" s="11"/>
      <c r="R1095" s="50"/>
      <c r="S1095" s="50"/>
      <c r="T1095" s="50"/>
      <c r="U1095" s="11"/>
      <c r="V1095" s="50"/>
      <c r="W1095" s="50"/>
      <c r="X1095" s="50"/>
      <c r="Y1095" s="50"/>
      <c r="Z1095" s="50"/>
      <c r="AA1095" s="11"/>
      <c r="AB1095" s="50"/>
      <c r="AC1095" s="50"/>
      <c r="AD1095" s="50"/>
      <c r="AE1095" s="11"/>
      <c r="AF1095" s="50"/>
      <c r="AG1095" s="50"/>
      <c r="AH1095" s="50"/>
      <c r="AI1095" s="11"/>
      <c r="AJ1095" s="50"/>
      <c r="AK1095" s="50"/>
      <c r="AL1095" s="50"/>
      <c r="AM1095" s="11"/>
      <c r="AN1095" s="50"/>
      <c r="AO1095" s="50"/>
      <c r="AP1095" s="50"/>
      <c r="AQ1095" s="11"/>
      <c r="AR1095" s="50"/>
      <c r="AS1095" s="50"/>
      <c r="AT1095" s="50"/>
      <c r="AU1095" s="11"/>
      <c r="AV1095" s="50"/>
      <c r="AW1095" s="50"/>
      <c r="AX1095" s="50"/>
      <c r="AY1095" s="50"/>
      <c r="AZ1095" s="50"/>
      <c r="BA1095" s="50"/>
      <c r="BB1095" s="50"/>
      <c r="BC1095" s="50"/>
      <c r="BD1095" s="50"/>
      <c r="BE1095" s="20"/>
      <c r="BF1095" s="518"/>
      <c r="BG1095" s="484"/>
      <c r="BH1095" s="484"/>
      <c r="BI1095" s="527"/>
      <c r="BJ1095" s="484"/>
      <c r="BK1095" s="484"/>
      <c r="BL1095" s="484"/>
      <c r="BM1095" s="484"/>
    </row>
    <row r="1096" spans="1:65" s="22" customFormat="1" x14ac:dyDescent="0.25">
      <c r="A1096" s="20"/>
      <c r="B1096" s="515"/>
      <c r="C1096" s="11"/>
      <c r="D1096" s="11"/>
      <c r="E1096" s="11"/>
      <c r="F1096" s="21"/>
      <c r="G1096" s="11"/>
      <c r="H1096" s="50"/>
      <c r="I1096" s="50"/>
      <c r="J1096" s="50"/>
      <c r="K1096" s="11"/>
      <c r="L1096" s="50"/>
      <c r="M1096" s="50"/>
      <c r="N1096" s="50"/>
      <c r="O1096" s="50"/>
      <c r="P1096" s="50"/>
      <c r="Q1096" s="11"/>
      <c r="R1096" s="50"/>
      <c r="S1096" s="50"/>
      <c r="T1096" s="50"/>
      <c r="U1096" s="11"/>
      <c r="V1096" s="50"/>
      <c r="W1096" s="50"/>
      <c r="X1096" s="50"/>
      <c r="Y1096" s="50"/>
      <c r="Z1096" s="50"/>
      <c r="AA1096" s="11"/>
      <c r="AB1096" s="50"/>
      <c r="AC1096" s="50"/>
      <c r="AD1096" s="50"/>
      <c r="AE1096" s="11"/>
      <c r="AF1096" s="50"/>
      <c r="AG1096" s="50"/>
      <c r="AH1096" s="50"/>
      <c r="AI1096" s="11"/>
      <c r="AJ1096" s="50"/>
      <c r="AK1096" s="50"/>
      <c r="AL1096" s="50"/>
      <c r="AM1096" s="11"/>
      <c r="AN1096" s="50"/>
      <c r="AO1096" s="50"/>
      <c r="AP1096" s="50"/>
      <c r="AQ1096" s="11"/>
      <c r="AR1096" s="50"/>
      <c r="AS1096" s="50"/>
      <c r="AT1096" s="50"/>
      <c r="AU1096" s="11"/>
      <c r="AV1096" s="50"/>
      <c r="AW1096" s="50"/>
      <c r="AX1096" s="50"/>
      <c r="AY1096" s="50"/>
      <c r="AZ1096" s="50"/>
      <c r="BA1096" s="50"/>
      <c r="BB1096" s="50"/>
      <c r="BC1096" s="50"/>
      <c r="BD1096" s="50"/>
      <c r="BE1096" s="20"/>
      <c r="BF1096" s="518"/>
      <c r="BG1096" s="484"/>
      <c r="BH1096" s="484"/>
      <c r="BI1096" s="527"/>
      <c r="BJ1096" s="484"/>
      <c r="BK1096" s="484"/>
      <c r="BL1096" s="484"/>
      <c r="BM1096" s="484"/>
    </row>
    <row r="1097" spans="1:65" s="22" customFormat="1" x14ac:dyDescent="0.25">
      <c r="A1097" s="20"/>
      <c r="B1097" s="515"/>
      <c r="C1097" s="11"/>
      <c r="D1097" s="11"/>
      <c r="E1097" s="11"/>
      <c r="F1097" s="21"/>
      <c r="G1097" s="11"/>
      <c r="H1097" s="50"/>
      <c r="I1097" s="50"/>
      <c r="J1097" s="50"/>
      <c r="K1097" s="11"/>
      <c r="L1097" s="50"/>
      <c r="M1097" s="50"/>
      <c r="N1097" s="50"/>
      <c r="O1097" s="50"/>
      <c r="P1097" s="50"/>
      <c r="Q1097" s="11"/>
      <c r="R1097" s="50"/>
      <c r="S1097" s="50"/>
      <c r="T1097" s="50"/>
      <c r="U1097" s="11"/>
      <c r="V1097" s="50"/>
      <c r="W1097" s="50"/>
      <c r="X1097" s="50"/>
      <c r="Y1097" s="50"/>
      <c r="Z1097" s="50"/>
      <c r="AA1097" s="11"/>
      <c r="AB1097" s="50"/>
      <c r="AC1097" s="50"/>
      <c r="AD1097" s="50"/>
      <c r="AE1097" s="11"/>
      <c r="AF1097" s="50"/>
      <c r="AG1097" s="50"/>
      <c r="AH1097" s="50"/>
      <c r="AI1097" s="11"/>
      <c r="AJ1097" s="50"/>
      <c r="AK1097" s="50"/>
      <c r="AL1097" s="50"/>
      <c r="AM1097" s="11"/>
      <c r="AN1097" s="50"/>
      <c r="AO1097" s="50"/>
      <c r="AP1097" s="50"/>
      <c r="AQ1097" s="11"/>
      <c r="AR1097" s="50"/>
      <c r="AS1097" s="50"/>
      <c r="AT1097" s="50"/>
      <c r="AU1097" s="11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20"/>
      <c r="BF1097" s="518"/>
      <c r="BG1097" s="484"/>
      <c r="BH1097" s="484"/>
      <c r="BI1097" s="527"/>
      <c r="BJ1097" s="484"/>
      <c r="BK1097" s="484"/>
      <c r="BL1097" s="484"/>
      <c r="BM1097" s="484"/>
    </row>
    <row r="1098" spans="1:65" s="22" customFormat="1" x14ac:dyDescent="0.25">
      <c r="A1098" s="20"/>
      <c r="B1098" s="515"/>
      <c r="C1098" s="11"/>
      <c r="D1098" s="11"/>
      <c r="E1098" s="11"/>
      <c r="F1098" s="21"/>
      <c r="G1098" s="11"/>
      <c r="H1098" s="50"/>
      <c r="I1098" s="50"/>
      <c r="J1098" s="50"/>
      <c r="K1098" s="11"/>
      <c r="L1098" s="50"/>
      <c r="M1098" s="50"/>
      <c r="N1098" s="50"/>
      <c r="O1098" s="50"/>
      <c r="P1098" s="50"/>
      <c r="Q1098" s="11"/>
      <c r="R1098" s="50"/>
      <c r="S1098" s="50"/>
      <c r="T1098" s="50"/>
      <c r="U1098" s="11"/>
      <c r="V1098" s="50"/>
      <c r="W1098" s="50"/>
      <c r="X1098" s="50"/>
      <c r="Y1098" s="50"/>
      <c r="Z1098" s="50"/>
      <c r="AA1098" s="11"/>
      <c r="AB1098" s="50"/>
      <c r="AC1098" s="50"/>
      <c r="AD1098" s="50"/>
      <c r="AE1098" s="11"/>
      <c r="AF1098" s="50"/>
      <c r="AG1098" s="50"/>
      <c r="AH1098" s="50"/>
      <c r="AI1098" s="11"/>
      <c r="AJ1098" s="50"/>
      <c r="AK1098" s="50"/>
      <c r="AL1098" s="50"/>
      <c r="AM1098" s="11"/>
      <c r="AN1098" s="50"/>
      <c r="AO1098" s="50"/>
      <c r="AP1098" s="50"/>
      <c r="AQ1098" s="11"/>
      <c r="AR1098" s="50"/>
      <c r="AS1098" s="50"/>
      <c r="AT1098" s="50"/>
      <c r="AU1098" s="11"/>
      <c r="AV1098" s="50"/>
      <c r="AW1098" s="50"/>
      <c r="AX1098" s="50"/>
      <c r="AY1098" s="50"/>
      <c r="AZ1098" s="50"/>
      <c r="BA1098" s="50"/>
      <c r="BB1098" s="50"/>
      <c r="BC1098" s="50"/>
      <c r="BD1098" s="50"/>
      <c r="BE1098" s="20"/>
      <c r="BF1098" s="518"/>
      <c r="BG1098" s="484"/>
      <c r="BH1098" s="484"/>
      <c r="BI1098" s="527"/>
      <c r="BJ1098" s="484"/>
      <c r="BK1098" s="484"/>
      <c r="BL1098" s="484"/>
      <c r="BM1098" s="484"/>
    </row>
    <row r="1099" spans="1:65" s="22" customFormat="1" x14ac:dyDescent="0.25">
      <c r="A1099" s="20"/>
      <c r="B1099" s="515"/>
      <c r="C1099" s="11"/>
      <c r="D1099" s="11"/>
      <c r="E1099" s="11"/>
      <c r="F1099" s="21"/>
      <c r="G1099" s="11"/>
      <c r="H1099" s="50"/>
      <c r="I1099" s="50"/>
      <c r="J1099" s="50"/>
      <c r="K1099" s="11"/>
      <c r="L1099" s="50"/>
      <c r="M1099" s="50"/>
      <c r="N1099" s="50"/>
      <c r="O1099" s="50"/>
      <c r="P1099" s="50"/>
      <c r="Q1099" s="11"/>
      <c r="R1099" s="50"/>
      <c r="S1099" s="50"/>
      <c r="T1099" s="50"/>
      <c r="U1099" s="11"/>
      <c r="V1099" s="50"/>
      <c r="W1099" s="50"/>
      <c r="X1099" s="50"/>
      <c r="Y1099" s="50"/>
      <c r="Z1099" s="50"/>
      <c r="AA1099" s="11"/>
      <c r="AB1099" s="50"/>
      <c r="AC1099" s="50"/>
      <c r="AD1099" s="50"/>
      <c r="AE1099" s="11"/>
      <c r="AF1099" s="50"/>
      <c r="AG1099" s="50"/>
      <c r="AH1099" s="50"/>
      <c r="AI1099" s="11"/>
      <c r="AJ1099" s="50"/>
      <c r="AK1099" s="50"/>
      <c r="AL1099" s="50"/>
      <c r="AM1099" s="11"/>
      <c r="AN1099" s="50"/>
      <c r="AO1099" s="50"/>
      <c r="AP1099" s="50"/>
      <c r="AQ1099" s="11"/>
      <c r="AR1099" s="50"/>
      <c r="AS1099" s="50"/>
      <c r="AT1099" s="50"/>
      <c r="AU1099" s="11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20"/>
      <c r="BF1099" s="518"/>
      <c r="BG1099" s="484"/>
      <c r="BH1099" s="484"/>
      <c r="BI1099" s="527"/>
      <c r="BJ1099" s="484"/>
      <c r="BK1099" s="484"/>
      <c r="BL1099" s="484"/>
      <c r="BM1099" s="484"/>
    </row>
    <row r="1100" spans="1:65" s="22" customFormat="1" x14ac:dyDescent="0.25">
      <c r="A1100" s="20"/>
      <c r="B1100" s="515"/>
      <c r="C1100" s="11"/>
      <c r="D1100" s="11"/>
      <c r="E1100" s="11"/>
      <c r="F1100" s="21"/>
      <c r="G1100" s="11"/>
      <c r="H1100" s="50"/>
      <c r="I1100" s="50"/>
      <c r="J1100" s="50"/>
      <c r="K1100" s="11"/>
      <c r="L1100" s="50"/>
      <c r="M1100" s="50"/>
      <c r="N1100" s="50"/>
      <c r="O1100" s="50"/>
      <c r="P1100" s="50"/>
      <c r="Q1100" s="11"/>
      <c r="R1100" s="50"/>
      <c r="S1100" s="50"/>
      <c r="T1100" s="50"/>
      <c r="U1100" s="11"/>
      <c r="V1100" s="50"/>
      <c r="W1100" s="50"/>
      <c r="X1100" s="50"/>
      <c r="Y1100" s="50"/>
      <c r="Z1100" s="50"/>
      <c r="AA1100" s="11"/>
      <c r="AB1100" s="50"/>
      <c r="AC1100" s="50"/>
      <c r="AD1100" s="50"/>
      <c r="AE1100" s="11"/>
      <c r="AF1100" s="50"/>
      <c r="AG1100" s="50"/>
      <c r="AH1100" s="50"/>
      <c r="AI1100" s="11"/>
      <c r="AJ1100" s="50"/>
      <c r="AK1100" s="50"/>
      <c r="AL1100" s="50"/>
      <c r="AM1100" s="11"/>
      <c r="AN1100" s="50"/>
      <c r="AO1100" s="50"/>
      <c r="AP1100" s="50"/>
      <c r="AQ1100" s="11"/>
      <c r="AR1100" s="50"/>
      <c r="AS1100" s="50"/>
      <c r="AT1100" s="50"/>
      <c r="AU1100" s="11"/>
      <c r="AV1100" s="50"/>
      <c r="AW1100" s="50"/>
      <c r="AX1100" s="50"/>
      <c r="AY1100" s="50"/>
      <c r="AZ1100" s="50"/>
      <c r="BA1100" s="50"/>
      <c r="BB1100" s="50"/>
      <c r="BC1100" s="50"/>
      <c r="BD1100" s="50"/>
      <c r="BE1100" s="20"/>
      <c r="BF1100" s="518"/>
      <c r="BG1100" s="484"/>
      <c r="BH1100" s="484"/>
      <c r="BI1100" s="527"/>
      <c r="BJ1100" s="484"/>
      <c r="BK1100" s="484"/>
      <c r="BL1100" s="484"/>
      <c r="BM1100" s="484"/>
    </row>
    <row r="1101" spans="1:65" s="22" customFormat="1" x14ac:dyDescent="0.25">
      <c r="A1101" s="20"/>
      <c r="B1101" s="515"/>
      <c r="C1101" s="11"/>
      <c r="D1101" s="11"/>
      <c r="E1101" s="11"/>
      <c r="F1101" s="21"/>
      <c r="G1101" s="11"/>
      <c r="H1101" s="50"/>
      <c r="I1101" s="50"/>
      <c r="J1101" s="50"/>
      <c r="K1101" s="11"/>
      <c r="L1101" s="50"/>
      <c r="M1101" s="50"/>
      <c r="N1101" s="50"/>
      <c r="O1101" s="50"/>
      <c r="P1101" s="50"/>
      <c r="Q1101" s="11"/>
      <c r="R1101" s="50"/>
      <c r="S1101" s="50"/>
      <c r="T1101" s="50"/>
      <c r="U1101" s="11"/>
      <c r="V1101" s="50"/>
      <c r="W1101" s="50"/>
      <c r="X1101" s="50"/>
      <c r="Y1101" s="50"/>
      <c r="Z1101" s="50"/>
      <c r="AA1101" s="11"/>
      <c r="AB1101" s="50"/>
      <c r="AC1101" s="50"/>
      <c r="AD1101" s="50"/>
      <c r="AE1101" s="11"/>
      <c r="AF1101" s="50"/>
      <c r="AG1101" s="50"/>
      <c r="AH1101" s="50"/>
      <c r="AI1101" s="11"/>
      <c r="AJ1101" s="50"/>
      <c r="AK1101" s="50"/>
      <c r="AL1101" s="50"/>
      <c r="AM1101" s="11"/>
      <c r="AN1101" s="50"/>
      <c r="AO1101" s="50"/>
      <c r="AP1101" s="50"/>
      <c r="AQ1101" s="11"/>
      <c r="AR1101" s="50"/>
      <c r="AS1101" s="50"/>
      <c r="AT1101" s="50"/>
      <c r="AU1101" s="11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20"/>
      <c r="BF1101" s="518"/>
      <c r="BG1101" s="484"/>
      <c r="BH1101" s="484"/>
      <c r="BI1101" s="527"/>
      <c r="BJ1101" s="484"/>
      <c r="BK1101" s="484"/>
      <c r="BL1101" s="484"/>
      <c r="BM1101" s="484"/>
    </row>
    <row r="1102" spans="1:65" s="22" customFormat="1" x14ac:dyDescent="0.25">
      <c r="A1102" s="20"/>
      <c r="B1102" s="515"/>
      <c r="C1102" s="11"/>
      <c r="D1102" s="11"/>
      <c r="E1102" s="11"/>
      <c r="F1102" s="21"/>
      <c r="G1102" s="11"/>
      <c r="H1102" s="50"/>
      <c r="I1102" s="50"/>
      <c r="J1102" s="50"/>
      <c r="K1102" s="11"/>
      <c r="L1102" s="50"/>
      <c r="M1102" s="50"/>
      <c r="N1102" s="50"/>
      <c r="O1102" s="50"/>
      <c r="P1102" s="50"/>
      <c r="Q1102" s="11"/>
      <c r="R1102" s="50"/>
      <c r="S1102" s="50"/>
      <c r="T1102" s="50"/>
      <c r="U1102" s="11"/>
      <c r="V1102" s="50"/>
      <c r="W1102" s="50"/>
      <c r="X1102" s="50"/>
      <c r="Y1102" s="50"/>
      <c r="Z1102" s="50"/>
      <c r="AA1102" s="11"/>
      <c r="AB1102" s="50"/>
      <c r="AC1102" s="50"/>
      <c r="AD1102" s="50"/>
      <c r="AE1102" s="11"/>
      <c r="AF1102" s="50"/>
      <c r="AG1102" s="50"/>
      <c r="AH1102" s="50"/>
      <c r="AI1102" s="11"/>
      <c r="AJ1102" s="50"/>
      <c r="AK1102" s="50"/>
      <c r="AL1102" s="50"/>
      <c r="AM1102" s="11"/>
      <c r="AN1102" s="50"/>
      <c r="AO1102" s="50"/>
      <c r="AP1102" s="50"/>
      <c r="AQ1102" s="11"/>
      <c r="AR1102" s="50"/>
      <c r="AS1102" s="50"/>
      <c r="AT1102" s="50"/>
      <c r="AU1102" s="11"/>
      <c r="AV1102" s="50"/>
      <c r="AW1102" s="50"/>
      <c r="AX1102" s="50"/>
      <c r="AY1102" s="50"/>
      <c r="AZ1102" s="50"/>
      <c r="BA1102" s="50"/>
      <c r="BB1102" s="50"/>
      <c r="BC1102" s="50"/>
      <c r="BD1102" s="50"/>
      <c r="BE1102" s="20"/>
      <c r="BF1102" s="518"/>
      <c r="BG1102" s="484"/>
      <c r="BH1102" s="484"/>
      <c r="BI1102" s="527"/>
      <c r="BJ1102" s="484"/>
      <c r="BK1102" s="484"/>
      <c r="BL1102" s="484"/>
      <c r="BM1102" s="484"/>
    </row>
    <row r="1103" spans="1:65" s="22" customFormat="1" x14ac:dyDescent="0.25">
      <c r="A1103" s="20"/>
      <c r="B1103" s="515"/>
      <c r="C1103" s="11"/>
      <c r="D1103" s="11"/>
      <c r="E1103" s="11"/>
      <c r="F1103" s="21"/>
      <c r="G1103" s="11"/>
      <c r="H1103" s="50"/>
      <c r="I1103" s="50"/>
      <c r="J1103" s="50"/>
      <c r="K1103" s="11"/>
      <c r="L1103" s="50"/>
      <c r="M1103" s="50"/>
      <c r="N1103" s="50"/>
      <c r="O1103" s="50"/>
      <c r="P1103" s="50"/>
      <c r="Q1103" s="11"/>
      <c r="R1103" s="50"/>
      <c r="S1103" s="50"/>
      <c r="T1103" s="50"/>
      <c r="U1103" s="11"/>
      <c r="V1103" s="50"/>
      <c r="W1103" s="50"/>
      <c r="X1103" s="50"/>
      <c r="Y1103" s="50"/>
      <c r="Z1103" s="50"/>
      <c r="AA1103" s="11"/>
      <c r="AB1103" s="50"/>
      <c r="AC1103" s="50"/>
      <c r="AD1103" s="50"/>
      <c r="AE1103" s="11"/>
      <c r="AF1103" s="50"/>
      <c r="AG1103" s="50"/>
      <c r="AH1103" s="50"/>
      <c r="AI1103" s="11"/>
      <c r="AJ1103" s="50"/>
      <c r="AK1103" s="50"/>
      <c r="AL1103" s="50"/>
      <c r="AM1103" s="11"/>
      <c r="AN1103" s="50"/>
      <c r="AO1103" s="50"/>
      <c r="AP1103" s="50"/>
      <c r="AQ1103" s="11"/>
      <c r="AR1103" s="50"/>
      <c r="AS1103" s="50"/>
      <c r="AT1103" s="50"/>
      <c r="AU1103" s="11"/>
      <c r="AV1103" s="50"/>
      <c r="AW1103" s="50"/>
      <c r="AX1103" s="50"/>
      <c r="AY1103" s="50"/>
      <c r="AZ1103" s="50"/>
      <c r="BA1103" s="50"/>
      <c r="BB1103" s="50"/>
      <c r="BC1103" s="50"/>
      <c r="BD1103" s="50"/>
      <c r="BE1103" s="20"/>
      <c r="BF1103" s="518"/>
      <c r="BG1103" s="484"/>
      <c r="BH1103" s="484"/>
      <c r="BI1103" s="527"/>
      <c r="BJ1103" s="484"/>
      <c r="BK1103" s="484"/>
      <c r="BL1103" s="484"/>
      <c r="BM1103" s="484"/>
    </row>
    <row r="1104" spans="1:65" s="22" customFormat="1" x14ac:dyDescent="0.25">
      <c r="A1104" s="20"/>
      <c r="B1104" s="515"/>
      <c r="C1104" s="11"/>
      <c r="D1104" s="11"/>
      <c r="E1104" s="11"/>
      <c r="F1104" s="21"/>
      <c r="G1104" s="11"/>
      <c r="H1104" s="50"/>
      <c r="I1104" s="50"/>
      <c r="J1104" s="50"/>
      <c r="K1104" s="11"/>
      <c r="L1104" s="50"/>
      <c r="M1104" s="50"/>
      <c r="N1104" s="50"/>
      <c r="O1104" s="50"/>
      <c r="P1104" s="50"/>
      <c r="Q1104" s="11"/>
      <c r="R1104" s="50"/>
      <c r="S1104" s="50"/>
      <c r="T1104" s="50"/>
      <c r="U1104" s="11"/>
      <c r="V1104" s="50"/>
      <c r="W1104" s="50"/>
      <c r="X1104" s="50"/>
      <c r="Y1104" s="50"/>
      <c r="Z1104" s="50"/>
      <c r="AA1104" s="11"/>
      <c r="AB1104" s="50"/>
      <c r="AC1104" s="50"/>
      <c r="AD1104" s="50"/>
      <c r="AE1104" s="11"/>
      <c r="AF1104" s="50"/>
      <c r="AG1104" s="50"/>
      <c r="AH1104" s="50"/>
      <c r="AI1104" s="11"/>
      <c r="AJ1104" s="50"/>
      <c r="AK1104" s="50"/>
      <c r="AL1104" s="50"/>
      <c r="AM1104" s="11"/>
      <c r="AN1104" s="50"/>
      <c r="AO1104" s="50"/>
      <c r="AP1104" s="50"/>
      <c r="AQ1104" s="11"/>
      <c r="AR1104" s="50"/>
      <c r="AS1104" s="50"/>
      <c r="AT1104" s="50"/>
      <c r="AU1104" s="11"/>
      <c r="AV1104" s="50"/>
      <c r="AW1104" s="50"/>
      <c r="AX1104" s="50"/>
      <c r="AY1104" s="50"/>
      <c r="AZ1104" s="50"/>
      <c r="BA1104" s="50"/>
      <c r="BB1104" s="50"/>
      <c r="BC1104" s="50"/>
      <c r="BD1104" s="50"/>
      <c r="BE1104" s="20"/>
      <c r="BF1104" s="518"/>
      <c r="BG1104" s="484"/>
      <c r="BH1104" s="484"/>
      <c r="BI1104" s="527"/>
      <c r="BJ1104" s="484"/>
      <c r="BK1104" s="484"/>
      <c r="BL1104" s="484"/>
      <c r="BM1104" s="484"/>
    </row>
    <row r="1105" spans="1:65" s="22" customFormat="1" x14ac:dyDescent="0.25">
      <c r="A1105" s="20"/>
      <c r="B1105" s="515"/>
      <c r="C1105" s="11"/>
      <c r="D1105" s="11"/>
      <c r="E1105" s="11"/>
      <c r="F1105" s="21"/>
      <c r="G1105" s="11"/>
      <c r="H1105" s="50"/>
      <c r="I1105" s="50"/>
      <c r="J1105" s="50"/>
      <c r="K1105" s="11"/>
      <c r="L1105" s="50"/>
      <c r="M1105" s="50"/>
      <c r="N1105" s="50"/>
      <c r="O1105" s="50"/>
      <c r="P1105" s="50"/>
      <c r="Q1105" s="11"/>
      <c r="R1105" s="50"/>
      <c r="S1105" s="50"/>
      <c r="T1105" s="50"/>
      <c r="U1105" s="11"/>
      <c r="V1105" s="50"/>
      <c r="W1105" s="50"/>
      <c r="X1105" s="50"/>
      <c r="Y1105" s="50"/>
      <c r="Z1105" s="50"/>
      <c r="AA1105" s="11"/>
      <c r="AB1105" s="50"/>
      <c r="AC1105" s="50"/>
      <c r="AD1105" s="50"/>
      <c r="AE1105" s="11"/>
      <c r="AF1105" s="50"/>
      <c r="AG1105" s="50"/>
      <c r="AH1105" s="50"/>
      <c r="AI1105" s="11"/>
      <c r="AJ1105" s="50"/>
      <c r="AK1105" s="50"/>
      <c r="AL1105" s="50"/>
      <c r="AM1105" s="11"/>
      <c r="AN1105" s="50"/>
      <c r="AO1105" s="50"/>
      <c r="AP1105" s="50"/>
      <c r="AQ1105" s="11"/>
      <c r="AR1105" s="50"/>
      <c r="AS1105" s="50"/>
      <c r="AT1105" s="50"/>
      <c r="AU1105" s="11"/>
      <c r="AV1105" s="50"/>
      <c r="AW1105" s="50"/>
      <c r="AX1105" s="50"/>
      <c r="AY1105" s="50"/>
      <c r="AZ1105" s="50"/>
      <c r="BA1105" s="50"/>
      <c r="BB1105" s="50"/>
      <c r="BC1105" s="50"/>
      <c r="BD1105" s="50"/>
      <c r="BE1105" s="20"/>
      <c r="BF1105" s="518"/>
      <c r="BG1105" s="484"/>
      <c r="BH1105" s="484"/>
      <c r="BI1105" s="527"/>
      <c r="BJ1105" s="484"/>
      <c r="BK1105" s="484"/>
      <c r="BL1105" s="484"/>
      <c r="BM1105" s="484"/>
    </row>
    <row r="1106" spans="1:65" s="22" customFormat="1" x14ac:dyDescent="0.25">
      <c r="A1106" s="20"/>
      <c r="B1106" s="515"/>
      <c r="C1106" s="11"/>
      <c r="D1106" s="11"/>
      <c r="E1106" s="11"/>
      <c r="F1106" s="21"/>
      <c r="G1106" s="11"/>
      <c r="H1106" s="50"/>
      <c r="I1106" s="50"/>
      <c r="J1106" s="50"/>
      <c r="K1106" s="11"/>
      <c r="L1106" s="50"/>
      <c r="M1106" s="50"/>
      <c r="N1106" s="50"/>
      <c r="O1106" s="50"/>
      <c r="P1106" s="50"/>
      <c r="Q1106" s="11"/>
      <c r="R1106" s="50"/>
      <c r="S1106" s="50"/>
      <c r="T1106" s="50"/>
      <c r="U1106" s="11"/>
      <c r="V1106" s="50"/>
      <c r="W1106" s="50"/>
      <c r="X1106" s="50"/>
      <c r="Y1106" s="50"/>
      <c r="Z1106" s="50"/>
      <c r="AA1106" s="11"/>
      <c r="AB1106" s="50"/>
      <c r="AC1106" s="50"/>
      <c r="AD1106" s="50"/>
      <c r="AE1106" s="11"/>
      <c r="AF1106" s="50"/>
      <c r="AG1106" s="50"/>
      <c r="AH1106" s="50"/>
      <c r="AI1106" s="11"/>
      <c r="AJ1106" s="50"/>
      <c r="AK1106" s="50"/>
      <c r="AL1106" s="50"/>
      <c r="AM1106" s="11"/>
      <c r="AN1106" s="50"/>
      <c r="AO1106" s="50"/>
      <c r="AP1106" s="50"/>
      <c r="AQ1106" s="11"/>
      <c r="AR1106" s="50"/>
      <c r="AS1106" s="50"/>
      <c r="AT1106" s="50"/>
      <c r="AU1106" s="11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20"/>
      <c r="BF1106" s="518"/>
      <c r="BG1106" s="484"/>
      <c r="BH1106" s="484"/>
      <c r="BI1106" s="527"/>
      <c r="BJ1106" s="484"/>
      <c r="BK1106" s="484"/>
      <c r="BL1106" s="484"/>
      <c r="BM1106" s="484"/>
    </row>
    <row r="1107" spans="1:65" s="22" customFormat="1" x14ac:dyDescent="0.25">
      <c r="A1107" s="20"/>
      <c r="B1107" s="515"/>
      <c r="C1107" s="11"/>
      <c r="D1107" s="11"/>
      <c r="E1107" s="11"/>
      <c r="F1107" s="21"/>
      <c r="G1107" s="11"/>
      <c r="H1107" s="50"/>
      <c r="I1107" s="50"/>
      <c r="J1107" s="50"/>
      <c r="K1107" s="11"/>
      <c r="L1107" s="50"/>
      <c r="M1107" s="50"/>
      <c r="N1107" s="50"/>
      <c r="O1107" s="50"/>
      <c r="P1107" s="50"/>
      <c r="Q1107" s="11"/>
      <c r="R1107" s="50"/>
      <c r="S1107" s="50"/>
      <c r="T1107" s="50"/>
      <c r="U1107" s="11"/>
      <c r="V1107" s="50"/>
      <c r="W1107" s="50"/>
      <c r="X1107" s="50"/>
      <c r="Y1107" s="50"/>
      <c r="Z1107" s="50"/>
      <c r="AA1107" s="11"/>
      <c r="AB1107" s="50"/>
      <c r="AC1107" s="50"/>
      <c r="AD1107" s="50"/>
      <c r="AE1107" s="11"/>
      <c r="AF1107" s="50"/>
      <c r="AG1107" s="50"/>
      <c r="AH1107" s="50"/>
      <c r="AI1107" s="11"/>
      <c r="AJ1107" s="50"/>
      <c r="AK1107" s="50"/>
      <c r="AL1107" s="50"/>
      <c r="AM1107" s="11"/>
      <c r="AN1107" s="50"/>
      <c r="AO1107" s="50"/>
      <c r="AP1107" s="50"/>
      <c r="AQ1107" s="11"/>
      <c r="AR1107" s="50"/>
      <c r="AS1107" s="50"/>
      <c r="AT1107" s="50"/>
      <c r="AU1107" s="11"/>
      <c r="AV1107" s="50"/>
      <c r="AW1107" s="50"/>
      <c r="AX1107" s="50"/>
      <c r="AY1107" s="50"/>
      <c r="AZ1107" s="50"/>
      <c r="BA1107" s="50"/>
      <c r="BB1107" s="50"/>
      <c r="BC1107" s="50"/>
      <c r="BD1107" s="50"/>
      <c r="BE1107" s="20"/>
      <c r="BF1107" s="518"/>
      <c r="BG1107" s="484"/>
      <c r="BH1107" s="484"/>
      <c r="BI1107" s="527"/>
      <c r="BJ1107" s="484"/>
      <c r="BK1107" s="484"/>
      <c r="BL1107" s="484"/>
      <c r="BM1107" s="484"/>
    </row>
    <row r="1108" spans="1:65" s="22" customFormat="1" x14ac:dyDescent="0.25">
      <c r="A1108" s="20"/>
      <c r="B1108" s="515"/>
      <c r="C1108" s="11"/>
      <c r="D1108" s="11"/>
      <c r="E1108" s="11"/>
      <c r="F1108" s="21"/>
      <c r="G1108" s="11"/>
      <c r="H1108" s="50"/>
      <c r="I1108" s="50"/>
      <c r="J1108" s="50"/>
      <c r="K1108" s="11"/>
      <c r="L1108" s="50"/>
      <c r="M1108" s="50"/>
      <c r="N1108" s="50"/>
      <c r="O1108" s="50"/>
      <c r="P1108" s="50"/>
      <c r="Q1108" s="11"/>
      <c r="R1108" s="50"/>
      <c r="S1108" s="50"/>
      <c r="T1108" s="50"/>
      <c r="U1108" s="11"/>
      <c r="V1108" s="50"/>
      <c r="W1108" s="50"/>
      <c r="X1108" s="50"/>
      <c r="Y1108" s="50"/>
      <c r="Z1108" s="50"/>
      <c r="AA1108" s="11"/>
      <c r="AB1108" s="50"/>
      <c r="AC1108" s="50"/>
      <c r="AD1108" s="50"/>
      <c r="AE1108" s="11"/>
      <c r="AF1108" s="50"/>
      <c r="AG1108" s="50"/>
      <c r="AH1108" s="50"/>
      <c r="AI1108" s="11"/>
      <c r="AJ1108" s="50"/>
      <c r="AK1108" s="50"/>
      <c r="AL1108" s="50"/>
      <c r="AM1108" s="11"/>
      <c r="AN1108" s="50"/>
      <c r="AO1108" s="50"/>
      <c r="AP1108" s="50"/>
      <c r="AQ1108" s="11"/>
      <c r="AR1108" s="50"/>
      <c r="AS1108" s="50"/>
      <c r="AT1108" s="50"/>
      <c r="AU1108" s="11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20"/>
      <c r="BF1108" s="518"/>
      <c r="BG1108" s="484"/>
      <c r="BH1108" s="484"/>
      <c r="BI1108" s="527"/>
      <c r="BJ1108" s="484"/>
      <c r="BK1108" s="484"/>
      <c r="BL1108" s="484"/>
      <c r="BM1108" s="484"/>
    </row>
    <row r="1109" spans="1:65" s="22" customFormat="1" x14ac:dyDescent="0.25">
      <c r="A1109" s="20"/>
      <c r="B1109" s="515"/>
      <c r="C1109" s="11"/>
      <c r="D1109" s="11"/>
      <c r="E1109" s="11"/>
      <c r="F1109" s="21"/>
      <c r="G1109" s="11"/>
      <c r="H1109" s="50"/>
      <c r="I1109" s="50"/>
      <c r="J1109" s="50"/>
      <c r="K1109" s="11"/>
      <c r="L1109" s="50"/>
      <c r="M1109" s="50"/>
      <c r="N1109" s="50"/>
      <c r="O1109" s="50"/>
      <c r="P1109" s="50"/>
      <c r="Q1109" s="11"/>
      <c r="R1109" s="50"/>
      <c r="S1109" s="50"/>
      <c r="T1109" s="50"/>
      <c r="U1109" s="11"/>
      <c r="V1109" s="50"/>
      <c r="W1109" s="50"/>
      <c r="X1109" s="50"/>
      <c r="Y1109" s="50"/>
      <c r="Z1109" s="50"/>
      <c r="AA1109" s="11"/>
      <c r="AB1109" s="50"/>
      <c r="AC1109" s="50"/>
      <c r="AD1109" s="50"/>
      <c r="AE1109" s="11"/>
      <c r="AF1109" s="50"/>
      <c r="AG1109" s="50"/>
      <c r="AH1109" s="50"/>
      <c r="AI1109" s="11"/>
      <c r="AJ1109" s="50"/>
      <c r="AK1109" s="50"/>
      <c r="AL1109" s="50"/>
      <c r="AM1109" s="11"/>
      <c r="AN1109" s="50"/>
      <c r="AO1109" s="50"/>
      <c r="AP1109" s="50"/>
      <c r="AQ1109" s="11"/>
      <c r="AR1109" s="50"/>
      <c r="AS1109" s="50"/>
      <c r="AT1109" s="50"/>
      <c r="AU1109" s="11"/>
      <c r="AV1109" s="50"/>
      <c r="AW1109" s="50"/>
      <c r="AX1109" s="50"/>
      <c r="AY1109" s="50"/>
      <c r="AZ1109" s="50"/>
      <c r="BA1109" s="50"/>
      <c r="BB1109" s="50"/>
      <c r="BC1109" s="50"/>
      <c r="BD1109" s="50"/>
      <c r="BE1109" s="20"/>
      <c r="BF1109" s="518"/>
      <c r="BG1109" s="484"/>
      <c r="BH1109" s="484"/>
      <c r="BI1109" s="527"/>
      <c r="BJ1109" s="484"/>
      <c r="BK1109" s="484"/>
      <c r="BL1109" s="484"/>
      <c r="BM1109" s="484"/>
    </row>
    <row r="1110" spans="1:65" s="22" customFormat="1" x14ac:dyDescent="0.25">
      <c r="A1110" s="20"/>
      <c r="B1110" s="515"/>
      <c r="C1110" s="11"/>
      <c r="D1110" s="11"/>
      <c r="E1110" s="11"/>
      <c r="F1110" s="21"/>
      <c r="G1110" s="11"/>
      <c r="H1110" s="50"/>
      <c r="I1110" s="50"/>
      <c r="J1110" s="50"/>
      <c r="K1110" s="11"/>
      <c r="L1110" s="50"/>
      <c r="M1110" s="50"/>
      <c r="N1110" s="50"/>
      <c r="O1110" s="50"/>
      <c r="P1110" s="50"/>
      <c r="Q1110" s="11"/>
      <c r="R1110" s="50"/>
      <c r="S1110" s="50"/>
      <c r="T1110" s="50"/>
      <c r="U1110" s="11"/>
      <c r="V1110" s="50"/>
      <c r="W1110" s="50"/>
      <c r="X1110" s="50"/>
      <c r="Y1110" s="50"/>
      <c r="Z1110" s="50"/>
      <c r="AA1110" s="11"/>
      <c r="AB1110" s="50"/>
      <c r="AC1110" s="50"/>
      <c r="AD1110" s="50"/>
      <c r="AE1110" s="11"/>
      <c r="AF1110" s="50"/>
      <c r="AG1110" s="50"/>
      <c r="AH1110" s="50"/>
      <c r="AI1110" s="11"/>
      <c r="AJ1110" s="50"/>
      <c r="AK1110" s="50"/>
      <c r="AL1110" s="50"/>
      <c r="AM1110" s="11"/>
      <c r="AN1110" s="50"/>
      <c r="AO1110" s="50"/>
      <c r="AP1110" s="50"/>
      <c r="AQ1110" s="11"/>
      <c r="AR1110" s="50"/>
      <c r="AS1110" s="50"/>
      <c r="AT1110" s="50"/>
      <c r="AU1110" s="11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20"/>
      <c r="BF1110" s="518"/>
      <c r="BG1110" s="484"/>
      <c r="BH1110" s="484"/>
      <c r="BI1110" s="527"/>
      <c r="BJ1110" s="484"/>
      <c r="BK1110" s="484"/>
      <c r="BL1110" s="484"/>
      <c r="BM1110" s="484"/>
    </row>
    <row r="1111" spans="1:65" s="22" customFormat="1" x14ac:dyDescent="0.25">
      <c r="A1111" s="20"/>
      <c r="B1111" s="515"/>
      <c r="C1111" s="11"/>
      <c r="D1111" s="11"/>
      <c r="E1111" s="11"/>
      <c r="F1111" s="21"/>
      <c r="G1111" s="11"/>
      <c r="H1111" s="50"/>
      <c r="I1111" s="50"/>
      <c r="J1111" s="50"/>
      <c r="K1111" s="11"/>
      <c r="L1111" s="50"/>
      <c r="M1111" s="50"/>
      <c r="N1111" s="50"/>
      <c r="O1111" s="50"/>
      <c r="P1111" s="50"/>
      <c r="Q1111" s="11"/>
      <c r="R1111" s="50"/>
      <c r="S1111" s="50"/>
      <c r="T1111" s="50"/>
      <c r="U1111" s="11"/>
      <c r="V1111" s="50"/>
      <c r="W1111" s="50"/>
      <c r="X1111" s="50"/>
      <c r="Y1111" s="50"/>
      <c r="Z1111" s="50"/>
      <c r="AA1111" s="11"/>
      <c r="AB1111" s="50"/>
      <c r="AC1111" s="50"/>
      <c r="AD1111" s="50"/>
      <c r="AE1111" s="11"/>
      <c r="AF1111" s="50"/>
      <c r="AG1111" s="50"/>
      <c r="AH1111" s="50"/>
      <c r="AI1111" s="11"/>
      <c r="AJ1111" s="50"/>
      <c r="AK1111" s="50"/>
      <c r="AL1111" s="50"/>
      <c r="AM1111" s="11"/>
      <c r="AN1111" s="50"/>
      <c r="AO1111" s="50"/>
      <c r="AP1111" s="50"/>
      <c r="AQ1111" s="11"/>
      <c r="AR1111" s="50"/>
      <c r="AS1111" s="50"/>
      <c r="AT1111" s="50"/>
      <c r="AU1111" s="11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20"/>
      <c r="BF1111" s="518"/>
      <c r="BG1111" s="484"/>
      <c r="BH1111" s="484"/>
      <c r="BI1111" s="527"/>
      <c r="BJ1111" s="484"/>
      <c r="BK1111" s="484"/>
      <c r="BL1111" s="484"/>
      <c r="BM1111" s="484"/>
    </row>
    <row r="1112" spans="1:65" s="22" customFormat="1" x14ac:dyDescent="0.25">
      <c r="A1112" s="20"/>
      <c r="B1112" s="515"/>
      <c r="C1112" s="11"/>
      <c r="D1112" s="11"/>
      <c r="E1112" s="11"/>
      <c r="F1112" s="21"/>
      <c r="G1112" s="11"/>
      <c r="H1112" s="50"/>
      <c r="I1112" s="50"/>
      <c r="J1112" s="50"/>
      <c r="K1112" s="11"/>
      <c r="L1112" s="50"/>
      <c r="M1112" s="50"/>
      <c r="N1112" s="50"/>
      <c r="O1112" s="50"/>
      <c r="P1112" s="50"/>
      <c r="Q1112" s="11"/>
      <c r="R1112" s="50"/>
      <c r="S1112" s="50"/>
      <c r="T1112" s="50"/>
      <c r="U1112" s="11"/>
      <c r="V1112" s="50"/>
      <c r="W1112" s="50"/>
      <c r="X1112" s="50"/>
      <c r="Y1112" s="50"/>
      <c r="Z1112" s="50"/>
      <c r="AA1112" s="11"/>
      <c r="AB1112" s="50"/>
      <c r="AC1112" s="50"/>
      <c r="AD1112" s="50"/>
      <c r="AE1112" s="11"/>
      <c r="AF1112" s="50"/>
      <c r="AG1112" s="50"/>
      <c r="AH1112" s="50"/>
      <c r="AI1112" s="11"/>
      <c r="AJ1112" s="50"/>
      <c r="AK1112" s="50"/>
      <c r="AL1112" s="50"/>
      <c r="AM1112" s="11"/>
      <c r="AN1112" s="50"/>
      <c r="AO1112" s="50"/>
      <c r="AP1112" s="50"/>
      <c r="AQ1112" s="11"/>
      <c r="AR1112" s="50"/>
      <c r="AS1112" s="50"/>
      <c r="AT1112" s="50"/>
      <c r="AU1112" s="11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20"/>
      <c r="BF1112" s="518"/>
      <c r="BG1112" s="484"/>
      <c r="BH1112" s="484"/>
      <c r="BI1112" s="527"/>
      <c r="BJ1112" s="484"/>
      <c r="BK1112" s="484"/>
      <c r="BL1112" s="484"/>
      <c r="BM1112" s="484"/>
    </row>
    <row r="1113" spans="1:65" s="22" customFormat="1" x14ac:dyDescent="0.25">
      <c r="A1113" s="20"/>
      <c r="B1113" s="515"/>
      <c r="C1113" s="11"/>
      <c r="D1113" s="11"/>
      <c r="E1113" s="11"/>
      <c r="F1113" s="21"/>
      <c r="G1113" s="11"/>
      <c r="H1113" s="50"/>
      <c r="I1113" s="50"/>
      <c r="J1113" s="50"/>
      <c r="K1113" s="11"/>
      <c r="L1113" s="50"/>
      <c r="M1113" s="50"/>
      <c r="N1113" s="50"/>
      <c r="O1113" s="50"/>
      <c r="P1113" s="50"/>
      <c r="Q1113" s="11"/>
      <c r="R1113" s="50"/>
      <c r="S1113" s="50"/>
      <c r="T1113" s="50"/>
      <c r="U1113" s="11"/>
      <c r="V1113" s="50"/>
      <c r="W1113" s="50"/>
      <c r="X1113" s="50"/>
      <c r="Y1113" s="50"/>
      <c r="Z1113" s="50"/>
      <c r="AA1113" s="11"/>
      <c r="AB1113" s="50"/>
      <c r="AC1113" s="50"/>
      <c r="AD1113" s="50"/>
      <c r="AE1113" s="11"/>
      <c r="AF1113" s="50"/>
      <c r="AG1113" s="50"/>
      <c r="AH1113" s="50"/>
      <c r="AI1113" s="11"/>
      <c r="AJ1113" s="50"/>
      <c r="AK1113" s="50"/>
      <c r="AL1113" s="50"/>
      <c r="AM1113" s="11"/>
      <c r="AN1113" s="50"/>
      <c r="AO1113" s="50"/>
      <c r="AP1113" s="50"/>
      <c r="AQ1113" s="11"/>
      <c r="AR1113" s="50"/>
      <c r="AS1113" s="50"/>
      <c r="AT1113" s="50"/>
      <c r="AU1113" s="11"/>
      <c r="AV1113" s="50"/>
      <c r="AW1113" s="50"/>
      <c r="AX1113" s="50"/>
      <c r="AY1113" s="50"/>
      <c r="AZ1113" s="50"/>
      <c r="BA1113" s="50"/>
      <c r="BB1113" s="50"/>
      <c r="BC1113" s="50"/>
      <c r="BD1113" s="50"/>
      <c r="BE1113" s="20"/>
      <c r="BF1113" s="518"/>
      <c r="BG1113" s="484"/>
      <c r="BH1113" s="484"/>
      <c r="BI1113" s="527"/>
      <c r="BJ1113" s="484"/>
      <c r="BK1113" s="484"/>
      <c r="BL1113" s="484"/>
      <c r="BM1113" s="484"/>
    </row>
    <row r="1114" spans="1:65" s="22" customFormat="1" x14ac:dyDescent="0.25">
      <c r="A1114" s="20"/>
      <c r="B1114" s="515"/>
      <c r="C1114" s="11"/>
      <c r="D1114" s="11"/>
      <c r="E1114" s="11"/>
      <c r="F1114" s="21"/>
      <c r="G1114" s="11"/>
      <c r="H1114" s="50"/>
      <c r="I1114" s="50"/>
      <c r="J1114" s="50"/>
      <c r="K1114" s="11"/>
      <c r="L1114" s="50"/>
      <c r="M1114" s="50"/>
      <c r="N1114" s="50"/>
      <c r="O1114" s="50"/>
      <c r="P1114" s="50"/>
      <c r="Q1114" s="11"/>
      <c r="R1114" s="50"/>
      <c r="S1114" s="50"/>
      <c r="T1114" s="50"/>
      <c r="U1114" s="11"/>
      <c r="V1114" s="50"/>
      <c r="W1114" s="50"/>
      <c r="X1114" s="50"/>
      <c r="Y1114" s="50"/>
      <c r="Z1114" s="50"/>
      <c r="AA1114" s="11"/>
      <c r="AB1114" s="50"/>
      <c r="AC1114" s="50"/>
      <c r="AD1114" s="50"/>
      <c r="AE1114" s="11"/>
      <c r="AF1114" s="50"/>
      <c r="AG1114" s="50"/>
      <c r="AH1114" s="50"/>
      <c r="AI1114" s="11"/>
      <c r="AJ1114" s="50"/>
      <c r="AK1114" s="50"/>
      <c r="AL1114" s="50"/>
      <c r="AM1114" s="11"/>
      <c r="AN1114" s="50"/>
      <c r="AO1114" s="50"/>
      <c r="AP1114" s="50"/>
      <c r="AQ1114" s="11"/>
      <c r="AR1114" s="50"/>
      <c r="AS1114" s="50"/>
      <c r="AT1114" s="50"/>
      <c r="AU1114" s="11"/>
      <c r="AV1114" s="50"/>
      <c r="AW1114" s="50"/>
      <c r="AX1114" s="50"/>
      <c r="AY1114" s="50"/>
      <c r="AZ1114" s="50"/>
      <c r="BA1114" s="50"/>
      <c r="BB1114" s="50"/>
      <c r="BC1114" s="50"/>
      <c r="BD1114" s="50"/>
      <c r="BE1114" s="20"/>
      <c r="BF1114" s="518"/>
      <c r="BG1114" s="484"/>
      <c r="BH1114" s="484"/>
      <c r="BI1114" s="527"/>
      <c r="BJ1114" s="484"/>
      <c r="BK1114" s="484"/>
      <c r="BL1114" s="484"/>
      <c r="BM1114" s="484"/>
    </row>
    <row r="1115" spans="1:65" s="22" customFormat="1" x14ac:dyDescent="0.25">
      <c r="A1115" s="20"/>
      <c r="B1115" s="515"/>
      <c r="C1115" s="11"/>
      <c r="D1115" s="11"/>
      <c r="E1115" s="11"/>
      <c r="F1115" s="21"/>
      <c r="G1115" s="11"/>
      <c r="H1115" s="50"/>
      <c r="I1115" s="50"/>
      <c r="J1115" s="50"/>
      <c r="K1115" s="11"/>
      <c r="L1115" s="50"/>
      <c r="M1115" s="50"/>
      <c r="N1115" s="50"/>
      <c r="O1115" s="50"/>
      <c r="P1115" s="50"/>
      <c r="Q1115" s="11"/>
      <c r="R1115" s="50"/>
      <c r="S1115" s="50"/>
      <c r="T1115" s="50"/>
      <c r="U1115" s="11"/>
      <c r="V1115" s="50"/>
      <c r="W1115" s="50"/>
      <c r="X1115" s="50"/>
      <c r="Y1115" s="50"/>
      <c r="Z1115" s="50"/>
      <c r="AA1115" s="11"/>
      <c r="AB1115" s="50"/>
      <c r="AC1115" s="50"/>
      <c r="AD1115" s="50"/>
      <c r="AE1115" s="11"/>
      <c r="AF1115" s="50"/>
      <c r="AG1115" s="50"/>
      <c r="AH1115" s="50"/>
      <c r="AI1115" s="11"/>
      <c r="AJ1115" s="50"/>
      <c r="AK1115" s="50"/>
      <c r="AL1115" s="50"/>
      <c r="AM1115" s="11"/>
      <c r="AN1115" s="50"/>
      <c r="AO1115" s="50"/>
      <c r="AP1115" s="50"/>
      <c r="AQ1115" s="11"/>
      <c r="AR1115" s="50"/>
      <c r="AS1115" s="50"/>
      <c r="AT1115" s="50"/>
      <c r="AU1115" s="11"/>
      <c r="AV1115" s="50"/>
      <c r="AW1115" s="50"/>
      <c r="AX1115" s="50"/>
      <c r="AY1115" s="50"/>
      <c r="AZ1115" s="50"/>
      <c r="BA1115" s="50"/>
      <c r="BB1115" s="50"/>
      <c r="BC1115" s="50"/>
      <c r="BD1115" s="50"/>
      <c r="BE1115" s="20"/>
      <c r="BF1115" s="518"/>
      <c r="BG1115" s="484"/>
      <c r="BH1115" s="484"/>
      <c r="BI1115" s="527"/>
      <c r="BJ1115" s="484"/>
      <c r="BK1115" s="484"/>
      <c r="BL1115" s="484"/>
      <c r="BM1115" s="484"/>
    </row>
    <row r="1116" spans="1:65" s="22" customFormat="1" x14ac:dyDescent="0.25">
      <c r="A1116" s="20"/>
      <c r="B1116" s="515"/>
      <c r="C1116" s="11"/>
      <c r="D1116" s="11"/>
      <c r="E1116" s="11"/>
      <c r="F1116" s="21"/>
      <c r="G1116" s="11"/>
      <c r="H1116" s="50"/>
      <c r="I1116" s="50"/>
      <c r="J1116" s="50"/>
      <c r="K1116" s="11"/>
      <c r="L1116" s="50"/>
      <c r="M1116" s="50"/>
      <c r="N1116" s="50"/>
      <c r="O1116" s="50"/>
      <c r="P1116" s="50"/>
      <c r="Q1116" s="11"/>
      <c r="R1116" s="50"/>
      <c r="S1116" s="50"/>
      <c r="T1116" s="50"/>
      <c r="U1116" s="11"/>
      <c r="V1116" s="50"/>
      <c r="W1116" s="50"/>
      <c r="X1116" s="50"/>
      <c r="Y1116" s="50"/>
      <c r="Z1116" s="50"/>
      <c r="AA1116" s="11"/>
      <c r="AB1116" s="50"/>
      <c r="AC1116" s="50"/>
      <c r="AD1116" s="50"/>
      <c r="AE1116" s="11"/>
      <c r="AF1116" s="50"/>
      <c r="AG1116" s="50"/>
      <c r="AH1116" s="50"/>
      <c r="AI1116" s="11"/>
      <c r="AJ1116" s="50"/>
      <c r="AK1116" s="50"/>
      <c r="AL1116" s="50"/>
      <c r="AM1116" s="11"/>
      <c r="AN1116" s="50"/>
      <c r="AO1116" s="50"/>
      <c r="AP1116" s="50"/>
      <c r="AQ1116" s="11"/>
      <c r="AR1116" s="50"/>
      <c r="AS1116" s="50"/>
      <c r="AT1116" s="50"/>
      <c r="AU1116" s="11"/>
      <c r="AV1116" s="50"/>
      <c r="AW1116" s="50"/>
      <c r="AX1116" s="50"/>
      <c r="AY1116" s="50"/>
      <c r="AZ1116" s="50"/>
      <c r="BA1116" s="50"/>
      <c r="BB1116" s="50"/>
      <c r="BC1116" s="50"/>
      <c r="BD1116" s="50"/>
      <c r="BE1116" s="20"/>
      <c r="BF1116" s="518"/>
      <c r="BG1116" s="484"/>
      <c r="BH1116" s="484"/>
      <c r="BI1116" s="527"/>
      <c r="BJ1116" s="484"/>
      <c r="BK1116" s="484"/>
      <c r="BL1116" s="484"/>
      <c r="BM1116" s="484"/>
    </row>
    <row r="1117" spans="1:65" s="22" customFormat="1" x14ac:dyDescent="0.25">
      <c r="A1117" s="20"/>
      <c r="B1117" s="515"/>
      <c r="C1117" s="11"/>
      <c r="D1117" s="11"/>
      <c r="E1117" s="11"/>
      <c r="F1117" s="21"/>
      <c r="G1117" s="11"/>
      <c r="H1117" s="50"/>
      <c r="I1117" s="50"/>
      <c r="J1117" s="50"/>
      <c r="K1117" s="11"/>
      <c r="L1117" s="50"/>
      <c r="M1117" s="50"/>
      <c r="N1117" s="50"/>
      <c r="O1117" s="50"/>
      <c r="P1117" s="50"/>
      <c r="Q1117" s="11"/>
      <c r="R1117" s="50"/>
      <c r="S1117" s="50"/>
      <c r="T1117" s="50"/>
      <c r="U1117" s="11"/>
      <c r="V1117" s="50"/>
      <c r="W1117" s="50"/>
      <c r="X1117" s="50"/>
      <c r="Y1117" s="50"/>
      <c r="Z1117" s="50"/>
      <c r="AA1117" s="11"/>
      <c r="AB1117" s="50"/>
      <c r="AC1117" s="50"/>
      <c r="AD1117" s="50"/>
      <c r="AE1117" s="11"/>
      <c r="AF1117" s="50"/>
      <c r="AG1117" s="50"/>
      <c r="AH1117" s="50"/>
      <c r="AI1117" s="11"/>
      <c r="AJ1117" s="50"/>
      <c r="AK1117" s="50"/>
      <c r="AL1117" s="50"/>
      <c r="AM1117" s="11"/>
      <c r="AN1117" s="50"/>
      <c r="AO1117" s="50"/>
      <c r="AP1117" s="50"/>
      <c r="AQ1117" s="11"/>
      <c r="AR1117" s="50"/>
      <c r="AS1117" s="50"/>
      <c r="AT1117" s="50"/>
      <c r="AU1117" s="11"/>
      <c r="AV1117" s="50"/>
      <c r="AW1117" s="50"/>
      <c r="AX1117" s="50"/>
      <c r="AY1117" s="50"/>
      <c r="AZ1117" s="50"/>
      <c r="BA1117" s="50"/>
      <c r="BB1117" s="50"/>
      <c r="BC1117" s="50"/>
      <c r="BD1117" s="50"/>
      <c r="BE1117" s="20"/>
      <c r="BF1117" s="518"/>
      <c r="BG1117" s="484"/>
      <c r="BH1117" s="484"/>
      <c r="BI1117" s="527"/>
      <c r="BJ1117" s="484"/>
      <c r="BK1117" s="484"/>
      <c r="BL1117" s="484"/>
      <c r="BM1117" s="484"/>
    </row>
    <row r="1118" spans="1:65" s="22" customFormat="1" x14ac:dyDescent="0.25">
      <c r="A1118" s="20"/>
      <c r="B1118" s="515"/>
      <c r="C1118" s="11"/>
      <c r="D1118" s="11"/>
      <c r="E1118" s="11"/>
      <c r="F1118" s="21"/>
      <c r="G1118" s="11"/>
      <c r="H1118" s="50"/>
      <c r="I1118" s="50"/>
      <c r="J1118" s="50"/>
      <c r="K1118" s="11"/>
      <c r="L1118" s="50"/>
      <c r="M1118" s="50"/>
      <c r="N1118" s="50"/>
      <c r="O1118" s="50"/>
      <c r="P1118" s="50"/>
      <c r="Q1118" s="11"/>
      <c r="R1118" s="50"/>
      <c r="S1118" s="50"/>
      <c r="T1118" s="50"/>
      <c r="U1118" s="11"/>
      <c r="V1118" s="50"/>
      <c r="W1118" s="50"/>
      <c r="X1118" s="50"/>
      <c r="Y1118" s="50"/>
      <c r="Z1118" s="50"/>
      <c r="AA1118" s="11"/>
      <c r="AB1118" s="50"/>
      <c r="AC1118" s="50"/>
      <c r="AD1118" s="50"/>
      <c r="AE1118" s="11"/>
      <c r="AF1118" s="50"/>
      <c r="AG1118" s="50"/>
      <c r="AH1118" s="50"/>
      <c r="AI1118" s="11"/>
      <c r="AJ1118" s="50"/>
      <c r="AK1118" s="50"/>
      <c r="AL1118" s="50"/>
      <c r="AM1118" s="11"/>
      <c r="AN1118" s="50"/>
      <c r="AO1118" s="50"/>
      <c r="AP1118" s="50"/>
      <c r="AQ1118" s="11"/>
      <c r="AR1118" s="50"/>
      <c r="AS1118" s="50"/>
      <c r="AT1118" s="50"/>
      <c r="AU1118" s="11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20"/>
      <c r="BF1118" s="518"/>
      <c r="BG1118" s="484"/>
      <c r="BH1118" s="484"/>
      <c r="BI1118" s="527"/>
      <c r="BJ1118" s="484"/>
      <c r="BK1118" s="484"/>
      <c r="BL1118" s="484"/>
      <c r="BM1118" s="484"/>
    </row>
    <row r="1119" spans="1:65" s="22" customFormat="1" x14ac:dyDescent="0.25">
      <c r="A1119" s="20"/>
      <c r="B1119" s="515"/>
      <c r="C1119" s="11"/>
      <c r="D1119" s="11"/>
      <c r="E1119" s="11"/>
      <c r="F1119" s="21"/>
      <c r="G1119" s="11"/>
      <c r="H1119" s="50"/>
      <c r="I1119" s="50"/>
      <c r="J1119" s="50"/>
      <c r="K1119" s="11"/>
      <c r="L1119" s="50"/>
      <c r="M1119" s="50"/>
      <c r="N1119" s="50"/>
      <c r="O1119" s="50"/>
      <c r="P1119" s="50"/>
      <c r="Q1119" s="11"/>
      <c r="R1119" s="50"/>
      <c r="S1119" s="50"/>
      <c r="T1119" s="50"/>
      <c r="U1119" s="11"/>
      <c r="V1119" s="50"/>
      <c r="W1119" s="50"/>
      <c r="X1119" s="50"/>
      <c r="Y1119" s="50"/>
      <c r="Z1119" s="50"/>
      <c r="AA1119" s="11"/>
      <c r="AB1119" s="50"/>
      <c r="AC1119" s="50"/>
      <c r="AD1119" s="50"/>
      <c r="AE1119" s="11"/>
      <c r="AF1119" s="50"/>
      <c r="AG1119" s="50"/>
      <c r="AH1119" s="50"/>
      <c r="AI1119" s="11"/>
      <c r="AJ1119" s="50"/>
      <c r="AK1119" s="50"/>
      <c r="AL1119" s="50"/>
      <c r="AM1119" s="11"/>
      <c r="AN1119" s="50"/>
      <c r="AO1119" s="50"/>
      <c r="AP1119" s="50"/>
      <c r="AQ1119" s="11"/>
      <c r="AR1119" s="50"/>
      <c r="AS1119" s="50"/>
      <c r="AT1119" s="50"/>
      <c r="AU1119" s="11"/>
      <c r="AV1119" s="50"/>
      <c r="AW1119" s="50"/>
      <c r="AX1119" s="50"/>
      <c r="AY1119" s="50"/>
      <c r="AZ1119" s="50"/>
      <c r="BA1119" s="50"/>
      <c r="BB1119" s="50"/>
      <c r="BC1119" s="50"/>
      <c r="BD1119" s="50"/>
      <c r="BE1119" s="20"/>
      <c r="BF1119" s="518"/>
      <c r="BG1119" s="484"/>
      <c r="BH1119" s="484"/>
      <c r="BI1119" s="527"/>
      <c r="BJ1119" s="484"/>
      <c r="BK1119" s="484"/>
      <c r="BL1119" s="484"/>
      <c r="BM1119" s="484"/>
    </row>
    <row r="1120" spans="1:65" s="22" customFormat="1" x14ac:dyDescent="0.25">
      <c r="A1120" s="20"/>
      <c r="B1120" s="515"/>
      <c r="C1120" s="11"/>
      <c r="D1120" s="11"/>
      <c r="E1120" s="11"/>
      <c r="F1120" s="21"/>
      <c r="G1120" s="11"/>
      <c r="H1120" s="50"/>
      <c r="I1120" s="50"/>
      <c r="J1120" s="50"/>
      <c r="K1120" s="11"/>
      <c r="L1120" s="50"/>
      <c r="M1120" s="50"/>
      <c r="N1120" s="50"/>
      <c r="O1120" s="50"/>
      <c r="P1120" s="50"/>
      <c r="Q1120" s="11"/>
      <c r="R1120" s="50"/>
      <c r="S1120" s="50"/>
      <c r="T1120" s="50"/>
      <c r="U1120" s="11"/>
      <c r="V1120" s="50"/>
      <c r="W1120" s="50"/>
      <c r="X1120" s="50"/>
      <c r="Y1120" s="50"/>
      <c r="Z1120" s="50"/>
      <c r="AA1120" s="11"/>
      <c r="AB1120" s="50"/>
      <c r="AC1120" s="50"/>
      <c r="AD1120" s="50"/>
      <c r="AE1120" s="11"/>
      <c r="AF1120" s="50"/>
      <c r="AG1120" s="50"/>
      <c r="AH1120" s="50"/>
      <c r="AI1120" s="11"/>
      <c r="AJ1120" s="50"/>
      <c r="AK1120" s="50"/>
      <c r="AL1120" s="50"/>
      <c r="AM1120" s="11"/>
      <c r="AN1120" s="50"/>
      <c r="AO1120" s="50"/>
      <c r="AP1120" s="50"/>
      <c r="AQ1120" s="11"/>
      <c r="AR1120" s="50"/>
      <c r="AS1120" s="50"/>
      <c r="AT1120" s="50"/>
      <c r="AU1120" s="11"/>
      <c r="AV1120" s="50"/>
      <c r="AW1120" s="50"/>
      <c r="AX1120" s="50"/>
      <c r="AY1120" s="50"/>
      <c r="AZ1120" s="50"/>
      <c r="BA1120" s="50"/>
      <c r="BB1120" s="50"/>
      <c r="BC1120" s="50"/>
      <c r="BD1120" s="50"/>
      <c r="BE1120" s="20"/>
      <c r="BF1120" s="518"/>
      <c r="BG1120" s="484"/>
      <c r="BH1120" s="484"/>
      <c r="BI1120" s="527"/>
      <c r="BJ1120" s="484"/>
      <c r="BK1120" s="484"/>
      <c r="BL1120" s="484"/>
      <c r="BM1120" s="484"/>
    </row>
    <row r="1121" spans="1:65" s="22" customFormat="1" x14ac:dyDescent="0.25">
      <c r="A1121" s="20"/>
      <c r="B1121" s="515"/>
      <c r="C1121" s="11"/>
      <c r="D1121" s="11"/>
      <c r="E1121" s="11"/>
      <c r="F1121" s="21"/>
      <c r="G1121" s="11"/>
      <c r="H1121" s="50"/>
      <c r="I1121" s="50"/>
      <c r="J1121" s="50"/>
      <c r="K1121" s="11"/>
      <c r="L1121" s="50"/>
      <c r="M1121" s="50"/>
      <c r="N1121" s="50"/>
      <c r="O1121" s="50"/>
      <c r="P1121" s="50"/>
      <c r="Q1121" s="11"/>
      <c r="R1121" s="50"/>
      <c r="S1121" s="50"/>
      <c r="T1121" s="50"/>
      <c r="U1121" s="11"/>
      <c r="V1121" s="50"/>
      <c r="W1121" s="50"/>
      <c r="X1121" s="50"/>
      <c r="Y1121" s="50"/>
      <c r="Z1121" s="50"/>
      <c r="AA1121" s="11"/>
      <c r="AB1121" s="50"/>
      <c r="AC1121" s="50"/>
      <c r="AD1121" s="50"/>
      <c r="AE1121" s="11"/>
      <c r="AF1121" s="50"/>
      <c r="AG1121" s="50"/>
      <c r="AH1121" s="50"/>
      <c r="AI1121" s="11"/>
      <c r="AJ1121" s="50"/>
      <c r="AK1121" s="50"/>
      <c r="AL1121" s="50"/>
      <c r="AM1121" s="11"/>
      <c r="AN1121" s="50"/>
      <c r="AO1121" s="50"/>
      <c r="AP1121" s="50"/>
      <c r="AQ1121" s="11"/>
      <c r="AR1121" s="50"/>
      <c r="AS1121" s="50"/>
      <c r="AT1121" s="50"/>
      <c r="AU1121" s="11"/>
      <c r="AV1121" s="50"/>
      <c r="AW1121" s="50"/>
      <c r="AX1121" s="50"/>
      <c r="AY1121" s="50"/>
      <c r="AZ1121" s="50"/>
      <c r="BA1121" s="50"/>
      <c r="BB1121" s="50"/>
      <c r="BC1121" s="50"/>
      <c r="BD1121" s="50"/>
      <c r="BE1121" s="20"/>
      <c r="BF1121" s="518"/>
      <c r="BG1121" s="484"/>
      <c r="BH1121" s="484"/>
      <c r="BI1121" s="527"/>
      <c r="BJ1121" s="484"/>
      <c r="BK1121" s="484"/>
      <c r="BL1121" s="484"/>
      <c r="BM1121" s="484"/>
    </row>
    <row r="1122" spans="1:65" s="22" customFormat="1" x14ac:dyDescent="0.25">
      <c r="A1122" s="20"/>
      <c r="B1122" s="515"/>
      <c r="C1122" s="11"/>
      <c r="D1122" s="11"/>
      <c r="E1122" s="11"/>
      <c r="F1122" s="21"/>
      <c r="G1122" s="11"/>
      <c r="H1122" s="50"/>
      <c r="I1122" s="50"/>
      <c r="J1122" s="50"/>
      <c r="K1122" s="11"/>
      <c r="L1122" s="50"/>
      <c r="M1122" s="50"/>
      <c r="N1122" s="50"/>
      <c r="O1122" s="50"/>
      <c r="P1122" s="50"/>
      <c r="Q1122" s="11"/>
      <c r="R1122" s="50"/>
      <c r="S1122" s="50"/>
      <c r="T1122" s="50"/>
      <c r="U1122" s="11"/>
      <c r="V1122" s="50"/>
      <c r="W1122" s="50"/>
      <c r="X1122" s="50"/>
      <c r="Y1122" s="50"/>
      <c r="Z1122" s="50"/>
      <c r="AA1122" s="11"/>
      <c r="AB1122" s="50"/>
      <c r="AC1122" s="50"/>
      <c r="AD1122" s="50"/>
      <c r="AE1122" s="11"/>
      <c r="AF1122" s="50"/>
      <c r="AG1122" s="50"/>
      <c r="AH1122" s="50"/>
      <c r="AI1122" s="11"/>
      <c r="AJ1122" s="50"/>
      <c r="AK1122" s="50"/>
      <c r="AL1122" s="50"/>
      <c r="AM1122" s="11"/>
      <c r="AN1122" s="50"/>
      <c r="AO1122" s="50"/>
      <c r="AP1122" s="50"/>
      <c r="AQ1122" s="11"/>
      <c r="AR1122" s="50"/>
      <c r="AS1122" s="50"/>
      <c r="AT1122" s="50"/>
      <c r="AU1122" s="11"/>
      <c r="AV1122" s="50"/>
      <c r="AW1122" s="50"/>
      <c r="AX1122" s="50"/>
      <c r="AY1122" s="50"/>
      <c r="AZ1122" s="50"/>
      <c r="BA1122" s="50"/>
      <c r="BB1122" s="50"/>
      <c r="BC1122" s="50"/>
      <c r="BD1122" s="50"/>
      <c r="BE1122" s="20"/>
      <c r="BF1122" s="518"/>
      <c r="BG1122" s="484"/>
      <c r="BH1122" s="484"/>
      <c r="BI1122" s="527"/>
      <c r="BJ1122" s="484"/>
      <c r="BK1122" s="484"/>
      <c r="BL1122" s="484"/>
      <c r="BM1122" s="484"/>
    </row>
    <row r="1123" spans="1:65" s="22" customFormat="1" x14ac:dyDescent="0.25">
      <c r="A1123" s="20"/>
      <c r="B1123" s="515"/>
      <c r="C1123" s="11"/>
      <c r="D1123" s="11"/>
      <c r="E1123" s="11"/>
      <c r="F1123" s="21"/>
      <c r="G1123" s="11"/>
      <c r="H1123" s="50"/>
      <c r="I1123" s="50"/>
      <c r="J1123" s="50"/>
      <c r="K1123" s="11"/>
      <c r="L1123" s="50"/>
      <c r="M1123" s="50"/>
      <c r="N1123" s="50"/>
      <c r="O1123" s="50"/>
      <c r="P1123" s="50"/>
      <c r="Q1123" s="11"/>
      <c r="R1123" s="50"/>
      <c r="S1123" s="50"/>
      <c r="T1123" s="50"/>
      <c r="U1123" s="11"/>
      <c r="V1123" s="50"/>
      <c r="W1123" s="50"/>
      <c r="X1123" s="50"/>
      <c r="Y1123" s="50"/>
      <c r="Z1123" s="50"/>
      <c r="AA1123" s="11"/>
      <c r="AB1123" s="50"/>
      <c r="AC1123" s="50"/>
      <c r="AD1123" s="50"/>
      <c r="AE1123" s="11"/>
      <c r="AF1123" s="50"/>
      <c r="AG1123" s="50"/>
      <c r="AH1123" s="50"/>
      <c r="AI1123" s="11"/>
      <c r="AJ1123" s="50"/>
      <c r="AK1123" s="50"/>
      <c r="AL1123" s="50"/>
      <c r="AM1123" s="11"/>
      <c r="AN1123" s="50"/>
      <c r="AO1123" s="50"/>
      <c r="AP1123" s="50"/>
      <c r="AQ1123" s="11"/>
      <c r="AR1123" s="50"/>
      <c r="AS1123" s="50"/>
      <c r="AT1123" s="50"/>
      <c r="AU1123" s="11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20"/>
      <c r="BF1123" s="518"/>
      <c r="BG1123" s="484"/>
      <c r="BH1123" s="484"/>
      <c r="BI1123" s="527"/>
      <c r="BJ1123" s="484"/>
      <c r="BK1123" s="484"/>
      <c r="BL1123" s="484"/>
      <c r="BM1123" s="484"/>
    </row>
    <row r="1124" spans="1:65" s="22" customFormat="1" x14ac:dyDescent="0.25">
      <c r="A1124" s="20"/>
      <c r="B1124" s="515"/>
      <c r="C1124" s="11"/>
      <c r="D1124" s="11"/>
      <c r="E1124" s="11"/>
      <c r="F1124" s="21"/>
      <c r="G1124" s="11"/>
      <c r="H1124" s="50"/>
      <c r="I1124" s="50"/>
      <c r="J1124" s="50"/>
      <c r="K1124" s="11"/>
      <c r="L1124" s="50"/>
      <c r="M1124" s="50"/>
      <c r="N1124" s="50"/>
      <c r="O1124" s="50"/>
      <c r="P1124" s="50"/>
      <c r="Q1124" s="11"/>
      <c r="R1124" s="50"/>
      <c r="S1124" s="50"/>
      <c r="T1124" s="50"/>
      <c r="U1124" s="11"/>
      <c r="V1124" s="50"/>
      <c r="W1124" s="50"/>
      <c r="X1124" s="50"/>
      <c r="Y1124" s="50"/>
      <c r="Z1124" s="50"/>
      <c r="AA1124" s="11"/>
      <c r="AB1124" s="50"/>
      <c r="AC1124" s="50"/>
      <c r="AD1124" s="50"/>
      <c r="AE1124" s="11"/>
      <c r="AF1124" s="50"/>
      <c r="AG1124" s="50"/>
      <c r="AH1124" s="50"/>
      <c r="AI1124" s="11"/>
      <c r="AJ1124" s="50"/>
      <c r="AK1124" s="50"/>
      <c r="AL1124" s="50"/>
      <c r="AM1124" s="11"/>
      <c r="AN1124" s="50"/>
      <c r="AO1124" s="50"/>
      <c r="AP1124" s="50"/>
      <c r="AQ1124" s="11"/>
      <c r="AR1124" s="50"/>
      <c r="AS1124" s="50"/>
      <c r="AT1124" s="50"/>
      <c r="AU1124" s="11"/>
      <c r="AV1124" s="50"/>
      <c r="AW1124" s="50"/>
      <c r="AX1124" s="50"/>
      <c r="AY1124" s="50"/>
      <c r="AZ1124" s="50"/>
      <c r="BA1124" s="50"/>
      <c r="BB1124" s="50"/>
      <c r="BC1124" s="50"/>
      <c r="BD1124" s="50"/>
      <c r="BE1124" s="20"/>
      <c r="BF1124" s="518"/>
      <c r="BG1124" s="484"/>
      <c r="BH1124" s="484"/>
      <c r="BI1124" s="527"/>
      <c r="BJ1124" s="484"/>
      <c r="BK1124" s="484"/>
      <c r="BL1124" s="484"/>
      <c r="BM1124" s="484"/>
    </row>
    <row r="1125" spans="1:65" s="22" customFormat="1" x14ac:dyDescent="0.25">
      <c r="A1125" s="20"/>
      <c r="B1125" s="515"/>
      <c r="C1125" s="11"/>
      <c r="D1125" s="11"/>
      <c r="E1125" s="11"/>
      <c r="F1125" s="21"/>
      <c r="G1125" s="11"/>
      <c r="H1125" s="50"/>
      <c r="I1125" s="50"/>
      <c r="J1125" s="50"/>
      <c r="K1125" s="11"/>
      <c r="L1125" s="50"/>
      <c r="M1125" s="50"/>
      <c r="N1125" s="50"/>
      <c r="O1125" s="50"/>
      <c r="P1125" s="50"/>
      <c r="Q1125" s="11"/>
      <c r="R1125" s="50"/>
      <c r="S1125" s="50"/>
      <c r="T1125" s="50"/>
      <c r="U1125" s="11"/>
      <c r="V1125" s="50"/>
      <c r="W1125" s="50"/>
      <c r="X1125" s="50"/>
      <c r="Y1125" s="50"/>
      <c r="Z1125" s="50"/>
      <c r="AA1125" s="11"/>
      <c r="AB1125" s="50"/>
      <c r="AC1125" s="50"/>
      <c r="AD1125" s="50"/>
      <c r="AE1125" s="11"/>
      <c r="AF1125" s="50"/>
      <c r="AG1125" s="50"/>
      <c r="AH1125" s="50"/>
      <c r="AI1125" s="11"/>
      <c r="AJ1125" s="50"/>
      <c r="AK1125" s="50"/>
      <c r="AL1125" s="50"/>
      <c r="AM1125" s="11"/>
      <c r="AN1125" s="50"/>
      <c r="AO1125" s="50"/>
      <c r="AP1125" s="50"/>
      <c r="AQ1125" s="11"/>
      <c r="AR1125" s="50"/>
      <c r="AS1125" s="50"/>
      <c r="AT1125" s="50"/>
      <c r="AU1125" s="11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20"/>
      <c r="BF1125" s="518"/>
      <c r="BG1125" s="484"/>
      <c r="BH1125" s="484"/>
      <c r="BI1125" s="527"/>
      <c r="BJ1125" s="484"/>
      <c r="BK1125" s="484"/>
      <c r="BL1125" s="484"/>
      <c r="BM1125" s="484"/>
    </row>
    <row r="1126" spans="1:65" s="22" customFormat="1" x14ac:dyDescent="0.25">
      <c r="A1126" s="20"/>
      <c r="B1126" s="515"/>
      <c r="C1126" s="11"/>
      <c r="D1126" s="11"/>
      <c r="E1126" s="11"/>
      <c r="F1126" s="21"/>
      <c r="G1126" s="11"/>
      <c r="H1126" s="50"/>
      <c r="I1126" s="50"/>
      <c r="J1126" s="50"/>
      <c r="K1126" s="11"/>
      <c r="L1126" s="50"/>
      <c r="M1126" s="50"/>
      <c r="N1126" s="50"/>
      <c r="O1126" s="50"/>
      <c r="P1126" s="50"/>
      <c r="Q1126" s="11"/>
      <c r="R1126" s="50"/>
      <c r="S1126" s="50"/>
      <c r="T1126" s="50"/>
      <c r="U1126" s="11"/>
      <c r="V1126" s="50"/>
      <c r="W1126" s="50"/>
      <c r="X1126" s="50"/>
      <c r="Y1126" s="50"/>
      <c r="Z1126" s="50"/>
      <c r="AA1126" s="11"/>
      <c r="AB1126" s="50"/>
      <c r="AC1126" s="50"/>
      <c r="AD1126" s="50"/>
      <c r="AE1126" s="11"/>
      <c r="AF1126" s="50"/>
      <c r="AG1126" s="50"/>
      <c r="AH1126" s="50"/>
      <c r="AI1126" s="11"/>
      <c r="AJ1126" s="50"/>
      <c r="AK1126" s="50"/>
      <c r="AL1126" s="50"/>
      <c r="AM1126" s="11"/>
      <c r="AN1126" s="50"/>
      <c r="AO1126" s="50"/>
      <c r="AP1126" s="50"/>
      <c r="AQ1126" s="11"/>
      <c r="AR1126" s="50"/>
      <c r="AS1126" s="50"/>
      <c r="AT1126" s="50"/>
      <c r="AU1126" s="11"/>
      <c r="AV1126" s="50"/>
      <c r="AW1126" s="50"/>
      <c r="AX1126" s="50"/>
      <c r="AY1126" s="50"/>
      <c r="AZ1126" s="50"/>
      <c r="BA1126" s="50"/>
      <c r="BB1126" s="50"/>
      <c r="BC1126" s="50"/>
      <c r="BD1126" s="50"/>
      <c r="BE1126" s="20"/>
      <c r="BF1126" s="518"/>
      <c r="BG1126" s="484"/>
      <c r="BH1126" s="484"/>
      <c r="BI1126" s="527"/>
      <c r="BJ1126" s="484"/>
      <c r="BK1126" s="484"/>
      <c r="BL1126" s="484"/>
      <c r="BM1126" s="484"/>
    </row>
    <row r="1127" spans="1:65" s="22" customFormat="1" x14ac:dyDescent="0.25">
      <c r="A1127" s="20"/>
      <c r="B1127" s="515"/>
      <c r="C1127" s="11"/>
      <c r="D1127" s="11"/>
      <c r="E1127" s="11"/>
      <c r="F1127" s="21"/>
      <c r="G1127" s="11"/>
      <c r="H1127" s="50"/>
      <c r="I1127" s="50"/>
      <c r="J1127" s="50"/>
      <c r="K1127" s="11"/>
      <c r="L1127" s="50"/>
      <c r="M1127" s="50"/>
      <c r="N1127" s="50"/>
      <c r="O1127" s="50"/>
      <c r="P1127" s="50"/>
      <c r="Q1127" s="11"/>
      <c r="R1127" s="50"/>
      <c r="S1127" s="50"/>
      <c r="T1127" s="50"/>
      <c r="U1127" s="11"/>
      <c r="V1127" s="50"/>
      <c r="W1127" s="50"/>
      <c r="X1127" s="50"/>
      <c r="Y1127" s="50"/>
      <c r="Z1127" s="50"/>
      <c r="AA1127" s="11"/>
      <c r="AB1127" s="50"/>
      <c r="AC1127" s="50"/>
      <c r="AD1127" s="50"/>
      <c r="AE1127" s="11"/>
      <c r="AF1127" s="50"/>
      <c r="AG1127" s="50"/>
      <c r="AH1127" s="50"/>
      <c r="AI1127" s="11"/>
      <c r="AJ1127" s="50"/>
      <c r="AK1127" s="50"/>
      <c r="AL1127" s="50"/>
      <c r="AM1127" s="11"/>
      <c r="AN1127" s="50"/>
      <c r="AO1127" s="50"/>
      <c r="AP1127" s="50"/>
      <c r="AQ1127" s="11"/>
      <c r="AR1127" s="50"/>
      <c r="AS1127" s="50"/>
      <c r="AT1127" s="50"/>
      <c r="AU1127" s="11"/>
      <c r="AV1127" s="50"/>
      <c r="AW1127" s="50"/>
      <c r="AX1127" s="50"/>
      <c r="AY1127" s="50"/>
      <c r="AZ1127" s="50"/>
      <c r="BA1127" s="50"/>
      <c r="BB1127" s="50"/>
      <c r="BC1127" s="50"/>
      <c r="BD1127" s="50"/>
      <c r="BE1127" s="20"/>
      <c r="BF1127" s="518"/>
      <c r="BG1127" s="484"/>
      <c r="BH1127" s="484"/>
      <c r="BI1127" s="527"/>
      <c r="BJ1127" s="484"/>
      <c r="BK1127" s="484"/>
      <c r="BL1127" s="484"/>
      <c r="BM1127" s="484"/>
    </row>
    <row r="1128" spans="1:65" s="22" customFormat="1" x14ac:dyDescent="0.25">
      <c r="A1128" s="20"/>
      <c r="B1128" s="515"/>
      <c r="C1128" s="11"/>
      <c r="D1128" s="11"/>
      <c r="E1128" s="11"/>
      <c r="F1128" s="21"/>
      <c r="G1128" s="11"/>
      <c r="H1128" s="50"/>
      <c r="I1128" s="50"/>
      <c r="J1128" s="50"/>
      <c r="K1128" s="11"/>
      <c r="L1128" s="50"/>
      <c r="M1128" s="50"/>
      <c r="N1128" s="50"/>
      <c r="O1128" s="50"/>
      <c r="P1128" s="50"/>
      <c r="Q1128" s="11"/>
      <c r="R1128" s="50"/>
      <c r="S1128" s="50"/>
      <c r="T1128" s="50"/>
      <c r="U1128" s="11"/>
      <c r="V1128" s="50"/>
      <c r="W1128" s="50"/>
      <c r="X1128" s="50"/>
      <c r="Y1128" s="50"/>
      <c r="Z1128" s="50"/>
      <c r="AA1128" s="11"/>
      <c r="AB1128" s="50"/>
      <c r="AC1128" s="50"/>
      <c r="AD1128" s="50"/>
      <c r="AE1128" s="11"/>
      <c r="AF1128" s="50"/>
      <c r="AG1128" s="50"/>
      <c r="AH1128" s="50"/>
      <c r="AI1128" s="11"/>
      <c r="AJ1128" s="50"/>
      <c r="AK1128" s="50"/>
      <c r="AL1128" s="50"/>
      <c r="AM1128" s="11"/>
      <c r="AN1128" s="50"/>
      <c r="AO1128" s="50"/>
      <c r="AP1128" s="50"/>
      <c r="AQ1128" s="11"/>
      <c r="AR1128" s="50"/>
      <c r="AS1128" s="50"/>
      <c r="AT1128" s="50"/>
      <c r="AU1128" s="11"/>
      <c r="AV1128" s="50"/>
      <c r="AW1128" s="50"/>
      <c r="AX1128" s="50"/>
      <c r="AY1128" s="50"/>
      <c r="AZ1128" s="50"/>
      <c r="BA1128" s="50"/>
      <c r="BB1128" s="50"/>
      <c r="BC1128" s="50"/>
      <c r="BD1128" s="50"/>
      <c r="BE1128" s="20"/>
      <c r="BF1128" s="518"/>
      <c r="BG1128" s="484"/>
      <c r="BH1128" s="484"/>
      <c r="BI1128" s="527"/>
      <c r="BJ1128" s="484"/>
      <c r="BK1128" s="484"/>
      <c r="BL1128" s="484"/>
      <c r="BM1128" s="484"/>
    </row>
    <row r="1129" spans="1:65" s="22" customFormat="1" x14ac:dyDescent="0.25">
      <c r="A1129" s="20"/>
      <c r="B1129" s="515"/>
      <c r="C1129" s="11"/>
      <c r="D1129" s="11"/>
      <c r="E1129" s="11"/>
      <c r="F1129" s="21"/>
      <c r="G1129" s="11"/>
      <c r="H1129" s="50"/>
      <c r="I1129" s="50"/>
      <c r="J1129" s="50"/>
      <c r="K1129" s="11"/>
      <c r="L1129" s="50"/>
      <c r="M1129" s="50"/>
      <c r="N1129" s="50"/>
      <c r="O1129" s="50"/>
      <c r="P1129" s="50"/>
      <c r="Q1129" s="11"/>
      <c r="R1129" s="50"/>
      <c r="S1129" s="50"/>
      <c r="T1129" s="50"/>
      <c r="U1129" s="11"/>
      <c r="V1129" s="50"/>
      <c r="W1129" s="50"/>
      <c r="X1129" s="50"/>
      <c r="Y1129" s="50"/>
      <c r="Z1129" s="50"/>
      <c r="AA1129" s="11"/>
      <c r="AB1129" s="50"/>
      <c r="AC1129" s="50"/>
      <c r="AD1129" s="50"/>
      <c r="AE1129" s="11"/>
      <c r="AF1129" s="50"/>
      <c r="AG1129" s="50"/>
      <c r="AH1129" s="50"/>
      <c r="AI1129" s="11"/>
      <c r="AJ1129" s="50"/>
      <c r="AK1129" s="50"/>
      <c r="AL1129" s="50"/>
      <c r="AM1129" s="11"/>
      <c r="AN1129" s="50"/>
      <c r="AO1129" s="50"/>
      <c r="AP1129" s="50"/>
      <c r="AQ1129" s="11"/>
      <c r="AR1129" s="50"/>
      <c r="AS1129" s="50"/>
      <c r="AT1129" s="50"/>
      <c r="AU1129" s="11"/>
      <c r="AV1129" s="50"/>
      <c r="AW1129" s="50"/>
      <c r="AX1129" s="50"/>
      <c r="AY1129" s="50"/>
      <c r="AZ1129" s="50"/>
      <c r="BA1129" s="50"/>
      <c r="BB1129" s="50"/>
      <c r="BC1129" s="50"/>
      <c r="BD1129" s="50"/>
      <c r="BE1129" s="20"/>
      <c r="BF1129" s="518"/>
      <c r="BG1129" s="484"/>
      <c r="BH1129" s="484"/>
      <c r="BI1129" s="527"/>
      <c r="BJ1129" s="484"/>
      <c r="BK1129" s="484"/>
      <c r="BL1129" s="484"/>
      <c r="BM1129" s="484"/>
    </row>
    <row r="1130" spans="1:65" s="22" customFormat="1" x14ac:dyDescent="0.25">
      <c r="A1130" s="20"/>
      <c r="B1130" s="515"/>
      <c r="C1130" s="11"/>
      <c r="D1130" s="11"/>
      <c r="E1130" s="11"/>
      <c r="F1130" s="21"/>
      <c r="G1130" s="11"/>
      <c r="H1130" s="50"/>
      <c r="I1130" s="50"/>
      <c r="J1130" s="50"/>
      <c r="K1130" s="11"/>
      <c r="L1130" s="50"/>
      <c r="M1130" s="50"/>
      <c r="N1130" s="50"/>
      <c r="O1130" s="50"/>
      <c r="P1130" s="50"/>
      <c r="Q1130" s="11"/>
      <c r="R1130" s="50"/>
      <c r="S1130" s="50"/>
      <c r="T1130" s="50"/>
      <c r="U1130" s="11"/>
      <c r="V1130" s="50"/>
      <c r="W1130" s="50"/>
      <c r="X1130" s="50"/>
      <c r="Y1130" s="50"/>
      <c r="Z1130" s="50"/>
      <c r="AA1130" s="11"/>
      <c r="AB1130" s="50"/>
      <c r="AC1130" s="50"/>
      <c r="AD1130" s="50"/>
      <c r="AE1130" s="11"/>
      <c r="AF1130" s="50"/>
      <c r="AG1130" s="50"/>
      <c r="AH1130" s="50"/>
      <c r="AI1130" s="11"/>
      <c r="AJ1130" s="50"/>
      <c r="AK1130" s="50"/>
      <c r="AL1130" s="50"/>
      <c r="AM1130" s="11"/>
      <c r="AN1130" s="50"/>
      <c r="AO1130" s="50"/>
      <c r="AP1130" s="50"/>
      <c r="AQ1130" s="11"/>
      <c r="AR1130" s="50"/>
      <c r="AS1130" s="50"/>
      <c r="AT1130" s="50"/>
      <c r="AU1130" s="11"/>
      <c r="AV1130" s="50"/>
      <c r="AW1130" s="50"/>
      <c r="AX1130" s="50"/>
      <c r="AY1130" s="50"/>
      <c r="AZ1130" s="50"/>
      <c r="BA1130" s="50"/>
      <c r="BB1130" s="50"/>
      <c r="BC1130" s="50"/>
      <c r="BD1130" s="50"/>
      <c r="BE1130" s="20"/>
      <c r="BF1130" s="518"/>
      <c r="BG1130" s="484"/>
      <c r="BH1130" s="484"/>
      <c r="BI1130" s="527"/>
      <c r="BJ1130" s="484"/>
      <c r="BK1130" s="484"/>
      <c r="BL1130" s="484"/>
      <c r="BM1130" s="484"/>
    </row>
    <row r="1131" spans="1:65" s="22" customFormat="1" x14ac:dyDescent="0.25">
      <c r="A1131" s="20"/>
      <c r="B1131" s="515"/>
      <c r="C1131" s="11"/>
      <c r="D1131" s="11"/>
      <c r="E1131" s="11"/>
      <c r="F1131" s="21"/>
      <c r="G1131" s="11"/>
      <c r="H1131" s="50"/>
      <c r="I1131" s="50"/>
      <c r="J1131" s="50"/>
      <c r="K1131" s="11"/>
      <c r="L1131" s="50"/>
      <c r="M1131" s="50"/>
      <c r="N1131" s="50"/>
      <c r="O1131" s="50"/>
      <c r="P1131" s="50"/>
      <c r="Q1131" s="11"/>
      <c r="R1131" s="50"/>
      <c r="S1131" s="50"/>
      <c r="T1131" s="50"/>
      <c r="U1131" s="11"/>
      <c r="V1131" s="50"/>
      <c r="W1131" s="50"/>
      <c r="X1131" s="50"/>
      <c r="Y1131" s="50"/>
      <c r="Z1131" s="50"/>
      <c r="AA1131" s="11"/>
      <c r="AB1131" s="50"/>
      <c r="AC1131" s="50"/>
      <c r="AD1131" s="50"/>
      <c r="AE1131" s="11"/>
      <c r="AF1131" s="50"/>
      <c r="AG1131" s="50"/>
      <c r="AH1131" s="50"/>
      <c r="AI1131" s="11"/>
      <c r="AJ1131" s="50"/>
      <c r="AK1131" s="50"/>
      <c r="AL1131" s="50"/>
      <c r="AM1131" s="11"/>
      <c r="AN1131" s="50"/>
      <c r="AO1131" s="50"/>
      <c r="AP1131" s="50"/>
      <c r="AQ1131" s="11"/>
      <c r="AR1131" s="50"/>
      <c r="AS1131" s="50"/>
      <c r="AT1131" s="50"/>
      <c r="AU1131" s="11"/>
      <c r="AV1131" s="50"/>
      <c r="AW1131" s="50"/>
      <c r="AX1131" s="50"/>
      <c r="AY1131" s="50"/>
      <c r="AZ1131" s="50"/>
      <c r="BA1131" s="50"/>
      <c r="BB1131" s="50"/>
      <c r="BC1131" s="50"/>
      <c r="BD1131" s="50"/>
      <c r="BE1131" s="20"/>
      <c r="BF1131" s="518"/>
      <c r="BG1131" s="484"/>
      <c r="BH1131" s="484"/>
      <c r="BI1131" s="527"/>
      <c r="BJ1131" s="484"/>
      <c r="BK1131" s="484"/>
      <c r="BL1131" s="484"/>
      <c r="BM1131" s="484"/>
    </row>
    <row r="1132" spans="1:65" s="22" customFormat="1" x14ac:dyDescent="0.25">
      <c r="A1132" s="20"/>
      <c r="B1132" s="515"/>
      <c r="C1132" s="11"/>
      <c r="D1132" s="11"/>
      <c r="E1132" s="11"/>
      <c r="F1132" s="21"/>
      <c r="G1132" s="11"/>
      <c r="H1132" s="50"/>
      <c r="I1132" s="50"/>
      <c r="J1132" s="50"/>
      <c r="K1132" s="11"/>
      <c r="L1132" s="50"/>
      <c r="M1132" s="50"/>
      <c r="N1132" s="50"/>
      <c r="O1132" s="50"/>
      <c r="P1132" s="50"/>
      <c r="Q1132" s="11"/>
      <c r="R1132" s="50"/>
      <c r="S1132" s="50"/>
      <c r="T1132" s="50"/>
      <c r="U1132" s="11"/>
      <c r="V1132" s="50"/>
      <c r="W1132" s="50"/>
      <c r="X1132" s="50"/>
      <c r="Y1132" s="50"/>
      <c r="Z1132" s="50"/>
      <c r="AA1132" s="11"/>
      <c r="AB1132" s="50"/>
      <c r="AC1132" s="50"/>
      <c r="AD1132" s="50"/>
      <c r="AE1132" s="11"/>
      <c r="AF1132" s="50"/>
      <c r="AG1132" s="50"/>
      <c r="AH1132" s="50"/>
      <c r="AI1132" s="11"/>
      <c r="AJ1132" s="50"/>
      <c r="AK1132" s="50"/>
      <c r="AL1132" s="50"/>
      <c r="AM1132" s="11"/>
      <c r="AN1132" s="50"/>
      <c r="AO1132" s="50"/>
      <c r="AP1132" s="50"/>
      <c r="AQ1132" s="11"/>
      <c r="AR1132" s="50"/>
      <c r="AS1132" s="50"/>
      <c r="AT1132" s="50"/>
      <c r="AU1132" s="11"/>
      <c r="AV1132" s="50"/>
      <c r="AW1132" s="50"/>
      <c r="AX1132" s="50"/>
      <c r="AY1132" s="50"/>
      <c r="AZ1132" s="50"/>
      <c r="BA1132" s="50"/>
      <c r="BB1132" s="50"/>
      <c r="BC1132" s="50"/>
      <c r="BD1132" s="50"/>
      <c r="BE1132" s="20"/>
      <c r="BF1132" s="518"/>
      <c r="BG1132" s="484"/>
      <c r="BH1132" s="484"/>
      <c r="BI1132" s="527"/>
      <c r="BJ1132" s="484"/>
      <c r="BK1132" s="484"/>
      <c r="BL1132" s="484"/>
      <c r="BM1132" s="484"/>
    </row>
    <row r="1133" spans="1:65" s="22" customFormat="1" x14ac:dyDescent="0.25">
      <c r="A1133" s="20"/>
      <c r="B1133" s="515"/>
      <c r="C1133" s="11"/>
      <c r="D1133" s="11"/>
      <c r="E1133" s="11"/>
      <c r="F1133" s="21"/>
      <c r="G1133" s="11"/>
      <c r="H1133" s="50"/>
      <c r="I1133" s="50"/>
      <c r="J1133" s="50"/>
      <c r="K1133" s="11"/>
      <c r="L1133" s="50"/>
      <c r="M1133" s="50"/>
      <c r="N1133" s="50"/>
      <c r="O1133" s="50"/>
      <c r="P1133" s="50"/>
      <c r="Q1133" s="11"/>
      <c r="R1133" s="50"/>
      <c r="S1133" s="50"/>
      <c r="T1133" s="50"/>
      <c r="U1133" s="11"/>
      <c r="V1133" s="50"/>
      <c r="W1133" s="50"/>
      <c r="X1133" s="50"/>
      <c r="Y1133" s="50"/>
      <c r="Z1133" s="50"/>
      <c r="AA1133" s="11"/>
      <c r="AB1133" s="50"/>
      <c r="AC1133" s="50"/>
      <c r="AD1133" s="50"/>
      <c r="AE1133" s="11"/>
      <c r="AF1133" s="50"/>
      <c r="AG1133" s="50"/>
      <c r="AH1133" s="50"/>
      <c r="AI1133" s="11"/>
      <c r="AJ1133" s="50"/>
      <c r="AK1133" s="50"/>
      <c r="AL1133" s="50"/>
      <c r="AM1133" s="11"/>
      <c r="AN1133" s="50"/>
      <c r="AO1133" s="50"/>
      <c r="AP1133" s="50"/>
      <c r="AQ1133" s="11"/>
      <c r="AR1133" s="50"/>
      <c r="AS1133" s="50"/>
      <c r="AT1133" s="50"/>
      <c r="AU1133" s="11"/>
      <c r="AV1133" s="50"/>
      <c r="AW1133" s="50"/>
      <c r="AX1133" s="50"/>
      <c r="AY1133" s="50"/>
      <c r="AZ1133" s="50"/>
      <c r="BA1133" s="50"/>
      <c r="BB1133" s="50"/>
      <c r="BC1133" s="50"/>
      <c r="BD1133" s="50"/>
      <c r="BE1133" s="20"/>
      <c r="BF1133" s="518"/>
      <c r="BG1133" s="484"/>
      <c r="BH1133" s="484"/>
      <c r="BI1133" s="527"/>
      <c r="BJ1133" s="484"/>
      <c r="BK1133" s="484"/>
      <c r="BL1133" s="484"/>
      <c r="BM1133" s="484"/>
    </row>
    <row r="1134" spans="1:65" s="22" customFormat="1" x14ac:dyDescent="0.25">
      <c r="A1134" s="20"/>
      <c r="B1134" s="515"/>
      <c r="C1134" s="11"/>
      <c r="D1134" s="11"/>
      <c r="E1134" s="11"/>
      <c r="F1134" s="21"/>
      <c r="G1134" s="11"/>
      <c r="H1134" s="50"/>
      <c r="I1134" s="50"/>
      <c r="J1134" s="50"/>
      <c r="K1134" s="11"/>
      <c r="L1134" s="50"/>
      <c r="M1134" s="50"/>
      <c r="N1134" s="50"/>
      <c r="O1134" s="50"/>
      <c r="P1134" s="50"/>
      <c r="Q1134" s="11"/>
      <c r="R1134" s="50"/>
      <c r="S1134" s="50"/>
      <c r="T1134" s="50"/>
      <c r="U1134" s="11"/>
      <c r="V1134" s="50"/>
      <c r="W1134" s="50"/>
      <c r="X1134" s="50"/>
      <c r="Y1134" s="50"/>
      <c r="Z1134" s="50"/>
      <c r="AA1134" s="11"/>
      <c r="AB1134" s="50"/>
      <c r="AC1134" s="50"/>
      <c r="AD1134" s="50"/>
      <c r="AE1134" s="11"/>
      <c r="AF1134" s="50"/>
      <c r="AG1134" s="50"/>
      <c r="AH1134" s="50"/>
      <c r="AI1134" s="11"/>
      <c r="AJ1134" s="50"/>
      <c r="AK1134" s="50"/>
      <c r="AL1134" s="50"/>
      <c r="AM1134" s="11"/>
      <c r="AN1134" s="50"/>
      <c r="AO1134" s="50"/>
      <c r="AP1134" s="50"/>
      <c r="AQ1134" s="11"/>
      <c r="AR1134" s="50"/>
      <c r="AS1134" s="50"/>
      <c r="AT1134" s="50"/>
      <c r="AU1134" s="11"/>
      <c r="AV1134" s="50"/>
      <c r="AW1134" s="50"/>
      <c r="AX1134" s="50"/>
      <c r="AY1134" s="50"/>
      <c r="AZ1134" s="50"/>
      <c r="BA1134" s="50"/>
      <c r="BB1134" s="50"/>
      <c r="BC1134" s="50"/>
      <c r="BD1134" s="50"/>
      <c r="BE1134" s="20"/>
      <c r="BF1134" s="518"/>
      <c r="BG1134" s="484"/>
      <c r="BH1134" s="484"/>
      <c r="BI1134" s="527"/>
      <c r="BJ1134" s="484"/>
      <c r="BK1134" s="484"/>
      <c r="BL1134" s="484"/>
      <c r="BM1134" s="484"/>
    </row>
    <row r="1135" spans="1:65" s="22" customFormat="1" x14ac:dyDescent="0.25">
      <c r="A1135" s="20"/>
      <c r="B1135" s="515"/>
      <c r="C1135" s="11"/>
      <c r="D1135" s="11"/>
      <c r="E1135" s="11"/>
      <c r="F1135" s="21"/>
      <c r="G1135" s="11"/>
      <c r="H1135" s="50"/>
      <c r="I1135" s="50"/>
      <c r="J1135" s="50"/>
      <c r="K1135" s="11"/>
      <c r="L1135" s="50"/>
      <c r="M1135" s="50"/>
      <c r="N1135" s="50"/>
      <c r="O1135" s="50"/>
      <c r="P1135" s="50"/>
      <c r="Q1135" s="11"/>
      <c r="R1135" s="50"/>
      <c r="S1135" s="50"/>
      <c r="T1135" s="50"/>
      <c r="U1135" s="11"/>
      <c r="V1135" s="50"/>
      <c r="W1135" s="50"/>
      <c r="X1135" s="50"/>
      <c r="Y1135" s="50"/>
      <c r="Z1135" s="50"/>
      <c r="AA1135" s="11"/>
      <c r="AB1135" s="50"/>
      <c r="AC1135" s="50"/>
      <c r="AD1135" s="50"/>
      <c r="AE1135" s="11"/>
      <c r="AF1135" s="50"/>
      <c r="AG1135" s="50"/>
      <c r="AH1135" s="50"/>
      <c r="AI1135" s="11"/>
      <c r="AJ1135" s="50"/>
      <c r="AK1135" s="50"/>
      <c r="AL1135" s="50"/>
      <c r="AM1135" s="11"/>
      <c r="AN1135" s="50"/>
      <c r="AO1135" s="50"/>
      <c r="AP1135" s="50"/>
      <c r="AQ1135" s="11"/>
      <c r="AR1135" s="50"/>
      <c r="AS1135" s="50"/>
      <c r="AT1135" s="50"/>
      <c r="AU1135" s="11"/>
      <c r="AV1135" s="50"/>
      <c r="AW1135" s="50"/>
      <c r="AX1135" s="50"/>
      <c r="AY1135" s="50"/>
      <c r="AZ1135" s="50"/>
      <c r="BA1135" s="50"/>
      <c r="BB1135" s="50"/>
      <c r="BC1135" s="50"/>
      <c r="BD1135" s="50"/>
      <c r="BE1135" s="20"/>
      <c r="BF1135" s="518"/>
      <c r="BG1135" s="484"/>
      <c r="BH1135" s="484"/>
      <c r="BI1135" s="527"/>
      <c r="BJ1135" s="484"/>
      <c r="BK1135" s="484"/>
      <c r="BL1135" s="484"/>
      <c r="BM1135" s="484"/>
    </row>
    <row r="1136" spans="1:65" s="22" customFormat="1" x14ac:dyDescent="0.25">
      <c r="A1136" s="20"/>
      <c r="B1136" s="515"/>
      <c r="C1136" s="11"/>
      <c r="D1136" s="11"/>
      <c r="E1136" s="11"/>
      <c r="F1136" s="21"/>
      <c r="G1136" s="11"/>
      <c r="H1136" s="50"/>
      <c r="I1136" s="50"/>
      <c r="J1136" s="50"/>
      <c r="K1136" s="11"/>
      <c r="L1136" s="50"/>
      <c r="M1136" s="50"/>
      <c r="N1136" s="50"/>
      <c r="O1136" s="50"/>
      <c r="P1136" s="50"/>
      <c r="Q1136" s="11"/>
      <c r="R1136" s="50"/>
      <c r="S1136" s="50"/>
      <c r="T1136" s="50"/>
      <c r="U1136" s="11"/>
      <c r="V1136" s="50"/>
      <c r="W1136" s="50"/>
      <c r="X1136" s="50"/>
      <c r="Y1136" s="50"/>
      <c r="Z1136" s="50"/>
      <c r="AA1136" s="11"/>
      <c r="AB1136" s="50"/>
      <c r="AC1136" s="50"/>
      <c r="AD1136" s="50"/>
      <c r="AE1136" s="11"/>
      <c r="AF1136" s="50"/>
      <c r="AG1136" s="50"/>
      <c r="AH1136" s="50"/>
      <c r="AI1136" s="11"/>
      <c r="AJ1136" s="50"/>
      <c r="AK1136" s="50"/>
      <c r="AL1136" s="50"/>
      <c r="AM1136" s="11"/>
      <c r="AN1136" s="50"/>
      <c r="AO1136" s="50"/>
      <c r="AP1136" s="50"/>
      <c r="AQ1136" s="11"/>
      <c r="AR1136" s="50"/>
      <c r="AS1136" s="50"/>
      <c r="AT1136" s="50"/>
      <c r="AU1136" s="11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20"/>
      <c r="BF1136" s="518"/>
      <c r="BG1136" s="484"/>
      <c r="BH1136" s="484"/>
      <c r="BI1136" s="527"/>
      <c r="BJ1136" s="484"/>
      <c r="BK1136" s="484"/>
      <c r="BL1136" s="484"/>
      <c r="BM1136" s="484"/>
    </row>
    <row r="1137" spans="1:65" s="22" customFormat="1" x14ac:dyDescent="0.25">
      <c r="A1137" s="20"/>
      <c r="B1137" s="515"/>
      <c r="C1137" s="11"/>
      <c r="D1137" s="11"/>
      <c r="E1137" s="11"/>
      <c r="F1137" s="21"/>
      <c r="G1137" s="11"/>
      <c r="H1137" s="50"/>
      <c r="I1137" s="50"/>
      <c r="J1137" s="50"/>
      <c r="K1137" s="11"/>
      <c r="L1137" s="50"/>
      <c r="M1137" s="50"/>
      <c r="N1137" s="50"/>
      <c r="O1137" s="50"/>
      <c r="P1137" s="50"/>
      <c r="Q1137" s="11"/>
      <c r="R1137" s="50"/>
      <c r="S1137" s="50"/>
      <c r="T1137" s="50"/>
      <c r="U1137" s="11"/>
      <c r="V1137" s="50"/>
      <c r="W1137" s="50"/>
      <c r="X1137" s="50"/>
      <c r="Y1137" s="50"/>
      <c r="Z1137" s="50"/>
      <c r="AA1137" s="11"/>
      <c r="AB1137" s="50"/>
      <c r="AC1137" s="50"/>
      <c r="AD1137" s="50"/>
      <c r="AE1137" s="11"/>
      <c r="AF1137" s="50"/>
      <c r="AG1137" s="50"/>
      <c r="AH1137" s="50"/>
      <c r="AI1137" s="11"/>
      <c r="AJ1137" s="50"/>
      <c r="AK1137" s="50"/>
      <c r="AL1137" s="50"/>
      <c r="AM1137" s="11"/>
      <c r="AN1137" s="50"/>
      <c r="AO1137" s="50"/>
      <c r="AP1137" s="50"/>
      <c r="AQ1137" s="11"/>
      <c r="AR1137" s="50"/>
      <c r="AS1137" s="50"/>
      <c r="AT1137" s="50"/>
      <c r="AU1137" s="11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20"/>
      <c r="BF1137" s="518"/>
      <c r="BG1137" s="484"/>
      <c r="BH1137" s="484"/>
      <c r="BI1137" s="527"/>
      <c r="BJ1137" s="484"/>
      <c r="BK1137" s="484"/>
      <c r="BL1137" s="484"/>
      <c r="BM1137" s="484"/>
    </row>
    <row r="1138" spans="1:65" s="22" customFormat="1" x14ac:dyDescent="0.25">
      <c r="A1138" s="20"/>
      <c r="B1138" s="515"/>
      <c r="C1138" s="11"/>
      <c r="D1138" s="11"/>
      <c r="E1138" s="11"/>
      <c r="F1138" s="21"/>
      <c r="G1138" s="11"/>
      <c r="H1138" s="50"/>
      <c r="I1138" s="50"/>
      <c r="J1138" s="50"/>
      <c r="K1138" s="11"/>
      <c r="L1138" s="50"/>
      <c r="M1138" s="50"/>
      <c r="N1138" s="50"/>
      <c r="O1138" s="50"/>
      <c r="P1138" s="50"/>
      <c r="Q1138" s="11"/>
      <c r="R1138" s="50"/>
      <c r="S1138" s="50"/>
      <c r="T1138" s="50"/>
      <c r="U1138" s="11"/>
      <c r="V1138" s="50"/>
      <c r="W1138" s="50"/>
      <c r="X1138" s="50"/>
      <c r="Y1138" s="50"/>
      <c r="Z1138" s="50"/>
      <c r="AA1138" s="11"/>
      <c r="AB1138" s="50"/>
      <c r="AC1138" s="50"/>
      <c r="AD1138" s="50"/>
      <c r="AE1138" s="11"/>
      <c r="AF1138" s="50"/>
      <c r="AG1138" s="50"/>
      <c r="AH1138" s="50"/>
      <c r="AI1138" s="11"/>
      <c r="AJ1138" s="50"/>
      <c r="AK1138" s="50"/>
      <c r="AL1138" s="50"/>
      <c r="AM1138" s="11"/>
      <c r="AN1138" s="50"/>
      <c r="AO1138" s="50"/>
      <c r="AP1138" s="50"/>
      <c r="AQ1138" s="11"/>
      <c r="AR1138" s="50"/>
      <c r="AS1138" s="50"/>
      <c r="AT1138" s="50"/>
      <c r="AU1138" s="11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20"/>
      <c r="BF1138" s="518"/>
      <c r="BG1138" s="484"/>
      <c r="BH1138" s="484"/>
      <c r="BI1138" s="527"/>
      <c r="BJ1138" s="484"/>
      <c r="BK1138" s="484"/>
      <c r="BL1138" s="484"/>
      <c r="BM1138" s="484"/>
    </row>
    <row r="1139" spans="1:65" s="22" customFormat="1" x14ac:dyDescent="0.25">
      <c r="A1139" s="20"/>
      <c r="B1139" s="515"/>
      <c r="C1139" s="11"/>
      <c r="D1139" s="11"/>
      <c r="E1139" s="11"/>
      <c r="F1139" s="21"/>
      <c r="G1139" s="11"/>
      <c r="H1139" s="50"/>
      <c r="I1139" s="50"/>
      <c r="J1139" s="50"/>
      <c r="K1139" s="11"/>
      <c r="L1139" s="50"/>
      <c r="M1139" s="50"/>
      <c r="N1139" s="50"/>
      <c r="O1139" s="50"/>
      <c r="P1139" s="50"/>
      <c r="Q1139" s="11"/>
      <c r="R1139" s="50"/>
      <c r="S1139" s="50"/>
      <c r="T1139" s="50"/>
      <c r="U1139" s="11"/>
      <c r="V1139" s="50"/>
      <c r="W1139" s="50"/>
      <c r="X1139" s="50"/>
      <c r="Y1139" s="50"/>
      <c r="Z1139" s="50"/>
      <c r="AA1139" s="11"/>
      <c r="AB1139" s="50"/>
      <c r="AC1139" s="50"/>
      <c r="AD1139" s="50"/>
      <c r="AE1139" s="11"/>
      <c r="AF1139" s="50"/>
      <c r="AG1139" s="50"/>
      <c r="AH1139" s="50"/>
      <c r="AI1139" s="11"/>
      <c r="AJ1139" s="50"/>
      <c r="AK1139" s="50"/>
      <c r="AL1139" s="50"/>
      <c r="AM1139" s="11"/>
      <c r="AN1139" s="50"/>
      <c r="AO1139" s="50"/>
      <c r="AP1139" s="50"/>
      <c r="AQ1139" s="11"/>
      <c r="AR1139" s="50"/>
      <c r="AS1139" s="50"/>
      <c r="AT1139" s="50"/>
      <c r="AU1139" s="11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20"/>
      <c r="BF1139" s="518"/>
      <c r="BG1139" s="484"/>
      <c r="BH1139" s="484"/>
      <c r="BI1139" s="527"/>
      <c r="BJ1139" s="484"/>
      <c r="BK1139" s="484"/>
      <c r="BL1139" s="484"/>
      <c r="BM1139" s="484"/>
    </row>
    <row r="1140" spans="1:65" s="22" customFormat="1" x14ac:dyDescent="0.25">
      <c r="A1140" s="20"/>
      <c r="B1140" s="515"/>
      <c r="C1140" s="11"/>
      <c r="D1140" s="11"/>
      <c r="E1140" s="11"/>
      <c r="F1140" s="21"/>
      <c r="G1140" s="11"/>
      <c r="H1140" s="50"/>
      <c r="I1140" s="50"/>
      <c r="J1140" s="50"/>
      <c r="K1140" s="11"/>
      <c r="L1140" s="50"/>
      <c r="M1140" s="50"/>
      <c r="N1140" s="50"/>
      <c r="O1140" s="50"/>
      <c r="P1140" s="50"/>
      <c r="Q1140" s="11"/>
      <c r="R1140" s="50"/>
      <c r="S1140" s="50"/>
      <c r="T1140" s="50"/>
      <c r="U1140" s="11"/>
      <c r="V1140" s="50"/>
      <c r="W1140" s="50"/>
      <c r="X1140" s="50"/>
      <c r="Y1140" s="50"/>
      <c r="Z1140" s="50"/>
      <c r="AA1140" s="11"/>
      <c r="AB1140" s="50"/>
      <c r="AC1140" s="50"/>
      <c r="AD1140" s="50"/>
      <c r="AE1140" s="11"/>
      <c r="AF1140" s="50"/>
      <c r="AG1140" s="50"/>
      <c r="AH1140" s="50"/>
      <c r="AI1140" s="11"/>
      <c r="AJ1140" s="50"/>
      <c r="AK1140" s="50"/>
      <c r="AL1140" s="50"/>
      <c r="AM1140" s="11"/>
      <c r="AN1140" s="50"/>
      <c r="AO1140" s="50"/>
      <c r="AP1140" s="50"/>
      <c r="AQ1140" s="11"/>
      <c r="AR1140" s="50"/>
      <c r="AS1140" s="50"/>
      <c r="AT1140" s="50"/>
      <c r="AU1140" s="11"/>
      <c r="AV1140" s="50"/>
      <c r="AW1140" s="50"/>
      <c r="AX1140" s="50"/>
      <c r="AY1140" s="50"/>
      <c r="AZ1140" s="50"/>
      <c r="BA1140" s="50"/>
      <c r="BB1140" s="50"/>
      <c r="BC1140" s="50"/>
      <c r="BD1140" s="50"/>
      <c r="BE1140" s="20"/>
      <c r="BF1140" s="518"/>
      <c r="BG1140" s="484"/>
      <c r="BH1140" s="484"/>
      <c r="BI1140" s="527"/>
      <c r="BJ1140" s="484"/>
      <c r="BK1140" s="484"/>
      <c r="BL1140" s="484"/>
      <c r="BM1140" s="484"/>
    </row>
    <row r="1141" spans="1:65" s="22" customFormat="1" x14ac:dyDescent="0.25">
      <c r="A1141" s="20"/>
      <c r="B1141" s="515"/>
      <c r="C1141" s="11"/>
      <c r="D1141" s="11"/>
      <c r="E1141" s="11"/>
      <c r="F1141" s="21"/>
      <c r="G1141" s="11"/>
      <c r="H1141" s="50"/>
      <c r="I1141" s="50"/>
      <c r="J1141" s="50"/>
      <c r="K1141" s="11"/>
      <c r="L1141" s="50"/>
      <c r="M1141" s="50"/>
      <c r="N1141" s="50"/>
      <c r="O1141" s="50"/>
      <c r="P1141" s="50"/>
      <c r="Q1141" s="11"/>
      <c r="R1141" s="50"/>
      <c r="S1141" s="50"/>
      <c r="T1141" s="50"/>
      <c r="U1141" s="11"/>
      <c r="V1141" s="50"/>
      <c r="W1141" s="50"/>
      <c r="X1141" s="50"/>
      <c r="Y1141" s="50"/>
      <c r="Z1141" s="50"/>
      <c r="AA1141" s="11"/>
      <c r="AB1141" s="50"/>
      <c r="AC1141" s="50"/>
      <c r="AD1141" s="50"/>
      <c r="AE1141" s="11"/>
      <c r="AF1141" s="50"/>
      <c r="AG1141" s="50"/>
      <c r="AH1141" s="50"/>
      <c r="AI1141" s="11"/>
      <c r="AJ1141" s="50"/>
      <c r="AK1141" s="50"/>
      <c r="AL1141" s="50"/>
      <c r="AM1141" s="11"/>
      <c r="AN1141" s="50"/>
      <c r="AO1141" s="50"/>
      <c r="AP1141" s="50"/>
      <c r="AQ1141" s="11"/>
      <c r="AR1141" s="50"/>
      <c r="AS1141" s="50"/>
      <c r="AT1141" s="50"/>
      <c r="AU1141" s="11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20"/>
      <c r="BF1141" s="518"/>
      <c r="BG1141" s="484"/>
      <c r="BH1141" s="484"/>
      <c r="BI1141" s="527"/>
      <c r="BJ1141" s="484"/>
      <c r="BK1141" s="484"/>
      <c r="BL1141" s="484"/>
      <c r="BM1141" s="484"/>
    </row>
    <row r="1142" spans="1:65" s="22" customFormat="1" x14ac:dyDescent="0.25">
      <c r="A1142" s="20"/>
      <c r="B1142" s="515"/>
      <c r="C1142" s="11"/>
      <c r="D1142" s="11"/>
      <c r="E1142" s="11"/>
      <c r="F1142" s="21"/>
      <c r="G1142" s="11"/>
      <c r="H1142" s="50"/>
      <c r="I1142" s="50"/>
      <c r="J1142" s="50"/>
      <c r="K1142" s="11"/>
      <c r="L1142" s="50"/>
      <c r="M1142" s="50"/>
      <c r="N1142" s="50"/>
      <c r="O1142" s="50"/>
      <c r="P1142" s="50"/>
      <c r="Q1142" s="11"/>
      <c r="R1142" s="50"/>
      <c r="S1142" s="50"/>
      <c r="T1142" s="50"/>
      <c r="U1142" s="11"/>
      <c r="V1142" s="50"/>
      <c r="W1142" s="50"/>
      <c r="X1142" s="50"/>
      <c r="Y1142" s="50"/>
      <c r="Z1142" s="50"/>
      <c r="AA1142" s="11"/>
      <c r="AB1142" s="50"/>
      <c r="AC1142" s="50"/>
      <c r="AD1142" s="50"/>
      <c r="AE1142" s="11"/>
      <c r="AF1142" s="50"/>
      <c r="AG1142" s="50"/>
      <c r="AH1142" s="50"/>
      <c r="AI1142" s="11"/>
      <c r="AJ1142" s="50"/>
      <c r="AK1142" s="50"/>
      <c r="AL1142" s="50"/>
      <c r="AM1142" s="11"/>
      <c r="AN1142" s="50"/>
      <c r="AO1142" s="50"/>
      <c r="AP1142" s="50"/>
      <c r="AQ1142" s="11"/>
      <c r="AR1142" s="50"/>
      <c r="AS1142" s="50"/>
      <c r="AT1142" s="50"/>
      <c r="AU1142" s="11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20"/>
      <c r="BF1142" s="518"/>
      <c r="BG1142" s="484"/>
      <c r="BH1142" s="484"/>
      <c r="BI1142" s="527"/>
      <c r="BJ1142" s="484"/>
      <c r="BK1142" s="484"/>
      <c r="BL1142" s="484"/>
      <c r="BM1142" s="484"/>
    </row>
    <row r="1143" spans="1:65" s="22" customFormat="1" x14ac:dyDescent="0.25">
      <c r="A1143" s="20"/>
      <c r="B1143" s="515"/>
      <c r="C1143" s="11"/>
      <c r="D1143" s="11"/>
      <c r="E1143" s="11"/>
      <c r="F1143" s="21"/>
      <c r="G1143" s="11"/>
      <c r="H1143" s="50"/>
      <c r="I1143" s="50"/>
      <c r="J1143" s="50"/>
      <c r="K1143" s="11"/>
      <c r="L1143" s="50"/>
      <c r="M1143" s="50"/>
      <c r="N1143" s="50"/>
      <c r="O1143" s="50"/>
      <c r="P1143" s="50"/>
      <c r="Q1143" s="11"/>
      <c r="R1143" s="50"/>
      <c r="S1143" s="50"/>
      <c r="T1143" s="50"/>
      <c r="U1143" s="11"/>
      <c r="V1143" s="50"/>
      <c r="W1143" s="50"/>
      <c r="X1143" s="50"/>
      <c r="Y1143" s="50"/>
      <c r="Z1143" s="50"/>
      <c r="AA1143" s="11"/>
      <c r="AB1143" s="50"/>
      <c r="AC1143" s="50"/>
      <c r="AD1143" s="50"/>
      <c r="AE1143" s="11"/>
      <c r="AF1143" s="50"/>
      <c r="AG1143" s="50"/>
      <c r="AH1143" s="50"/>
      <c r="AI1143" s="11"/>
      <c r="AJ1143" s="50"/>
      <c r="AK1143" s="50"/>
      <c r="AL1143" s="50"/>
      <c r="AM1143" s="11"/>
      <c r="AN1143" s="50"/>
      <c r="AO1143" s="50"/>
      <c r="AP1143" s="50"/>
      <c r="AQ1143" s="11"/>
      <c r="AR1143" s="50"/>
      <c r="AS1143" s="50"/>
      <c r="AT1143" s="50"/>
      <c r="AU1143" s="11"/>
      <c r="AV1143" s="50"/>
      <c r="AW1143" s="50"/>
      <c r="AX1143" s="50"/>
      <c r="AY1143" s="50"/>
      <c r="AZ1143" s="50"/>
      <c r="BA1143" s="50"/>
      <c r="BB1143" s="50"/>
      <c r="BC1143" s="50"/>
      <c r="BD1143" s="50"/>
      <c r="BE1143" s="20"/>
      <c r="BF1143" s="518"/>
      <c r="BG1143" s="484"/>
      <c r="BH1143" s="484"/>
      <c r="BI1143" s="527"/>
      <c r="BJ1143" s="484"/>
      <c r="BK1143" s="484"/>
      <c r="BL1143" s="484"/>
      <c r="BM1143" s="484"/>
    </row>
    <row r="1144" spans="1:65" s="22" customFormat="1" x14ac:dyDescent="0.25">
      <c r="A1144" s="20"/>
      <c r="B1144" s="515"/>
      <c r="C1144" s="11"/>
      <c r="D1144" s="11"/>
      <c r="E1144" s="11"/>
      <c r="F1144" s="21"/>
      <c r="G1144" s="11"/>
      <c r="H1144" s="50"/>
      <c r="I1144" s="50"/>
      <c r="J1144" s="50"/>
      <c r="K1144" s="11"/>
      <c r="L1144" s="50"/>
      <c r="M1144" s="50"/>
      <c r="N1144" s="50"/>
      <c r="O1144" s="50"/>
      <c r="P1144" s="50"/>
      <c r="Q1144" s="11"/>
      <c r="R1144" s="50"/>
      <c r="S1144" s="50"/>
      <c r="T1144" s="50"/>
      <c r="U1144" s="11"/>
      <c r="V1144" s="50"/>
      <c r="W1144" s="50"/>
      <c r="X1144" s="50"/>
      <c r="Y1144" s="50"/>
      <c r="Z1144" s="50"/>
      <c r="AA1144" s="11"/>
      <c r="AB1144" s="50"/>
      <c r="AC1144" s="50"/>
      <c r="AD1144" s="50"/>
      <c r="AE1144" s="11"/>
      <c r="AF1144" s="50"/>
      <c r="AG1144" s="50"/>
      <c r="AH1144" s="50"/>
      <c r="AI1144" s="11"/>
      <c r="AJ1144" s="50"/>
      <c r="AK1144" s="50"/>
      <c r="AL1144" s="50"/>
      <c r="AM1144" s="11"/>
      <c r="AN1144" s="50"/>
      <c r="AO1144" s="50"/>
      <c r="AP1144" s="50"/>
      <c r="AQ1144" s="11"/>
      <c r="AR1144" s="50"/>
      <c r="AS1144" s="50"/>
      <c r="AT1144" s="50"/>
      <c r="AU1144" s="11"/>
      <c r="AV1144" s="50"/>
      <c r="AW1144" s="50"/>
      <c r="AX1144" s="50"/>
      <c r="AY1144" s="50"/>
      <c r="AZ1144" s="50"/>
      <c r="BA1144" s="50"/>
      <c r="BB1144" s="50"/>
      <c r="BC1144" s="50"/>
      <c r="BD1144" s="50"/>
      <c r="BE1144" s="20"/>
      <c r="BF1144" s="518"/>
      <c r="BG1144" s="484"/>
      <c r="BH1144" s="484"/>
      <c r="BI1144" s="527"/>
      <c r="BJ1144" s="484"/>
      <c r="BK1144" s="484"/>
      <c r="BL1144" s="484"/>
      <c r="BM1144" s="484"/>
    </row>
    <row r="1145" spans="1:65" s="22" customFormat="1" x14ac:dyDescent="0.25">
      <c r="A1145" s="20"/>
      <c r="B1145" s="515"/>
      <c r="C1145" s="11"/>
      <c r="D1145" s="11"/>
      <c r="E1145" s="11"/>
      <c r="F1145" s="21"/>
      <c r="G1145" s="11"/>
      <c r="H1145" s="50"/>
      <c r="I1145" s="50"/>
      <c r="J1145" s="50"/>
      <c r="K1145" s="11"/>
      <c r="L1145" s="50"/>
      <c r="M1145" s="50"/>
      <c r="N1145" s="50"/>
      <c r="O1145" s="50"/>
      <c r="P1145" s="50"/>
      <c r="Q1145" s="11"/>
      <c r="R1145" s="50"/>
      <c r="S1145" s="50"/>
      <c r="T1145" s="50"/>
      <c r="U1145" s="11"/>
      <c r="V1145" s="50"/>
      <c r="W1145" s="50"/>
      <c r="X1145" s="50"/>
      <c r="Y1145" s="50"/>
      <c r="Z1145" s="50"/>
      <c r="AA1145" s="11"/>
      <c r="AB1145" s="50"/>
      <c r="AC1145" s="50"/>
      <c r="AD1145" s="50"/>
      <c r="AE1145" s="11"/>
      <c r="AF1145" s="50"/>
      <c r="AG1145" s="50"/>
      <c r="AH1145" s="50"/>
      <c r="AI1145" s="11"/>
      <c r="AJ1145" s="50"/>
      <c r="AK1145" s="50"/>
      <c r="AL1145" s="50"/>
      <c r="AM1145" s="11"/>
      <c r="AN1145" s="50"/>
      <c r="AO1145" s="50"/>
      <c r="AP1145" s="50"/>
      <c r="AQ1145" s="11"/>
      <c r="AR1145" s="50"/>
      <c r="AS1145" s="50"/>
      <c r="AT1145" s="50"/>
      <c r="AU1145" s="11"/>
      <c r="AV1145" s="50"/>
      <c r="AW1145" s="50"/>
      <c r="AX1145" s="50"/>
      <c r="AY1145" s="50"/>
      <c r="AZ1145" s="50"/>
      <c r="BA1145" s="50"/>
      <c r="BB1145" s="50"/>
      <c r="BC1145" s="50"/>
      <c r="BD1145" s="50"/>
      <c r="BE1145" s="20"/>
      <c r="BF1145" s="518"/>
      <c r="BG1145" s="484"/>
      <c r="BH1145" s="484"/>
      <c r="BI1145" s="527"/>
      <c r="BJ1145" s="484"/>
      <c r="BK1145" s="484"/>
      <c r="BL1145" s="484"/>
      <c r="BM1145" s="484"/>
    </row>
    <row r="1146" spans="1:65" s="22" customFormat="1" x14ac:dyDescent="0.25">
      <c r="A1146" s="20"/>
      <c r="B1146" s="515"/>
      <c r="C1146" s="11"/>
      <c r="D1146" s="11"/>
      <c r="E1146" s="11"/>
      <c r="F1146" s="21"/>
      <c r="G1146" s="11"/>
      <c r="H1146" s="50"/>
      <c r="I1146" s="50"/>
      <c r="J1146" s="50"/>
      <c r="K1146" s="11"/>
      <c r="L1146" s="50"/>
      <c r="M1146" s="50"/>
      <c r="N1146" s="50"/>
      <c r="O1146" s="50"/>
      <c r="P1146" s="50"/>
      <c r="Q1146" s="11"/>
      <c r="R1146" s="50"/>
      <c r="S1146" s="50"/>
      <c r="T1146" s="50"/>
      <c r="U1146" s="11"/>
      <c r="V1146" s="50"/>
      <c r="W1146" s="50"/>
      <c r="X1146" s="50"/>
      <c r="Y1146" s="50"/>
      <c r="Z1146" s="50"/>
      <c r="AA1146" s="11"/>
      <c r="AB1146" s="50"/>
      <c r="AC1146" s="50"/>
      <c r="AD1146" s="50"/>
      <c r="AE1146" s="11"/>
      <c r="AF1146" s="50"/>
      <c r="AG1146" s="50"/>
      <c r="AH1146" s="50"/>
      <c r="AI1146" s="11"/>
      <c r="AJ1146" s="50"/>
      <c r="AK1146" s="50"/>
      <c r="AL1146" s="50"/>
      <c r="AM1146" s="11"/>
      <c r="AN1146" s="50"/>
      <c r="AO1146" s="50"/>
      <c r="AP1146" s="50"/>
      <c r="AQ1146" s="11"/>
      <c r="AR1146" s="50"/>
      <c r="AS1146" s="50"/>
      <c r="AT1146" s="50"/>
      <c r="AU1146" s="11"/>
      <c r="AV1146" s="50"/>
      <c r="AW1146" s="50"/>
      <c r="AX1146" s="50"/>
      <c r="AY1146" s="50"/>
      <c r="AZ1146" s="50"/>
      <c r="BA1146" s="50"/>
      <c r="BB1146" s="50"/>
      <c r="BC1146" s="50"/>
      <c r="BD1146" s="50"/>
      <c r="BE1146" s="20"/>
      <c r="BF1146" s="518"/>
      <c r="BG1146" s="484"/>
      <c r="BH1146" s="484"/>
      <c r="BI1146" s="527"/>
      <c r="BJ1146" s="484"/>
      <c r="BK1146" s="484"/>
      <c r="BL1146" s="484"/>
      <c r="BM1146" s="484"/>
    </row>
    <row r="1147" spans="1:65" s="22" customFormat="1" x14ac:dyDescent="0.25">
      <c r="A1147" s="20"/>
      <c r="B1147" s="515"/>
      <c r="C1147" s="11"/>
      <c r="D1147" s="11"/>
      <c r="E1147" s="11"/>
      <c r="F1147" s="21"/>
      <c r="G1147" s="11"/>
      <c r="H1147" s="50"/>
      <c r="I1147" s="50"/>
      <c r="J1147" s="50"/>
      <c r="K1147" s="11"/>
      <c r="L1147" s="50"/>
      <c r="M1147" s="50"/>
      <c r="N1147" s="50"/>
      <c r="O1147" s="50"/>
      <c r="P1147" s="50"/>
      <c r="Q1147" s="11"/>
      <c r="R1147" s="50"/>
      <c r="S1147" s="50"/>
      <c r="T1147" s="50"/>
      <c r="U1147" s="11"/>
      <c r="V1147" s="50"/>
      <c r="W1147" s="50"/>
      <c r="X1147" s="50"/>
      <c r="Y1147" s="50"/>
      <c r="Z1147" s="50"/>
      <c r="AA1147" s="11"/>
      <c r="AB1147" s="50"/>
      <c r="AC1147" s="50"/>
      <c r="AD1147" s="50"/>
      <c r="AE1147" s="11"/>
      <c r="AF1147" s="50"/>
      <c r="AG1147" s="50"/>
      <c r="AH1147" s="50"/>
      <c r="AI1147" s="11"/>
      <c r="AJ1147" s="50"/>
      <c r="AK1147" s="50"/>
      <c r="AL1147" s="50"/>
      <c r="AM1147" s="11"/>
      <c r="AN1147" s="50"/>
      <c r="AO1147" s="50"/>
      <c r="AP1147" s="50"/>
      <c r="AQ1147" s="11"/>
      <c r="AR1147" s="50"/>
      <c r="AS1147" s="50"/>
      <c r="AT1147" s="50"/>
      <c r="AU1147" s="11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20"/>
      <c r="BF1147" s="518"/>
      <c r="BG1147" s="484"/>
      <c r="BH1147" s="484"/>
      <c r="BI1147" s="527"/>
      <c r="BJ1147" s="484"/>
      <c r="BK1147" s="484"/>
      <c r="BL1147" s="484"/>
      <c r="BM1147" s="484"/>
    </row>
    <row r="1148" spans="1:65" s="22" customFormat="1" x14ac:dyDescent="0.25">
      <c r="A1148" s="20"/>
      <c r="B1148" s="515"/>
      <c r="C1148" s="11"/>
      <c r="D1148" s="11"/>
      <c r="E1148" s="11"/>
      <c r="F1148" s="21"/>
      <c r="G1148" s="11"/>
      <c r="H1148" s="50"/>
      <c r="I1148" s="50"/>
      <c r="J1148" s="50"/>
      <c r="K1148" s="11"/>
      <c r="L1148" s="50"/>
      <c r="M1148" s="50"/>
      <c r="N1148" s="50"/>
      <c r="O1148" s="50"/>
      <c r="P1148" s="50"/>
      <c r="Q1148" s="11"/>
      <c r="R1148" s="50"/>
      <c r="S1148" s="50"/>
      <c r="T1148" s="50"/>
      <c r="U1148" s="11"/>
      <c r="V1148" s="50"/>
      <c r="W1148" s="50"/>
      <c r="X1148" s="50"/>
      <c r="Y1148" s="50"/>
      <c r="Z1148" s="50"/>
      <c r="AA1148" s="11"/>
      <c r="AB1148" s="50"/>
      <c r="AC1148" s="50"/>
      <c r="AD1148" s="50"/>
      <c r="AE1148" s="11"/>
      <c r="AF1148" s="50"/>
      <c r="AG1148" s="50"/>
      <c r="AH1148" s="50"/>
      <c r="AI1148" s="11"/>
      <c r="AJ1148" s="50"/>
      <c r="AK1148" s="50"/>
      <c r="AL1148" s="50"/>
      <c r="AM1148" s="11"/>
      <c r="AN1148" s="50"/>
      <c r="AO1148" s="50"/>
      <c r="AP1148" s="50"/>
      <c r="AQ1148" s="11"/>
      <c r="AR1148" s="50"/>
      <c r="AS1148" s="50"/>
      <c r="AT1148" s="50"/>
      <c r="AU1148" s="11"/>
      <c r="AV1148" s="50"/>
      <c r="AW1148" s="50"/>
      <c r="AX1148" s="50"/>
      <c r="AY1148" s="50"/>
      <c r="AZ1148" s="50"/>
      <c r="BA1148" s="50"/>
      <c r="BB1148" s="50"/>
      <c r="BC1148" s="50"/>
      <c r="BD1148" s="50"/>
      <c r="BE1148" s="20"/>
      <c r="BF1148" s="518"/>
      <c r="BG1148" s="484"/>
      <c r="BH1148" s="484"/>
      <c r="BI1148" s="527"/>
      <c r="BJ1148" s="484"/>
      <c r="BK1148" s="484"/>
      <c r="BL1148" s="484"/>
      <c r="BM1148" s="484"/>
    </row>
    <row r="1149" spans="1:65" s="22" customFormat="1" x14ac:dyDescent="0.25">
      <c r="A1149" s="20"/>
      <c r="B1149" s="515"/>
      <c r="C1149" s="11"/>
      <c r="D1149" s="11"/>
      <c r="E1149" s="11"/>
      <c r="F1149" s="21"/>
      <c r="G1149" s="11"/>
      <c r="H1149" s="50"/>
      <c r="I1149" s="50"/>
      <c r="J1149" s="50"/>
      <c r="K1149" s="11"/>
      <c r="L1149" s="50"/>
      <c r="M1149" s="50"/>
      <c r="N1149" s="50"/>
      <c r="O1149" s="50"/>
      <c r="P1149" s="50"/>
      <c r="Q1149" s="11"/>
      <c r="R1149" s="50"/>
      <c r="S1149" s="50"/>
      <c r="T1149" s="50"/>
      <c r="U1149" s="11"/>
      <c r="V1149" s="50"/>
      <c r="W1149" s="50"/>
      <c r="X1149" s="50"/>
      <c r="Y1149" s="50"/>
      <c r="Z1149" s="50"/>
      <c r="AA1149" s="11"/>
      <c r="AB1149" s="50"/>
      <c r="AC1149" s="50"/>
      <c r="AD1149" s="50"/>
      <c r="AE1149" s="11"/>
      <c r="AF1149" s="50"/>
      <c r="AG1149" s="50"/>
      <c r="AH1149" s="50"/>
      <c r="AI1149" s="11"/>
      <c r="AJ1149" s="50"/>
      <c r="AK1149" s="50"/>
      <c r="AL1149" s="50"/>
      <c r="AM1149" s="11"/>
      <c r="AN1149" s="50"/>
      <c r="AO1149" s="50"/>
      <c r="AP1149" s="50"/>
      <c r="AQ1149" s="11"/>
      <c r="AR1149" s="50"/>
      <c r="AS1149" s="50"/>
      <c r="AT1149" s="50"/>
      <c r="AU1149" s="11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20"/>
      <c r="BF1149" s="518"/>
      <c r="BG1149" s="484"/>
      <c r="BH1149" s="484"/>
      <c r="BI1149" s="527"/>
      <c r="BJ1149" s="484"/>
      <c r="BK1149" s="484"/>
      <c r="BL1149" s="484"/>
      <c r="BM1149" s="484"/>
    </row>
    <row r="1150" spans="1:65" s="22" customFormat="1" x14ac:dyDescent="0.25">
      <c r="A1150" s="20"/>
      <c r="B1150" s="515"/>
      <c r="C1150" s="11"/>
      <c r="D1150" s="11"/>
      <c r="E1150" s="11"/>
      <c r="F1150" s="21"/>
      <c r="G1150" s="11"/>
      <c r="H1150" s="50"/>
      <c r="I1150" s="50"/>
      <c r="J1150" s="50"/>
      <c r="K1150" s="11"/>
      <c r="L1150" s="50"/>
      <c r="M1150" s="50"/>
      <c r="N1150" s="50"/>
      <c r="O1150" s="50"/>
      <c r="P1150" s="50"/>
      <c r="Q1150" s="11"/>
      <c r="R1150" s="50"/>
      <c r="S1150" s="50"/>
      <c r="T1150" s="50"/>
      <c r="U1150" s="11"/>
      <c r="V1150" s="50"/>
      <c r="W1150" s="50"/>
      <c r="X1150" s="50"/>
      <c r="Y1150" s="50"/>
      <c r="Z1150" s="50"/>
      <c r="AA1150" s="11"/>
      <c r="AB1150" s="50"/>
      <c r="AC1150" s="50"/>
      <c r="AD1150" s="50"/>
      <c r="AE1150" s="11"/>
      <c r="AF1150" s="50"/>
      <c r="AG1150" s="50"/>
      <c r="AH1150" s="50"/>
      <c r="AI1150" s="11"/>
      <c r="AJ1150" s="50"/>
      <c r="AK1150" s="50"/>
      <c r="AL1150" s="50"/>
      <c r="AM1150" s="11"/>
      <c r="AN1150" s="50"/>
      <c r="AO1150" s="50"/>
      <c r="AP1150" s="50"/>
      <c r="AQ1150" s="11"/>
      <c r="AR1150" s="50"/>
      <c r="AS1150" s="50"/>
      <c r="AT1150" s="50"/>
      <c r="AU1150" s="11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20"/>
      <c r="BF1150" s="518"/>
      <c r="BG1150" s="484"/>
      <c r="BH1150" s="484"/>
      <c r="BI1150" s="527"/>
      <c r="BJ1150" s="484"/>
      <c r="BK1150" s="484"/>
      <c r="BL1150" s="484"/>
      <c r="BM1150" s="484"/>
    </row>
    <row r="1151" spans="1:65" s="22" customFormat="1" x14ac:dyDescent="0.25">
      <c r="A1151" s="20"/>
      <c r="B1151" s="515"/>
      <c r="C1151" s="11"/>
      <c r="D1151" s="11"/>
      <c r="E1151" s="11"/>
      <c r="F1151" s="21"/>
      <c r="G1151" s="11"/>
      <c r="H1151" s="50"/>
      <c r="I1151" s="50"/>
      <c r="J1151" s="50"/>
      <c r="K1151" s="11"/>
      <c r="L1151" s="50"/>
      <c r="M1151" s="50"/>
      <c r="N1151" s="50"/>
      <c r="O1151" s="50"/>
      <c r="P1151" s="50"/>
      <c r="Q1151" s="11"/>
      <c r="R1151" s="50"/>
      <c r="S1151" s="50"/>
      <c r="T1151" s="50"/>
      <c r="U1151" s="11"/>
      <c r="V1151" s="50"/>
      <c r="W1151" s="50"/>
      <c r="X1151" s="50"/>
      <c r="Y1151" s="50"/>
      <c r="Z1151" s="50"/>
      <c r="AA1151" s="11"/>
      <c r="AB1151" s="50"/>
      <c r="AC1151" s="50"/>
      <c r="AD1151" s="50"/>
      <c r="AE1151" s="11"/>
      <c r="AF1151" s="50"/>
      <c r="AG1151" s="50"/>
      <c r="AH1151" s="50"/>
      <c r="AI1151" s="11"/>
      <c r="AJ1151" s="50"/>
      <c r="AK1151" s="50"/>
      <c r="AL1151" s="50"/>
      <c r="AM1151" s="11"/>
      <c r="AN1151" s="50"/>
      <c r="AO1151" s="50"/>
      <c r="AP1151" s="50"/>
      <c r="AQ1151" s="11"/>
      <c r="AR1151" s="50"/>
      <c r="AS1151" s="50"/>
      <c r="AT1151" s="50"/>
      <c r="AU1151" s="11"/>
      <c r="AV1151" s="50"/>
      <c r="AW1151" s="50"/>
      <c r="AX1151" s="50"/>
      <c r="AY1151" s="50"/>
      <c r="AZ1151" s="50"/>
      <c r="BA1151" s="50"/>
      <c r="BB1151" s="50"/>
      <c r="BC1151" s="50"/>
      <c r="BD1151" s="50"/>
      <c r="BE1151" s="20"/>
      <c r="BF1151" s="518"/>
      <c r="BG1151" s="484"/>
      <c r="BH1151" s="484"/>
      <c r="BI1151" s="527"/>
      <c r="BJ1151" s="484"/>
      <c r="BK1151" s="484"/>
      <c r="BL1151" s="484"/>
      <c r="BM1151" s="484"/>
    </row>
    <row r="1152" spans="1:65" s="22" customFormat="1" x14ac:dyDescent="0.25">
      <c r="A1152" s="20"/>
      <c r="B1152" s="515"/>
      <c r="C1152" s="11"/>
      <c r="D1152" s="11"/>
      <c r="E1152" s="11"/>
      <c r="F1152" s="21"/>
      <c r="G1152" s="11"/>
      <c r="H1152" s="50"/>
      <c r="I1152" s="50"/>
      <c r="J1152" s="50"/>
      <c r="K1152" s="11"/>
      <c r="L1152" s="50"/>
      <c r="M1152" s="50"/>
      <c r="N1152" s="50"/>
      <c r="O1152" s="50"/>
      <c r="P1152" s="50"/>
      <c r="Q1152" s="11"/>
      <c r="R1152" s="50"/>
      <c r="S1152" s="50"/>
      <c r="T1152" s="50"/>
      <c r="U1152" s="11"/>
      <c r="V1152" s="50"/>
      <c r="W1152" s="50"/>
      <c r="X1152" s="50"/>
      <c r="Y1152" s="50"/>
      <c r="Z1152" s="50"/>
      <c r="AA1152" s="11"/>
      <c r="AB1152" s="50"/>
      <c r="AC1152" s="50"/>
      <c r="AD1152" s="50"/>
      <c r="AE1152" s="11"/>
      <c r="AF1152" s="50"/>
      <c r="AG1152" s="50"/>
      <c r="AH1152" s="50"/>
      <c r="AI1152" s="11"/>
      <c r="AJ1152" s="50"/>
      <c r="AK1152" s="50"/>
      <c r="AL1152" s="50"/>
      <c r="AM1152" s="11"/>
      <c r="AN1152" s="50"/>
      <c r="AO1152" s="50"/>
      <c r="AP1152" s="50"/>
      <c r="AQ1152" s="11"/>
      <c r="AR1152" s="50"/>
      <c r="AS1152" s="50"/>
      <c r="AT1152" s="50"/>
      <c r="AU1152" s="11"/>
      <c r="AV1152" s="50"/>
      <c r="AW1152" s="50"/>
      <c r="AX1152" s="50"/>
      <c r="AY1152" s="50"/>
      <c r="AZ1152" s="50"/>
      <c r="BA1152" s="50"/>
      <c r="BB1152" s="50"/>
      <c r="BC1152" s="50"/>
      <c r="BD1152" s="50"/>
      <c r="BE1152" s="20"/>
      <c r="BF1152" s="518"/>
      <c r="BG1152" s="484"/>
      <c r="BH1152" s="484"/>
      <c r="BI1152" s="527"/>
      <c r="BJ1152" s="484"/>
      <c r="BK1152" s="484"/>
      <c r="BL1152" s="484"/>
      <c r="BM1152" s="484"/>
    </row>
    <row r="1153" spans="1:65" s="22" customFormat="1" x14ac:dyDescent="0.25">
      <c r="A1153" s="20"/>
      <c r="B1153" s="515"/>
      <c r="C1153" s="11"/>
      <c r="D1153" s="11"/>
      <c r="E1153" s="11"/>
      <c r="F1153" s="21"/>
      <c r="G1153" s="11"/>
      <c r="H1153" s="50"/>
      <c r="I1153" s="50"/>
      <c r="J1153" s="50"/>
      <c r="K1153" s="11"/>
      <c r="L1153" s="50"/>
      <c r="M1153" s="50"/>
      <c r="N1153" s="50"/>
      <c r="O1153" s="50"/>
      <c r="P1153" s="50"/>
      <c r="Q1153" s="11"/>
      <c r="R1153" s="50"/>
      <c r="S1153" s="50"/>
      <c r="T1153" s="50"/>
      <c r="U1153" s="11"/>
      <c r="V1153" s="50"/>
      <c r="W1153" s="50"/>
      <c r="X1153" s="50"/>
      <c r="Y1153" s="50"/>
      <c r="Z1153" s="50"/>
      <c r="AA1153" s="11"/>
      <c r="AB1153" s="50"/>
      <c r="AC1153" s="50"/>
      <c r="AD1153" s="50"/>
      <c r="AE1153" s="11"/>
      <c r="AF1153" s="50"/>
      <c r="AG1153" s="50"/>
      <c r="AH1153" s="50"/>
      <c r="AI1153" s="11"/>
      <c r="AJ1153" s="50"/>
      <c r="AK1153" s="50"/>
      <c r="AL1153" s="50"/>
      <c r="AM1153" s="11"/>
      <c r="AN1153" s="50"/>
      <c r="AO1153" s="50"/>
      <c r="AP1153" s="50"/>
      <c r="AQ1153" s="11"/>
      <c r="AR1153" s="50"/>
      <c r="AS1153" s="50"/>
      <c r="AT1153" s="50"/>
      <c r="AU1153" s="11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20"/>
      <c r="BF1153" s="518"/>
      <c r="BG1153" s="484"/>
      <c r="BH1153" s="484"/>
      <c r="BI1153" s="527"/>
      <c r="BJ1153" s="484"/>
      <c r="BK1153" s="484"/>
      <c r="BL1153" s="484"/>
      <c r="BM1153" s="484"/>
    </row>
    <row r="1154" spans="1:65" s="22" customFormat="1" x14ac:dyDescent="0.25">
      <c r="A1154" s="20"/>
      <c r="B1154" s="515"/>
      <c r="C1154" s="11"/>
      <c r="D1154" s="11"/>
      <c r="E1154" s="11"/>
      <c r="F1154" s="21"/>
      <c r="G1154" s="11"/>
      <c r="H1154" s="50"/>
      <c r="I1154" s="50"/>
      <c r="J1154" s="50"/>
      <c r="K1154" s="11"/>
      <c r="L1154" s="50"/>
      <c r="M1154" s="50"/>
      <c r="N1154" s="50"/>
      <c r="O1154" s="50"/>
      <c r="P1154" s="50"/>
      <c r="Q1154" s="11"/>
      <c r="R1154" s="50"/>
      <c r="S1154" s="50"/>
      <c r="T1154" s="50"/>
      <c r="U1154" s="11"/>
      <c r="V1154" s="50"/>
      <c r="W1154" s="50"/>
      <c r="X1154" s="50"/>
      <c r="Y1154" s="50"/>
      <c r="Z1154" s="50"/>
      <c r="AA1154" s="11"/>
      <c r="AB1154" s="50"/>
      <c r="AC1154" s="50"/>
      <c r="AD1154" s="50"/>
      <c r="AE1154" s="11"/>
      <c r="AF1154" s="50"/>
      <c r="AG1154" s="50"/>
      <c r="AH1154" s="50"/>
      <c r="AI1154" s="11"/>
      <c r="AJ1154" s="50"/>
      <c r="AK1154" s="50"/>
      <c r="AL1154" s="50"/>
      <c r="AM1154" s="11"/>
      <c r="AN1154" s="50"/>
      <c r="AO1154" s="50"/>
      <c r="AP1154" s="50"/>
      <c r="AQ1154" s="11"/>
      <c r="AR1154" s="50"/>
      <c r="AS1154" s="50"/>
      <c r="AT1154" s="50"/>
      <c r="AU1154" s="11"/>
      <c r="AV1154" s="50"/>
      <c r="AW1154" s="50"/>
      <c r="AX1154" s="50"/>
      <c r="AY1154" s="50"/>
      <c r="AZ1154" s="50"/>
      <c r="BA1154" s="50"/>
      <c r="BB1154" s="50"/>
      <c r="BC1154" s="50"/>
      <c r="BD1154" s="50"/>
      <c r="BE1154" s="20"/>
      <c r="BF1154" s="518"/>
      <c r="BG1154" s="484"/>
      <c r="BH1154" s="484"/>
      <c r="BI1154" s="527"/>
      <c r="BJ1154" s="484"/>
      <c r="BK1154" s="484"/>
      <c r="BL1154" s="484"/>
      <c r="BM1154" s="484"/>
    </row>
    <row r="1155" spans="1:65" s="22" customFormat="1" x14ac:dyDescent="0.25">
      <c r="A1155" s="20"/>
      <c r="B1155" s="515"/>
      <c r="C1155" s="11"/>
      <c r="D1155" s="11"/>
      <c r="E1155" s="11"/>
      <c r="F1155" s="21"/>
      <c r="G1155" s="11"/>
      <c r="H1155" s="50"/>
      <c r="I1155" s="50"/>
      <c r="J1155" s="50"/>
      <c r="K1155" s="11"/>
      <c r="L1155" s="50"/>
      <c r="M1155" s="50"/>
      <c r="N1155" s="50"/>
      <c r="O1155" s="50"/>
      <c r="P1155" s="50"/>
      <c r="Q1155" s="11"/>
      <c r="R1155" s="50"/>
      <c r="S1155" s="50"/>
      <c r="T1155" s="50"/>
      <c r="U1155" s="11"/>
      <c r="V1155" s="50"/>
      <c r="W1155" s="50"/>
      <c r="X1155" s="50"/>
      <c r="Y1155" s="50"/>
      <c r="Z1155" s="50"/>
      <c r="AA1155" s="11"/>
      <c r="AB1155" s="50"/>
      <c r="AC1155" s="50"/>
      <c r="AD1155" s="50"/>
      <c r="AE1155" s="11"/>
      <c r="AF1155" s="50"/>
      <c r="AG1155" s="50"/>
      <c r="AH1155" s="50"/>
      <c r="AI1155" s="11"/>
      <c r="AJ1155" s="50"/>
      <c r="AK1155" s="50"/>
      <c r="AL1155" s="50"/>
      <c r="AM1155" s="11"/>
      <c r="AN1155" s="50"/>
      <c r="AO1155" s="50"/>
      <c r="AP1155" s="50"/>
      <c r="AQ1155" s="11"/>
      <c r="AR1155" s="50"/>
      <c r="AS1155" s="50"/>
      <c r="AT1155" s="50"/>
      <c r="AU1155" s="11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20"/>
      <c r="BF1155" s="518"/>
      <c r="BG1155" s="484"/>
      <c r="BH1155" s="484"/>
      <c r="BI1155" s="527"/>
      <c r="BJ1155" s="484"/>
      <c r="BK1155" s="484"/>
      <c r="BL1155" s="484"/>
      <c r="BM1155" s="484"/>
    </row>
    <row r="1156" spans="1:65" s="22" customFormat="1" x14ac:dyDescent="0.25">
      <c r="A1156" s="20"/>
      <c r="B1156" s="515"/>
      <c r="C1156" s="11"/>
      <c r="D1156" s="11"/>
      <c r="E1156" s="11"/>
      <c r="F1156" s="21"/>
      <c r="G1156" s="11"/>
      <c r="H1156" s="50"/>
      <c r="I1156" s="50"/>
      <c r="J1156" s="50"/>
      <c r="K1156" s="11"/>
      <c r="L1156" s="50"/>
      <c r="M1156" s="50"/>
      <c r="N1156" s="50"/>
      <c r="O1156" s="50"/>
      <c r="P1156" s="50"/>
      <c r="Q1156" s="11"/>
      <c r="R1156" s="50"/>
      <c r="S1156" s="50"/>
      <c r="T1156" s="50"/>
      <c r="U1156" s="11"/>
      <c r="V1156" s="50"/>
      <c r="W1156" s="50"/>
      <c r="X1156" s="50"/>
      <c r="Y1156" s="50"/>
      <c r="Z1156" s="50"/>
      <c r="AA1156" s="11"/>
      <c r="AB1156" s="50"/>
      <c r="AC1156" s="50"/>
      <c r="AD1156" s="50"/>
      <c r="AE1156" s="11"/>
      <c r="AF1156" s="50"/>
      <c r="AG1156" s="50"/>
      <c r="AH1156" s="50"/>
      <c r="AI1156" s="11"/>
      <c r="AJ1156" s="50"/>
      <c r="AK1156" s="50"/>
      <c r="AL1156" s="50"/>
      <c r="AM1156" s="11"/>
      <c r="AN1156" s="50"/>
      <c r="AO1156" s="50"/>
      <c r="AP1156" s="50"/>
      <c r="AQ1156" s="11"/>
      <c r="AR1156" s="50"/>
      <c r="AS1156" s="50"/>
      <c r="AT1156" s="50"/>
      <c r="AU1156" s="11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20"/>
      <c r="BF1156" s="518"/>
      <c r="BG1156" s="484"/>
      <c r="BH1156" s="484"/>
      <c r="BI1156" s="527"/>
      <c r="BJ1156" s="484"/>
      <c r="BK1156" s="484"/>
      <c r="BL1156" s="484"/>
      <c r="BM1156" s="484"/>
    </row>
    <row r="1157" spans="1:65" s="22" customFormat="1" x14ac:dyDescent="0.25">
      <c r="A1157" s="20"/>
      <c r="B1157" s="515"/>
      <c r="C1157" s="11"/>
      <c r="D1157" s="11"/>
      <c r="E1157" s="11"/>
      <c r="F1157" s="21"/>
      <c r="G1157" s="11"/>
      <c r="H1157" s="50"/>
      <c r="I1157" s="50"/>
      <c r="J1157" s="50"/>
      <c r="K1157" s="11"/>
      <c r="L1157" s="50"/>
      <c r="M1157" s="50"/>
      <c r="N1157" s="50"/>
      <c r="O1157" s="50"/>
      <c r="P1157" s="50"/>
      <c r="Q1157" s="11"/>
      <c r="R1157" s="50"/>
      <c r="S1157" s="50"/>
      <c r="T1157" s="50"/>
      <c r="U1157" s="11"/>
      <c r="V1157" s="50"/>
      <c r="W1157" s="50"/>
      <c r="X1157" s="50"/>
      <c r="Y1157" s="50"/>
      <c r="Z1157" s="50"/>
      <c r="AA1157" s="11"/>
      <c r="AB1157" s="50"/>
      <c r="AC1157" s="50"/>
      <c r="AD1157" s="50"/>
      <c r="AE1157" s="11"/>
      <c r="AF1157" s="50"/>
      <c r="AG1157" s="50"/>
      <c r="AH1157" s="50"/>
      <c r="AI1157" s="11"/>
      <c r="AJ1157" s="50"/>
      <c r="AK1157" s="50"/>
      <c r="AL1157" s="50"/>
      <c r="AM1157" s="11"/>
      <c r="AN1157" s="50"/>
      <c r="AO1157" s="50"/>
      <c r="AP1157" s="50"/>
      <c r="AQ1157" s="11"/>
      <c r="AR1157" s="50"/>
      <c r="AS1157" s="50"/>
      <c r="AT1157" s="50"/>
      <c r="AU1157" s="11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20"/>
      <c r="BF1157" s="518"/>
      <c r="BG1157" s="484"/>
      <c r="BH1157" s="484"/>
      <c r="BI1157" s="527"/>
      <c r="BJ1157" s="484"/>
      <c r="BK1157" s="484"/>
      <c r="BL1157" s="484"/>
      <c r="BM1157" s="484"/>
    </row>
    <row r="1158" spans="1:65" s="22" customFormat="1" x14ac:dyDescent="0.25">
      <c r="A1158" s="20"/>
      <c r="B1158" s="515"/>
      <c r="C1158" s="11"/>
      <c r="D1158" s="11"/>
      <c r="E1158" s="11"/>
      <c r="F1158" s="21"/>
      <c r="G1158" s="11"/>
      <c r="H1158" s="50"/>
      <c r="I1158" s="50"/>
      <c r="J1158" s="50"/>
      <c r="K1158" s="11"/>
      <c r="L1158" s="50"/>
      <c r="M1158" s="50"/>
      <c r="N1158" s="50"/>
      <c r="O1158" s="50"/>
      <c r="P1158" s="50"/>
      <c r="Q1158" s="11"/>
      <c r="R1158" s="50"/>
      <c r="S1158" s="50"/>
      <c r="T1158" s="50"/>
      <c r="U1158" s="11"/>
      <c r="V1158" s="50"/>
      <c r="W1158" s="50"/>
      <c r="X1158" s="50"/>
      <c r="Y1158" s="50"/>
      <c r="Z1158" s="50"/>
      <c r="AA1158" s="11"/>
      <c r="AB1158" s="50"/>
      <c r="AC1158" s="50"/>
      <c r="AD1158" s="50"/>
      <c r="AE1158" s="11"/>
      <c r="AF1158" s="50"/>
      <c r="AG1158" s="50"/>
      <c r="AH1158" s="50"/>
      <c r="AI1158" s="11"/>
      <c r="AJ1158" s="50"/>
      <c r="AK1158" s="50"/>
      <c r="AL1158" s="50"/>
      <c r="AM1158" s="11"/>
      <c r="AN1158" s="50"/>
      <c r="AO1158" s="50"/>
      <c r="AP1158" s="50"/>
      <c r="AQ1158" s="11"/>
      <c r="AR1158" s="50"/>
      <c r="AS1158" s="50"/>
      <c r="AT1158" s="50"/>
      <c r="AU1158" s="11"/>
      <c r="AV1158" s="50"/>
      <c r="AW1158" s="50"/>
      <c r="AX1158" s="50"/>
      <c r="AY1158" s="50"/>
      <c r="AZ1158" s="50"/>
      <c r="BA1158" s="50"/>
      <c r="BB1158" s="50"/>
      <c r="BC1158" s="50"/>
      <c r="BD1158" s="50"/>
      <c r="BE1158" s="20"/>
      <c r="BF1158" s="518"/>
      <c r="BG1158" s="484"/>
      <c r="BH1158" s="484"/>
      <c r="BI1158" s="527"/>
      <c r="BJ1158" s="484"/>
      <c r="BK1158" s="484"/>
      <c r="BL1158" s="484"/>
      <c r="BM1158" s="484"/>
    </row>
    <row r="1159" spans="1:65" s="22" customFormat="1" x14ac:dyDescent="0.25">
      <c r="A1159" s="20"/>
      <c r="B1159" s="515"/>
      <c r="C1159" s="11"/>
      <c r="D1159" s="11"/>
      <c r="E1159" s="11"/>
      <c r="F1159" s="21"/>
      <c r="G1159" s="11"/>
      <c r="H1159" s="50"/>
      <c r="I1159" s="50"/>
      <c r="J1159" s="50"/>
      <c r="K1159" s="11"/>
      <c r="L1159" s="50"/>
      <c r="M1159" s="50"/>
      <c r="N1159" s="50"/>
      <c r="O1159" s="50"/>
      <c r="P1159" s="50"/>
      <c r="Q1159" s="11"/>
      <c r="R1159" s="50"/>
      <c r="S1159" s="50"/>
      <c r="T1159" s="50"/>
      <c r="U1159" s="11"/>
      <c r="V1159" s="50"/>
      <c r="W1159" s="50"/>
      <c r="X1159" s="50"/>
      <c r="Y1159" s="50"/>
      <c r="Z1159" s="50"/>
      <c r="AA1159" s="11"/>
      <c r="AB1159" s="50"/>
      <c r="AC1159" s="50"/>
      <c r="AD1159" s="50"/>
      <c r="AE1159" s="11"/>
      <c r="AF1159" s="50"/>
      <c r="AG1159" s="50"/>
      <c r="AH1159" s="50"/>
      <c r="AI1159" s="11"/>
      <c r="AJ1159" s="50"/>
      <c r="AK1159" s="50"/>
      <c r="AL1159" s="50"/>
      <c r="AM1159" s="11"/>
      <c r="AN1159" s="50"/>
      <c r="AO1159" s="50"/>
      <c r="AP1159" s="50"/>
      <c r="AQ1159" s="11"/>
      <c r="AR1159" s="50"/>
      <c r="AS1159" s="50"/>
      <c r="AT1159" s="50"/>
      <c r="AU1159" s="11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20"/>
      <c r="BF1159" s="518"/>
      <c r="BG1159" s="484"/>
      <c r="BH1159" s="484"/>
      <c r="BI1159" s="527"/>
      <c r="BJ1159" s="484"/>
      <c r="BK1159" s="484"/>
      <c r="BL1159" s="484"/>
      <c r="BM1159" s="484"/>
    </row>
    <row r="1160" spans="1:65" s="22" customFormat="1" x14ac:dyDescent="0.25">
      <c r="A1160" s="20"/>
      <c r="B1160" s="515"/>
      <c r="C1160" s="11"/>
      <c r="D1160" s="11"/>
      <c r="E1160" s="11"/>
      <c r="F1160" s="21"/>
      <c r="G1160" s="11"/>
      <c r="H1160" s="50"/>
      <c r="I1160" s="50"/>
      <c r="J1160" s="50"/>
      <c r="K1160" s="11"/>
      <c r="L1160" s="50"/>
      <c r="M1160" s="50"/>
      <c r="N1160" s="50"/>
      <c r="O1160" s="50"/>
      <c r="P1160" s="50"/>
      <c r="Q1160" s="11"/>
      <c r="R1160" s="50"/>
      <c r="S1160" s="50"/>
      <c r="T1160" s="50"/>
      <c r="U1160" s="11"/>
      <c r="V1160" s="50"/>
      <c r="W1160" s="50"/>
      <c r="X1160" s="50"/>
      <c r="Y1160" s="50"/>
      <c r="Z1160" s="50"/>
      <c r="AA1160" s="11"/>
      <c r="AB1160" s="50"/>
      <c r="AC1160" s="50"/>
      <c r="AD1160" s="50"/>
      <c r="AE1160" s="11"/>
      <c r="AF1160" s="50"/>
      <c r="AG1160" s="50"/>
      <c r="AH1160" s="50"/>
      <c r="AI1160" s="11"/>
      <c r="AJ1160" s="50"/>
      <c r="AK1160" s="50"/>
      <c r="AL1160" s="50"/>
      <c r="AM1160" s="11"/>
      <c r="AN1160" s="50"/>
      <c r="AO1160" s="50"/>
      <c r="AP1160" s="50"/>
      <c r="AQ1160" s="11"/>
      <c r="AR1160" s="50"/>
      <c r="AS1160" s="50"/>
      <c r="AT1160" s="50"/>
      <c r="AU1160" s="11"/>
      <c r="AV1160" s="50"/>
      <c r="AW1160" s="50"/>
      <c r="AX1160" s="50"/>
      <c r="AY1160" s="50"/>
      <c r="AZ1160" s="50"/>
      <c r="BA1160" s="50"/>
      <c r="BB1160" s="50"/>
      <c r="BC1160" s="50"/>
      <c r="BD1160" s="50"/>
      <c r="BE1160" s="20"/>
      <c r="BF1160" s="518"/>
      <c r="BG1160" s="484"/>
      <c r="BH1160" s="484"/>
      <c r="BI1160" s="527"/>
      <c r="BJ1160" s="484"/>
      <c r="BK1160" s="484"/>
      <c r="BL1160" s="484"/>
      <c r="BM1160" s="484"/>
    </row>
    <row r="1161" spans="1:65" s="22" customFormat="1" x14ac:dyDescent="0.25">
      <c r="A1161" s="20"/>
      <c r="B1161" s="515"/>
      <c r="C1161" s="11"/>
      <c r="D1161" s="11"/>
      <c r="E1161" s="11"/>
      <c r="F1161" s="21"/>
      <c r="G1161" s="11"/>
      <c r="H1161" s="50"/>
      <c r="I1161" s="50"/>
      <c r="J1161" s="50"/>
      <c r="K1161" s="11"/>
      <c r="L1161" s="50"/>
      <c r="M1161" s="50"/>
      <c r="N1161" s="50"/>
      <c r="O1161" s="50"/>
      <c r="P1161" s="50"/>
      <c r="Q1161" s="11"/>
      <c r="R1161" s="50"/>
      <c r="S1161" s="50"/>
      <c r="T1161" s="50"/>
      <c r="U1161" s="11"/>
      <c r="V1161" s="50"/>
      <c r="W1161" s="50"/>
      <c r="X1161" s="50"/>
      <c r="Y1161" s="50"/>
      <c r="Z1161" s="50"/>
      <c r="AA1161" s="11"/>
      <c r="AB1161" s="50"/>
      <c r="AC1161" s="50"/>
      <c r="AD1161" s="50"/>
      <c r="AE1161" s="11"/>
      <c r="AF1161" s="50"/>
      <c r="AG1161" s="50"/>
      <c r="AH1161" s="50"/>
      <c r="AI1161" s="11"/>
      <c r="AJ1161" s="50"/>
      <c r="AK1161" s="50"/>
      <c r="AL1161" s="50"/>
      <c r="AM1161" s="11"/>
      <c r="AN1161" s="50"/>
      <c r="AO1161" s="50"/>
      <c r="AP1161" s="50"/>
      <c r="AQ1161" s="11"/>
      <c r="AR1161" s="50"/>
      <c r="AS1161" s="50"/>
      <c r="AT1161" s="50"/>
      <c r="AU1161" s="11"/>
      <c r="AV1161" s="50"/>
      <c r="AW1161" s="50"/>
      <c r="AX1161" s="50"/>
      <c r="AY1161" s="50"/>
      <c r="AZ1161" s="50"/>
      <c r="BA1161" s="50"/>
      <c r="BB1161" s="50"/>
      <c r="BC1161" s="50"/>
      <c r="BD1161" s="50"/>
      <c r="BE1161" s="20"/>
      <c r="BF1161" s="518"/>
      <c r="BG1161" s="484"/>
      <c r="BH1161" s="484"/>
      <c r="BI1161" s="527"/>
      <c r="BJ1161" s="484"/>
      <c r="BK1161" s="484"/>
      <c r="BL1161" s="484"/>
      <c r="BM1161" s="484"/>
    </row>
    <row r="1162" spans="1:65" s="22" customFormat="1" x14ac:dyDescent="0.25">
      <c r="A1162" s="20"/>
      <c r="B1162" s="515"/>
      <c r="C1162" s="11"/>
      <c r="D1162" s="11"/>
      <c r="E1162" s="11"/>
      <c r="F1162" s="21"/>
      <c r="G1162" s="11"/>
      <c r="H1162" s="50"/>
      <c r="I1162" s="50"/>
      <c r="J1162" s="50"/>
      <c r="K1162" s="11"/>
      <c r="L1162" s="50"/>
      <c r="M1162" s="50"/>
      <c r="N1162" s="50"/>
      <c r="O1162" s="50"/>
      <c r="P1162" s="50"/>
      <c r="Q1162" s="11"/>
      <c r="R1162" s="50"/>
      <c r="S1162" s="50"/>
      <c r="T1162" s="50"/>
      <c r="U1162" s="11"/>
      <c r="V1162" s="50"/>
      <c r="W1162" s="50"/>
      <c r="X1162" s="50"/>
      <c r="Y1162" s="50"/>
      <c r="Z1162" s="50"/>
      <c r="AA1162" s="11"/>
      <c r="AB1162" s="50"/>
      <c r="AC1162" s="50"/>
      <c r="AD1162" s="50"/>
      <c r="AE1162" s="11"/>
      <c r="AF1162" s="50"/>
      <c r="AG1162" s="50"/>
      <c r="AH1162" s="50"/>
      <c r="AI1162" s="11"/>
      <c r="AJ1162" s="50"/>
      <c r="AK1162" s="50"/>
      <c r="AL1162" s="50"/>
      <c r="AM1162" s="11"/>
      <c r="AN1162" s="50"/>
      <c r="AO1162" s="50"/>
      <c r="AP1162" s="50"/>
      <c r="AQ1162" s="11"/>
      <c r="AR1162" s="50"/>
      <c r="AS1162" s="50"/>
      <c r="AT1162" s="50"/>
      <c r="AU1162" s="11"/>
      <c r="AV1162" s="50"/>
      <c r="AW1162" s="50"/>
      <c r="AX1162" s="50"/>
      <c r="AY1162" s="50"/>
      <c r="AZ1162" s="50"/>
      <c r="BA1162" s="50"/>
      <c r="BB1162" s="50"/>
      <c r="BC1162" s="50"/>
      <c r="BD1162" s="50"/>
      <c r="BE1162" s="20"/>
      <c r="BF1162" s="518"/>
      <c r="BG1162" s="484"/>
      <c r="BH1162" s="484"/>
      <c r="BI1162" s="527"/>
      <c r="BJ1162" s="484"/>
      <c r="BK1162" s="484"/>
      <c r="BL1162" s="484"/>
      <c r="BM1162" s="484"/>
    </row>
    <row r="1163" spans="1:65" s="22" customFormat="1" x14ac:dyDescent="0.25">
      <c r="A1163" s="20"/>
      <c r="B1163" s="515"/>
      <c r="C1163" s="11"/>
      <c r="D1163" s="11"/>
      <c r="E1163" s="11"/>
      <c r="F1163" s="21"/>
      <c r="G1163" s="11"/>
      <c r="H1163" s="50"/>
      <c r="I1163" s="50"/>
      <c r="J1163" s="50"/>
      <c r="K1163" s="11"/>
      <c r="L1163" s="50"/>
      <c r="M1163" s="50"/>
      <c r="N1163" s="50"/>
      <c r="O1163" s="50"/>
      <c r="P1163" s="50"/>
      <c r="Q1163" s="11"/>
      <c r="R1163" s="50"/>
      <c r="S1163" s="50"/>
      <c r="T1163" s="50"/>
      <c r="U1163" s="11"/>
      <c r="V1163" s="50"/>
      <c r="W1163" s="50"/>
      <c r="X1163" s="50"/>
      <c r="Y1163" s="50"/>
      <c r="Z1163" s="50"/>
      <c r="AA1163" s="11"/>
      <c r="AB1163" s="50"/>
      <c r="AC1163" s="50"/>
      <c r="AD1163" s="50"/>
      <c r="AE1163" s="11"/>
      <c r="AF1163" s="50"/>
      <c r="AG1163" s="50"/>
      <c r="AH1163" s="50"/>
      <c r="AI1163" s="11"/>
      <c r="AJ1163" s="50"/>
      <c r="AK1163" s="50"/>
      <c r="AL1163" s="50"/>
      <c r="AM1163" s="11"/>
      <c r="AN1163" s="50"/>
      <c r="AO1163" s="50"/>
      <c r="AP1163" s="50"/>
      <c r="AQ1163" s="11"/>
      <c r="AR1163" s="50"/>
      <c r="AS1163" s="50"/>
      <c r="AT1163" s="50"/>
      <c r="AU1163" s="11"/>
      <c r="AV1163" s="50"/>
      <c r="AW1163" s="50"/>
      <c r="AX1163" s="50"/>
      <c r="AY1163" s="50"/>
      <c r="AZ1163" s="50"/>
      <c r="BA1163" s="50"/>
      <c r="BB1163" s="50"/>
      <c r="BC1163" s="50"/>
      <c r="BD1163" s="50"/>
      <c r="BE1163" s="20"/>
      <c r="BF1163" s="518"/>
      <c r="BG1163" s="484"/>
      <c r="BH1163" s="484"/>
      <c r="BI1163" s="527"/>
      <c r="BJ1163" s="484"/>
      <c r="BK1163" s="484"/>
      <c r="BL1163" s="484"/>
      <c r="BM1163" s="484"/>
    </row>
    <row r="1164" spans="1:65" s="22" customFormat="1" x14ac:dyDescent="0.25">
      <c r="A1164" s="20"/>
      <c r="B1164" s="515"/>
      <c r="C1164" s="11"/>
      <c r="D1164" s="11"/>
      <c r="E1164" s="11"/>
      <c r="F1164" s="21"/>
      <c r="G1164" s="11"/>
      <c r="H1164" s="50"/>
      <c r="I1164" s="50"/>
      <c r="J1164" s="50"/>
      <c r="K1164" s="11"/>
      <c r="L1164" s="50"/>
      <c r="M1164" s="50"/>
      <c r="N1164" s="50"/>
      <c r="O1164" s="50"/>
      <c r="P1164" s="50"/>
      <c r="Q1164" s="11"/>
      <c r="R1164" s="50"/>
      <c r="S1164" s="50"/>
      <c r="T1164" s="50"/>
      <c r="U1164" s="11"/>
      <c r="V1164" s="50"/>
      <c r="W1164" s="50"/>
      <c r="X1164" s="50"/>
      <c r="Y1164" s="50"/>
      <c r="Z1164" s="50"/>
      <c r="AA1164" s="11"/>
      <c r="AB1164" s="50"/>
      <c r="AC1164" s="50"/>
      <c r="AD1164" s="50"/>
      <c r="AE1164" s="11"/>
      <c r="AF1164" s="50"/>
      <c r="AG1164" s="50"/>
      <c r="AH1164" s="50"/>
      <c r="AI1164" s="11"/>
      <c r="AJ1164" s="50"/>
      <c r="AK1164" s="50"/>
      <c r="AL1164" s="50"/>
      <c r="AM1164" s="11"/>
      <c r="AN1164" s="50"/>
      <c r="AO1164" s="50"/>
      <c r="AP1164" s="50"/>
      <c r="AQ1164" s="11"/>
      <c r="AR1164" s="50"/>
      <c r="AS1164" s="50"/>
      <c r="AT1164" s="50"/>
      <c r="AU1164" s="11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20"/>
      <c r="BF1164" s="518"/>
      <c r="BG1164" s="484"/>
      <c r="BH1164" s="484"/>
      <c r="BI1164" s="527"/>
      <c r="BJ1164" s="484"/>
      <c r="BK1164" s="484"/>
      <c r="BL1164" s="484"/>
      <c r="BM1164" s="484"/>
    </row>
    <row r="1165" spans="1:65" s="22" customFormat="1" x14ac:dyDescent="0.25">
      <c r="A1165" s="20"/>
      <c r="B1165" s="515"/>
      <c r="C1165" s="11"/>
      <c r="D1165" s="11"/>
      <c r="E1165" s="11"/>
      <c r="F1165" s="21"/>
      <c r="G1165" s="11"/>
      <c r="H1165" s="50"/>
      <c r="I1165" s="50"/>
      <c r="J1165" s="50"/>
      <c r="K1165" s="11"/>
      <c r="L1165" s="50"/>
      <c r="M1165" s="50"/>
      <c r="N1165" s="50"/>
      <c r="O1165" s="50"/>
      <c r="P1165" s="50"/>
      <c r="Q1165" s="11"/>
      <c r="R1165" s="50"/>
      <c r="S1165" s="50"/>
      <c r="T1165" s="50"/>
      <c r="U1165" s="11"/>
      <c r="V1165" s="50"/>
      <c r="W1165" s="50"/>
      <c r="X1165" s="50"/>
      <c r="Y1165" s="50"/>
      <c r="Z1165" s="50"/>
      <c r="AA1165" s="11"/>
      <c r="AB1165" s="50"/>
      <c r="AC1165" s="50"/>
      <c r="AD1165" s="50"/>
      <c r="AE1165" s="11"/>
      <c r="AF1165" s="50"/>
      <c r="AG1165" s="50"/>
      <c r="AH1165" s="50"/>
      <c r="AI1165" s="11"/>
      <c r="AJ1165" s="50"/>
      <c r="AK1165" s="50"/>
      <c r="AL1165" s="50"/>
      <c r="AM1165" s="11"/>
      <c r="AN1165" s="50"/>
      <c r="AO1165" s="50"/>
      <c r="AP1165" s="50"/>
      <c r="AQ1165" s="11"/>
      <c r="AR1165" s="50"/>
      <c r="AS1165" s="50"/>
      <c r="AT1165" s="50"/>
      <c r="AU1165" s="11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20"/>
      <c r="BF1165" s="518"/>
      <c r="BG1165" s="484"/>
      <c r="BH1165" s="484"/>
      <c r="BI1165" s="527"/>
      <c r="BJ1165" s="484"/>
      <c r="BK1165" s="484"/>
      <c r="BL1165" s="484"/>
      <c r="BM1165" s="484"/>
    </row>
    <row r="1166" spans="1:65" s="22" customFormat="1" x14ac:dyDescent="0.25">
      <c r="A1166" s="20"/>
      <c r="B1166" s="515"/>
      <c r="C1166" s="11"/>
      <c r="D1166" s="11"/>
      <c r="E1166" s="11"/>
      <c r="F1166" s="21"/>
      <c r="G1166" s="11"/>
      <c r="H1166" s="50"/>
      <c r="I1166" s="50"/>
      <c r="J1166" s="50"/>
      <c r="K1166" s="11"/>
      <c r="L1166" s="50"/>
      <c r="M1166" s="50"/>
      <c r="N1166" s="50"/>
      <c r="O1166" s="50"/>
      <c r="P1166" s="50"/>
      <c r="Q1166" s="11"/>
      <c r="R1166" s="50"/>
      <c r="S1166" s="50"/>
      <c r="T1166" s="50"/>
      <c r="U1166" s="11"/>
      <c r="V1166" s="50"/>
      <c r="W1166" s="50"/>
      <c r="X1166" s="50"/>
      <c r="Y1166" s="50"/>
      <c r="Z1166" s="50"/>
      <c r="AA1166" s="11"/>
      <c r="AB1166" s="50"/>
      <c r="AC1166" s="50"/>
      <c r="AD1166" s="50"/>
      <c r="AE1166" s="11"/>
      <c r="AF1166" s="50"/>
      <c r="AG1166" s="50"/>
      <c r="AH1166" s="50"/>
      <c r="AI1166" s="11"/>
      <c r="AJ1166" s="50"/>
      <c r="AK1166" s="50"/>
      <c r="AL1166" s="50"/>
      <c r="AM1166" s="11"/>
      <c r="AN1166" s="50"/>
      <c r="AO1166" s="50"/>
      <c r="AP1166" s="50"/>
      <c r="AQ1166" s="11"/>
      <c r="AR1166" s="50"/>
      <c r="AS1166" s="50"/>
      <c r="AT1166" s="50"/>
      <c r="AU1166" s="11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20"/>
      <c r="BF1166" s="518"/>
      <c r="BG1166" s="484"/>
      <c r="BH1166" s="484"/>
      <c r="BI1166" s="527"/>
      <c r="BJ1166" s="484"/>
      <c r="BK1166" s="484"/>
      <c r="BL1166" s="484"/>
      <c r="BM1166" s="484"/>
    </row>
    <row r="1167" spans="1:65" s="22" customFormat="1" x14ac:dyDescent="0.25">
      <c r="A1167" s="20"/>
      <c r="B1167" s="515"/>
      <c r="C1167" s="11"/>
      <c r="D1167" s="11"/>
      <c r="E1167" s="11"/>
      <c r="F1167" s="21"/>
      <c r="G1167" s="11"/>
      <c r="H1167" s="50"/>
      <c r="I1167" s="50"/>
      <c r="J1167" s="50"/>
      <c r="K1167" s="11"/>
      <c r="L1167" s="50"/>
      <c r="M1167" s="50"/>
      <c r="N1167" s="50"/>
      <c r="O1167" s="50"/>
      <c r="P1167" s="50"/>
      <c r="Q1167" s="11"/>
      <c r="R1167" s="50"/>
      <c r="S1167" s="50"/>
      <c r="T1167" s="50"/>
      <c r="U1167" s="11"/>
      <c r="V1167" s="50"/>
      <c r="W1167" s="50"/>
      <c r="X1167" s="50"/>
      <c r="Y1167" s="50"/>
      <c r="Z1167" s="50"/>
      <c r="AA1167" s="11"/>
      <c r="AB1167" s="50"/>
      <c r="AC1167" s="50"/>
      <c r="AD1167" s="50"/>
      <c r="AE1167" s="11"/>
      <c r="AF1167" s="50"/>
      <c r="AG1167" s="50"/>
      <c r="AH1167" s="50"/>
      <c r="AI1167" s="11"/>
      <c r="AJ1167" s="50"/>
      <c r="AK1167" s="50"/>
      <c r="AL1167" s="50"/>
      <c r="AM1167" s="11"/>
      <c r="AN1167" s="50"/>
      <c r="AO1167" s="50"/>
      <c r="AP1167" s="50"/>
      <c r="AQ1167" s="11"/>
      <c r="AR1167" s="50"/>
      <c r="AS1167" s="50"/>
      <c r="AT1167" s="50"/>
      <c r="AU1167" s="11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20"/>
      <c r="BF1167" s="518"/>
      <c r="BG1167" s="484"/>
      <c r="BH1167" s="484"/>
      <c r="BI1167" s="527"/>
      <c r="BJ1167" s="484"/>
      <c r="BK1167" s="484"/>
      <c r="BL1167" s="484"/>
      <c r="BM1167" s="484"/>
    </row>
    <row r="1168" spans="1:65" s="22" customFormat="1" x14ac:dyDescent="0.25">
      <c r="A1168" s="20"/>
      <c r="B1168" s="515"/>
      <c r="C1168" s="11"/>
      <c r="D1168" s="11"/>
      <c r="E1168" s="11"/>
      <c r="F1168" s="21"/>
      <c r="G1168" s="11"/>
      <c r="H1168" s="50"/>
      <c r="I1168" s="50"/>
      <c r="J1168" s="50"/>
      <c r="K1168" s="11"/>
      <c r="L1168" s="50"/>
      <c r="M1168" s="50"/>
      <c r="N1168" s="50"/>
      <c r="O1168" s="50"/>
      <c r="P1168" s="50"/>
      <c r="Q1168" s="11"/>
      <c r="R1168" s="50"/>
      <c r="S1168" s="50"/>
      <c r="T1168" s="50"/>
      <c r="U1168" s="11"/>
      <c r="V1168" s="50"/>
      <c r="W1168" s="50"/>
      <c r="X1168" s="50"/>
      <c r="Y1168" s="50"/>
      <c r="Z1168" s="50"/>
      <c r="AA1168" s="11"/>
      <c r="AB1168" s="50"/>
      <c r="AC1168" s="50"/>
      <c r="AD1168" s="50"/>
      <c r="AE1168" s="11"/>
      <c r="AF1168" s="50"/>
      <c r="AG1168" s="50"/>
      <c r="AH1168" s="50"/>
      <c r="AI1168" s="11"/>
      <c r="AJ1168" s="50"/>
      <c r="AK1168" s="50"/>
      <c r="AL1168" s="50"/>
      <c r="AM1168" s="11"/>
      <c r="AN1168" s="50"/>
      <c r="AO1168" s="50"/>
      <c r="AP1168" s="50"/>
      <c r="AQ1168" s="11"/>
      <c r="AR1168" s="50"/>
      <c r="AS1168" s="50"/>
      <c r="AT1168" s="50"/>
      <c r="AU1168" s="11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20"/>
      <c r="BF1168" s="518"/>
      <c r="BG1168" s="484"/>
      <c r="BH1168" s="484"/>
      <c r="BI1168" s="527"/>
      <c r="BJ1168" s="484"/>
      <c r="BK1168" s="484"/>
      <c r="BL1168" s="484"/>
      <c r="BM1168" s="484"/>
    </row>
    <row r="1169" spans="1:65" s="22" customFormat="1" x14ac:dyDescent="0.25">
      <c r="A1169" s="20"/>
      <c r="B1169" s="515"/>
      <c r="C1169" s="11"/>
      <c r="D1169" s="11"/>
      <c r="E1169" s="11"/>
      <c r="F1169" s="21"/>
      <c r="G1169" s="11"/>
      <c r="H1169" s="50"/>
      <c r="I1169" s="50"/>
      <c r="J1169" s="50"/>
      <c r="K1169" s="11"/>
      <c r="L1169" s="50"/>
      <c r="M1169" s="50"/>
      <c r="N1169" s="50"/>
      <c r="O1169" s="50"/>
      <c r="P1169" s="50"/>
      <c r="Q1169" s="11"/>
      <c r="R1169" s="50"/>
      <c r="S1169" s="50"/>
      <c r="T1169" s="50"/>
      <c r="U1169" s="11"/>
      <c r="V1169" s="50"/>
      <c r="W1169" s="50"/>
      <c r="X1169" s="50"/>
      <c r="Y1169" s="50"/>
      <c r="Z1169" s="50"/>
      <c r="AA1169" s="11"/>
      <c r="AB1169" s="50"/>
      <c r="AC1169" s="50"/>
      <c r="AD1169" s="50"/>
      <c r="AE1169" s="11"/>
      <c r="AF1169" s="50"/>
      <c r="AG1169" s="50"/>
      <c r="AH1169" s="50"/>
      <c r="AI1169" s="11"/>
      <c r="AJ1169" s="50"/>
      <c r="AK1169" s="50"/>
      <c r="AL1169" s="50"/>
      <c r="AM1169" s="11"/>
      <c r="AN1169" s="50"/>
      <c r="AO1169" s="50"/>
      <c r="AP1169" s="50"/>
      <c r="AQ1169" s="11"/>
      <c r="AR1169" s="50"/>
      <c r="AS1169" s="50"/>
      <c r="AT1169" s="50"/>
      <c r="AU1169" s="11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20"/>
      <c r="BF1169" s="518"/>
      <c r="BG1169" s="484"/>
      <c r="BH1169" s="484"/>
      <c r="BI1169" s="527"/>
      <c r="BJ1169" s="484"/>
      <c r="BK1169" s="484"/>
      <c r="BL1169" s="484"/>
      <c r="BM1169" s="484"/>
    </row>
    <row r="1170" spans="1:65" s="22" customFormat="1" x14ac:dyDescent="0.25">
      <c r="A1170" s="20"/>
      <c r="B1170" s="515"/>
      <c r="C1170" s="11"/>
      <c r="D1170" s="11"/>
      <c r="E1170" s="11"/>
      <c r="F1170" s="21"/>
      <c r="G1170" s="11"/>
      <c r="H1170" s="50"/>
      <c r="I1170" s="50"/>
      <c r="J1170" s="50"/>
      <c r="K1170" s="11"/>
      <c r="L1170" s="50"/>
      <c r="M1170" s="50"/>
      <c r="N1170" s="50"/>
      <c r="O1170" s="50"/>
      <c r="P1170" s="50"/>
      <c r="Q1170" s="11"/>
      <c r="R1170" s="50"/>
      <c r="S1170" s="50"/>
      <c r="T1170" s="50"/>
      <c r="U1170" s="11"/>
      <c r="V1170" s="50"/>
      <c r="W1170" s="50"/>
      <c r="X1170" s="50"/>
      <c r="Y1170" s="50"/>
      <c r="Z1170" s="50"/>
      <c r="AA1170" s="11"/>
      <c r="AB1170" s="50"/>
      <c r="AC1170" s="50"/>
      <c r="AD1170" s="50"/>
      <c r="AE1170" s="11"/>
      <c r="AF1170" s="50"/>
      <c r="AG1170" s="50"/>
      <c r="AH1170" s="50"/>
      <c r="AI1170" s="11"/>
      <c r="AJ1170" s="50"/>
      <c r="AK1170" s="50"/>
      <c r="AL1170" s="50"/>
      <c r="AM1170" s="11"/>
      <c r="AN1170" s="50"/>
      <c r="AO1170" s="50"/>
      <c r="AP1170" s="50"/>
      <c r="AQ1170" s="11"/>
      <c r="AR1170" s="50"/>
      <c r="AS1170" s="50"/>
      <c r="AT1170" s="50"/>
      <c r="AU1170" s="11"/>
      <c r="AV1170" s="50"/>
      <c r="AW1170" s="50"/>
      <c r="AX1170" s="50"/>
      <c r="AY1170" s="50"/>
      <c r="AZ1170" s="50"/>
      <c r="BA1170" s="50"/>
      <c r="BB1170" s="50"/>
      <c r="BC1170" s="50"/>
      <c r="BD1170" s="50"/>
      <c r="BE1170" s="20"/>
      <c r="BF1170" s="518"/>
      <c r="BG1170" s="484"/>
      <c r="BH1170" s="484"/>
      <c r="BI1170" s="527"/>
      <c r="BJ1170" s="484"/>
      <c r="BK1170" s="484"/>
      <c r="BL1170" s="484"/>
      <c r="BM1170" s="484"/>
    </row>
    <row r="1171" spans="1:65" s="22" customFormat="1" x14ac:dyDescent="0.25">
      <c r="A1171" s="20"/>
      <c r="B1171" s="515"/>
      <c r="C1171" s="11"/>
      <c r="D1171" s="11"/>
      <c r="E1171" s="11"/>
      <c r="F1171" s="21"/>
      <c r="G1171" s="11"/>
      <c r="H1171" s="50"/>
      <c r="I1171" s="50"/>
      <c r="J1171" s="50"/>
      <c r="K1171" s="11"/>
      <c r="L1171" s="50"/>
      <c r="M1171" s="50"/>
      <c r="N1171" s="50"/>
      <c r="O1171" s="50"/>
      <c r="P1171" s="50"/>
      <c r="Q1171" s="11"/>
      <c r="R1171" s="50"/>
      <c r="S1171" s="50"/>
      <c r="T1171" s="50"/>
      <c r="U1171" s="11"/>
      <c r="V1171" s="50"/>
      <c r="W1171" s="50"/>
      <c r="X1171" s="50"/>
      <c r="Y1171" s="50"/>
      <c r="Z1171" s="50"/>
      <c r="AA1171" s="11"/>
      <c r="AB1171" s="50"/>
      <c r="AC1171" s="50"/>
      <c r="AD1171" s="50"/>
      <c r="AE1171" s="11"/>
      <c r="AF1171" s="50"/>
      <c r="AG1171" s="50"/>
      <c r="AH1171" s="50"/>
      <c r="AI1171" s="11"/>
      <c r="AJ1171" s="50"/>
      <c r="AK1171" s="50"/>
      <c r="AL1171" s="50"/>
      <c r="AM1171" s="11"/>
      <c r="AN1171" s="50"/>
      <c r="AO1171" s="50"/>
      <c r="AP1171" s="50"/>
      <c r="AQ1171" s="11"/>
      <c r="AR1171" s="50"/>
      <c r="AS1171" s="50"/>
      <c r="AT1171" s="50"/>
      <c r="AU1171" s="11"/>
      <c r="AV1171" s="50"/>
      <c r="AW1171" s="50"/>
      <c r="AX1171" s="50"/>
      <c r="AY1171" s="50"/>
      <c r="AZ1171" s="50"/>
      <c r="BA1171" s="50"/>
      <c r="BB1171" s="50"/>
      <c r="BC1171" s="50"/>
      <c r="BD1171" s="50"/>
      <c r="BE1171" s="20"/>
      <c r="BF1171" s="518"/>
      <c r="BG1171" s="484"/>
      <c r="BH1171" s="484"/>
      <c r="BI1171" s="527"/>
      <c r="BJ1171" s="484"/>
      <c r="BK1171" s="484"/>
      <c r="BL1171" s="484"/>
      <c r="BM1171" s="484"/>
    </row>
    <row r="1172" spans="1:65" s="22" customFormat="1" x14ac:dyDescent="0.25">
      <c r="A1172" s="20"/>
      <c r="B1172" s="515"/>
      <c r="C1172" s="11"/>
      <c r="D1172" s="11"/>
      <c r="E1172" s="11"/>
      <c r="F1172" s="21"/>
      <c r="G1172" s="11"/>
      <c r="H1172" s="50"/>
      <c r="I1172" s="50"/>
      <c r="J1172" s="50"/>
      <c r="K1172" s="11"/>
      <c r="L1172" s="50"/>
      <c r="M1172" s="50"/>
      <c r="N1172" s="50"/>
      <c r="O1172" s="50"/>
      <c r="P1172" s="50"/>
      <c r="Q1172" s="11"/>
      <c r="R1172" s="50"/>
      <c r="S1172" s="50"/>
      <c r="T1172" s="50"/>
      <c r="U1172" s="11"/>
      <c r="V1172" s="50"/>
      <c r="W1172" s="50"/>
      <c r="X1172" s="50"/>
      <c r="Y1172" s="50"/>
      <c r="Z1172" s="50"/>
      <c r="AA1172" s="11"/>
      <c r="AB1172" s="50"/>
      <c r="AC1172" s="50"/>
      <c r="AD1172" s="50"/>
      <c r="AE1172" s="11"/>
      <c r="AF1172" s="50"/>
      <c r="AG1172" s="50"/>
      <c r="AH1172" s="50"/>
      <c r="AI1172" s="11"/>
      <c r="AJ1172" s="50"/>
      <c r="AK1172" s="50"/>
      <c r="AL1172" s="50"/>
      <c r="AM1172" s="11"/>
      <c r="AN1172" s="50"/>
      <c r="AO1172" s="50"/>
      <c r="AP1172" s="50"/>
      <c r="AQ1172" s="11"/>
      <c r="AR1172" s="50"/>
      <c r="AS1172" s="50"/>
      <c r="AT1172" s="50"/>
      <c r="AU1172" s="11"/>
      <c r="AV1172" s="50"/>
      <c r="AW1172" s="50"/>
      <c r="AX1172" s="50"/>
      <c r="AY1172" s="50"/>
      <c r="AZ1172" s="50"/>
      <c r="BA1172" s="50"/>
      <c r="BB1172" s="50"/>
      <c r="BC1172" s="50"/>
      <c r="BD1172" s="50"/>
      <c r="BE1172" s="20"/>
      <c r="BF1172" s="518"/>
      <c r="BG1172" s="484"/>
      <c r="BH1172" s="484"/>
      <c r="BI1172" s="527"/>
      <c r="BJ1172" s="484"/>
      <c r="BK1172" s="484"/>
      <c r="BL1172" s="484"/>
      <c r="BM1172" s="484"/>
    </row>
    <row r="1173" spans="1:65" s="22" customFormat="1" x14ac:dyDescent="0.25">
      <c r="A1173" s="20"/>
      <c r="B1173" s="515"/>
      <c r="C1173" s="11"/>
      <c r="D1173" s="11"/>
      <c r="E1173" s="11"/>
      <c r="F1173" s="21"/>
      <c r="G1173" s="11"/>
      <c r="H1173" s="50"/>
      <c r="I1173" s="50"/>
      <c r="J1173" s="50"/>
      <c r="K1173" s="11"/>
      <c r="L1173" s="50"/>
      <c r="M1173" s="50"/>
      <c r="N1173" s="50"/>
      <c r="O1173" s="50"/>
      <c r="P1173" s="50"/>
      <c r="Q1173" s="11"/>
      <c r="R1173" s="50"/>
      <c r="S1173" s="50"/>
      <c r="T1173" s="50"/>
      <c r="U1173" s="11"/>
      <c r="V1173" s="50"/>
      <c r="W1173" s="50"/>
      <c r="X1173" s="50"/>
      <c r="Y1173" s="50"/>
      <c r="Z1173" s="50"/>
      <c r="AA1173" s="11"/>
      <c r="AB1173" s="50"/>
      <c r="AC1173" s="50"/>
      <c r="AD1173" s="50"/>
      <c r="AE1173" s="11"/>
      <c r="AF1173" s="50"/>
      <c r="AG1173" s="50"/>
      <c r="AH1173" s="50"/>
      <c r="AI1173" s="11"/>
      <c r="AJ1173" s="50"/>
      <c r="AK1173" s="50"/>
      <c r="AL1173" s="50"/>
      <c r="AM1173" s="11"/>
      <c r="AN1173" s="50"/>
      <c r="AO1173" s="50"/>
      <c r="AP1173" s="50"/>
      <c r="AQ1173" s="11"/>
      <c r="AR1173" s="50"/>
      <c r="AS1173" s="50"/>
      <c r="AT1173" s="50"/>
      <c r="AU1173" s="11"/>
      <c r="AV1173" s="50"/>
      <c r="AW1173" s="50"/>
      <c r="AX1173" s="50"/>
      <c r="AY1173" s="50"/>
      <c r="AZ1173" s="50"/>
      <c r="BA1173" s="50"/>
      <c r="BB1173" s="50"/>
      <c r="BC1173" s="50"/>
      <c r="BD1173" s="50"/>
      <c r="BE1173" s="20"/>
      <c r="BF1173" s="518"/>
      <c r="BG1173" s="484"/>
      <c r="BH1173" s="484"/>
      <c r="BI1173" s="527"/>
      <c r="BJ1173" s="484"/>
      <c r="BK1173" s="484"/>
      <c r="BL1173" s="484"/>
      <c r="BM1173" s="484"/>
    </row>
    <row r="1174" spans="1:65" s="22" customFormat="1" x14ac:dyDescent="0.25">
      <c r="A1174" s="20"/>
      <c r="B1174" s="515"/>
      <c r="C1174" s="11"/>
      <c r="D1174" s="11"/>
      <c r="E1174" s="11"/>
      <c r="F1174" s="21"/>
      <c r="G1174" s="11"/>
      <c r="H1174" s="50"/>
      <c r="I1174" s="50"/>
      <c r="J1174" s="50"/>
      <c r="K1174" s="11"/>
      <c r="L1174" s="50"/>
      <c r="M1174" s="50"/>
      <c r="N1174" s="50"/>
      <c r="O1174" s="50"/>
      <c r="P1174" s="50"/>
      <c r="Q1174" s="11"/>
      <c r="R1174" s="50"/>
      <c r="S1174" s="50"/>
      <c r="T1174" s="50"/>
      <c r="U1174" s="11"/>
      <c r="V1174" s="50"/>
      <c r="W1174" s="50"/>
      <c r="X1174" s="50"/>
      <c r="Y1174" s="50"/>
      <c r="Z1174" s="50"/>
      <c r="AA1174" s="11"/>
      <c r="AB1174" s="50"/>
      <c r="AC1174" s="50"/>
      <c r="AD1174" s="50"/>
      <c r="AE1174" s="11"/>
      <c r="AF1174" s="50"/>
      <c r="AG1174" s="50"/>
      <c r="AH1174" s="50"/>
      <c r="AI1174" s="11"/>
      <c r="AJ1174" s="50"/>
      <c r="AK1174" s="50"/>
      <c r="AL1174" s="50"/>
      <c r="AM1174" s="11"/>
      <c r="AN1174" s="50"/>
      <c r="AO1174" s="50"/>
      <c r="AP1174" s="50"/>
      <c r="AQ1174" s="11"/>
      <c r="AR1174" s="50"/>
      <c r="AS1174" s="50"/>
      <c r="AT1174" s="50"/>
      <c r="AU1174" s="11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20"/>
      <c r="BF1174" s="518"/>
      <c r="BG1174" s="484"/>
      <c r="BH1174" s="484"/>
      <c r="BI1174" s="527"/>
      <c r="BJ1174" s="484"/>
      <c r="BK1174" s="484"/>
      <c r="BL1174" s="484"/>
      <c r="BM1174" s="484"/>
    </row>
    <row r="1175" spans="1:65" s="22" customFormat="1" x14ac:dyDescent="0.25">
      <c r="A1175" s="20"/>
      <c r="B1175" s="515"/>
      <c r="C1175" s="11"/>
      <c r="D1175" s="11"/>
      <c r="E1175" s="11"/>
      <c r="F1175" s="21"/>
      <c r="G1175" s="11"/>
      <c r="H1175" s="50"/>
      <c r="I1175" s="50"/>
      <c r="J1175" s="50"/>
      <c r="K1175" s="11"/>
      <c r="L1175" s="50"/>
      <c r="M1175" s="50"/>
      <c r="N1175" s="50"/>
      <c r="O1175" s="50"/>
      <c r="P1175" s="50"/>
      <c r="Q1175" s="11"/>
      <c r="R1175" s="50"/>
      <c r="S1175" s="50"/>
      <c r="T1175" s="50"/>
      <c r="U1175" s="11"/>
      <c r="V1175" s="50"/>
      <c r="W1175" s="50"/>
      <c r="X1175" s="50"/>
      <c r="Y1175" s="50"/>
      <c r="Z1175" s="50"/>
      <c r="AA1175" s="11"/>
      <c r="AB1175" s="50"/>
      <c r="AC1175" s="50"/>
      <c r="AD1175" s="50"/>
      <c r="AE1175" s="11"/>
      <c r="AF1175" s="50"/>
      <c r="AG1175" s="50"/>
      <c r="AH1175" s="50"/>
      <c r="AI1175" s="11"/>
      <c r="AJ1175" s="50"/>
      <c r="AK1175" s="50"/>
      <c r="AL1175" s="50"/>
      <c r="AM1175" s="11"/>
      <c r="AN1175" s="50"/>
      <c r="AO1175" s="50"/>
      <c r="AP1175" s="50"/>
      <c r="AQ1175" s="11"/>
      <c r="AR1175" s="50"/>
      <c r="AS1175" s="50"/>
      <c r="AT1175" s="50"/>
      <c r="AU1175" s="11"/>
      <c r="AV1175" s="50"/>
      <c r="AW1175" s="50"/>
      <c r="AX1175" s="50"/>
      <c r="AY1175" s="50"/>
      <c r="AZ1175" s="50"/>
      <c r="BA1175" s="50"/>
      <c r="BB1175" s="50"/>
      <c r="BC1175" s="50"/>
      <c r="BD1175" s="50"/>
      <c r="BE1175" s="20"/>
      <c r="BF1175" s="518"/>
      <c r="BG1175" s="484"/>
      <c r="BH1175" s="484"/>
      <c r="BI1175" s="527"/>
      <c r="BJ1175" s="484"/>
      <c r="BK1175" s="484"/>
      <c r="BL1175" s="484"/>
      <c r="BM1175" s="484"/>
    </row>
    <row r="1176" spans="1:65" s="22" customFormat="1" x14ac:dyDescent="0.25">
      <c r="A1176" s="20"/>
      <c r="B1176" s="515"/>
      <c r="C1176" s="11"/>
      <c r="D1176" s="11"/>
      <c r="E1176" s="11"/>
      <c r="F1176" s="21"/>
      <c r="G1176" s="11"/>
      <c r="H1176" s="50"/>
      <c r="I1176" s="50"/>
      <c r="J1176" s="50"/>
      <c r="K1176" s="11"/>
      <c r="L1176" s="50"/>
      <c r="M1176" s="50"/>
      <c r="N1176" s="50"/>
      <c r="O1176" s="50"/>
      <c r="P1176" s="50"/>
      <c r="Q1176" s="11"/>
      <c r="R1176" s="50"/>
      <c r="S1176" s="50"/>
      <c r="T1176" s="50"/>
      <c r="U1176" s="11"/>
      <c r="V1176" s="50"/>
      <c r="W1176" s="50"/>
      <c r="X1176" s="50"/>
      <c r="Y1176" s="50"/>
      <c r="Z1176" s="50"/>
      <c r="AA1176" s="11"/>
      <c r="AB1176" s="50"/>
      <c r="AC1176" s="50"/>
      <c r="AD1176" s="50"/>
      <c r="AE1176" s="11"/>
      <c r="AF1176" s="50"/>
      <c r="AG1176" s="50"/>
      <c r="AH1176" s="50"/>
      <c r="AI1176" s="11"/>
      <c r="AJ1176" s="50"/>
      <c r="AK1176" s="50"/>
      <c r="AL1176" s="50"/>
      <c r="AM1176" s="11"/>
      <c r="AN1176" s="50"/>
      <c r="AO1176" s="50"/>
      <c r="AP1176" s="50"/>
      <c r="AQ1176" s="11"/>
      <c r="AR1176" s="50"/>
      <c r="AS1176" s="50"/>
      <c r="AT1176" s="50"/>
      <c r="AU1176" s="11"/>
      <c r="AV1176" s="50"/>
      <c r="AW1176" s="50"/>
      <c r="AX1176" s="50"/>
      <c r="AY1176" s="50"/>
      <c r="AZ1176" s="50"/>
      <c r="BA1176" s="50"/>
      <c r="BB1176" s="50"/>
      <c r="BC1176" s="50"/>
      <c r="BD1176" s="50"/>
      <c r="BE1176" s="20"/>
      <c r="BF1176" s="518"/>
      <c r="BG1176" s="484"/>
      <c r="BH1176" s="484"/>
      <c r="BI1176" s="527"/>
      <c r="BJ1176" s="484"/>
      <c r="BK1176" s="484"/>
      <c r="BL1176" s="484"/>
      <c r="BM1176" s="484"/>
    </row>
    <row r="1177" spans="1:65" s="22" customFormat="1" x14ac:dyDescent="0.25">
      <c r="A1177" s="20"/>
      <c r="B1177" s="515"/>
      <c r="C1177" s="11"/>
      <c r="D1177" s="11"/>
      <c r="E1177" s="11"/>
      <c r="F1177" s="21"/>
      <c r="G1177" s="11"/>
      <c r="H1177" s="50"/>
      <c r="I1177" s="50"/>
      <c r="J1177" s="50"/>
      <c r="K1177" s="11"/>
      <c r="L1177" s="50"/>
      <c r="M1177" s="50"/>
      <c r="N1177" s="50"/>
      <c r="O1177" s="50"/>
      <c r="P1177" s="50"/>
      <c r="Q1177" s="11"/>
      <c r="R1177" s="50"/>
      <c r="S1177" s="50"/>
      <c r="T1177" s="50"/>
      <c r="U1177" s="11"/>
      <c r="V1177" s="50"/>
      <c r="W1177" s="50"/>
      <c r="X1177" s="50"/>
      <c r="Y1177" s="50"/>
      <c r="Z1177" s="50"/>
      <c r="AA1177" s="11"/>
      <c r="AB1177" s="50"/>
      <c r="AC1177" s="50"/>
      <c r="AD1177" s="50"/>
      <c r="AE1177" s="11"/>
      <c r="AF1177" s="50"/>
      <c r="AG1177" s="50"/>
      <c r="AH1177" s="50"/>
      <c r="AI1177" s="11"/>
      <c r="AJ1177" s="50"/>
      <c r="AK1177" s="50"/>
      <c r="AL1177" s="50"/>
      <c r="AM1177" s="11"/>
      <c r="AN1177" s="50"/>
      <c r="AO1177" s="50"/>
      <c r="AP1177" s="50"/>
      <c r="AQ1177" s="11"/>
      <c r="AR1177" s="50"/>
      <c r="AS1177" s="50"/>
      <c r="AT1177" s="50"/>
      <c r="AU1177" s="11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20"/>
      <c r="BF1177" s="518"/>
      <c r="BG1177" s="484"/>
      <c r="BH1177" s="484"/>
      <c r="BI1177" s="527"/>
      <c r="BJ1177" s="484"/>
      <c r="BK1177" s="484"/>
      <c r="BL1177" s="484"/>
      <c r="BM1177" s="484"/>
    </row>
    <row r="1178" spans="1:65" s="22" customFormat="1" x14ac:dyDescent="0.25">
      <c r="A1178" s="20"/>
      <c r="B1178" s="515"/>
      <c r="C1178" s="11"/>
      <c r="D1178" s="11"/>
      <c r="E1178" s="11"/>
      <c r="F1178" s="21"/>
      <c r="G1178" s="11"/>
      <c r="H1178" s="50"/>
      <c r="I1178" s="50"/>
      <c r="J1178" s="50"/>
      <c r="K1178" s="11"/>
      <c r="L1178" s="50"/>
      <c r="M1178" s="50"/>
      <c r="N1178" s="50"/>
      <c r="O1178" s="50"/>
      <c r="P1178" s="50"/>
      <c r="Q1178" s="11"/>
      <c r="R1178" s="50"/>
      <c r="S1178" s="50"/>
      <c r="T1178" s="50"/>
      <c r="U1178" s="11"/>
      <c r="V1178" s="50"/>
      <c r="W1178" s="50"/>
      <c r="X1178" s="50"/>
      <c r="Y1178" s="50"/>
      <c r="Z1178" s="50"/>
      <c r="AA1178" s="11"/>
      <c r="AB1178" s="50"/>
      <c r="AC1178" s="50"/>
      <c r="AD1178" s="50"/>
      <c r="AE1178" s="11"/>
      <c r="AF1178" s="50"/>
      <c r="AG1178" s="50"/>
      <c r="AH1178" s="50"/>
      <c r="AI1178" s="11"/>
      <c r="AJ1178" s="50"/>
      <c r="AK1178" s="50"/>
      <c r="AL1178" s="50"/>
      <c r="AM1178" s="11"/>
      <c r="AN1178" s="50"/>
      <c r="AO1178" s="50"/>
      <c r="AP1178" s="50"/>
      <c r="AQ1178" s="11"/>
      <c r="AR1178" s="50"/>
      <c r="AS1178" s="50"/>
      <c r="AT1178" s="50"/>
      <c r="AU1178" s="11"/>
      <c r="AV1178" s="50"/>
      <c r="AW1178" s="50"/>
      <c r="AX1178" s="50"/>
      <c r="AY1178" s="50"/>
      <c r="AZ1178" s="50"/>
      <c r="BA1178" s="50"/>
      <c r="BB1178" s="50"/>
      <c r="BC1178" s="50"/>
      <c r="BD1178" s="50"/>
      <c r="BE1178" s="20"/>
      <c r="BF1178" s="518"/>
      <c r="BG1178" s="484"/>
      <c r="BH1178" s="484"/>
      <c r="BI1178" s="527"/>
      <c r="BJ1178" s="484"/>
      <c r="BK1178" s="484"/>
      <c r="BL1178" s="484"/>
      <c r="BM1178" s="484"/>
    </row>
    <row r="1179" spans="1:65" s="22" customFormat="1" x14ac:dyDescent="0.25">
      <c r="A1179" s="20"/>
      <c r="B1179" s="515"/>
      <c r="C1179" s="11"/>
      <c r="D1179" s="11"/>
      <c r="E1179" s="11"/>
      <c r="F1179" s="21"/>
      <c r="G1179" s="11"/>
      <c r="H1179" s="50"/>
      <c r="I1179" s="50"/>
      <c r="J1179" s="50"/>
      <c r="K1179" s="11"/>
      <c r="L1179" s="50"/>
      <c r="M1179" s="50"/>
      <c r="N1179" s="50"/>
      <c r="O1179" s="50"/>
      <c r="P1179" s="50"/>
      <c r="Q1179" s="11"/>
      <c r="R1179" s="50"/>
      <c r="S1179" s="50"/>
      <c r="T1179" s="50"/>
      <c r="U1179" s="11"/>
      <c r="V1179" s="50"/>
      <c r="W1179" s="50"/>
      <c r="X1179" s="50"/>
      <c r="Y1179" s="50"/>
      <c r="Z1179" s="50"/>
      <c r="AA1179" s="11"/>
      <c r="AB1179" s="50"/>
      <c r="AC1179" s="50"/>
      <c r="AD1179" s="50"/>
      <c r="AE1179" s="11"/>
      <c r="AF1179" s="50"/>
      <c r="AG1179" s="50"/>
      <c r="AH1179" s="50"/>
      <c r="AI1179" s="11"/>
      <c r="AJ1179" s="50"/>
      <c r="AK1179" s="50"/>
      <c r="AL1179" s="50"/>
      <c r="AM1179" s="11"/>
      <c r="AN1179" s="50"/>
      <c r="AO1179" s="50"/>
      <c r="AP1179" s="50"/>
      <c r="AQ1179" s="11"/>
      <c r="AR1179" s="50"/>
      <c r="AS1179" s="50"/>
      <c r="AT1179" s="50"/>
      <c r="AU1179" s="11"/>
      <c r="AV1179" s="50"/>
      <c r="AW1179" s="50"/>
      <c r="AX1179" s="50"/>
      <c r="AY1179" s="50"/>
      <c r="AZ1179" s="50"/>
      <c r="BA1179" s="50"/>
      <c r="BB1179" s="50"/>
      <c r="BC1179" s="50"/>
      <c r="BD1179" s="50"/>
      <c r="BE1179" s="20"/>
      <c r="BF1179" s="518"/>
      <c r="BG1179" s="484"/>
      <c r="BH1179" s="484"/>
      <c r="BI1179" s="527"/>
      <c r="BJ1179" s="484"/>
      <c r="BK1179" s="484"/>
      <c r="BL1179" s="484"/>
      <c r="BM1179" s="484"/>
    </row>
    <row r="1180" spans="1:65" s="22" customFormat="1" x14ac:dyDescent="0.25">
      <c r="A1180" s="20"/>
      <c r="B1180" s="515"/>
      <c r="C1180" s="11"/>
      <c r="D1180" s="11"/>
      <c r="E1180" s="11"/>
      <c r="F1180" s="21"/>
      <c r="G1180" s="11"/>
      <c r="H1180" s="50"/>
      <c r="I1180" s="50"/>
      <c r="J1180" s="50"/>
      <c r="K1180" s="11"/>
      <c r="L1180" s="50"/>
      <c r="M1180" s="50"/>
      <c r="N1180" s="50"/>
      <c r="O1180" s="50"/>
      <c r="P1180" s="50"/>
      <c r="Q1180" s="11"/>
      <c r="R1180" s="50"/>
      <c r="S1180" s="50"/>
      <c r="T1180" s="50"/>
      <c r="U1180" s="11"/>
      <c r="V1180" s="50"/>
      <c r="W1180" s="50"/>
      <c r="X1180" s="50"/>
      <c r="Y1180" s="50"/>
      <c r="Z1180" s="50"/>
      <c r="AA1180" s="11"/>
      <c r="AB1180" s="50"/>
      <c r="AC1180" s="50"/>
      <c r="AD1180" s="50"/>
      <c r="AE1180" s="11"/>
      <c r="AF1180" s="50"/>
      <c r="AG1180" s="50"/>
      <c r="AH1180" s="50"/>
      <c r="AI1180" s="11"/>
      <c r="AJ1180" s="50"/>
      <c r="AK1180" s="50"/>
      <c r="AL1180" s="50"/>
      <c r="AM1180" s="11"/>
      <c r="AN1180" s="50"/>
      <c r="AO1180" s="50"/>
      <c r="AP1180" s="50"/>
      <c r="AQ1180" s="11"/>
      <c r="AR1180" s="50"/>
      <c r="AS1180" s="50"/>
      <c r="AT1180" s="50"/>
      <c r="AU1180" s="11"/>
      <c r="AV1180" s="50"/>
      <c r="AW1180" s="50"/>
      <c r="AX1180" s="50"/>
      <c r="AY1180" s="50"/>
      <c r="AZ1180" s="50"/>
      <c r="BA1180" s="50"/>
      <c r="BB1180" s="50"/>
      <c r="BC1180" s="50"/>
      <c r="BD1180" s="50"/>
      <c r="BE1180" s="20"/>
      <c r="BF1180" s="518"/>
      <c r="BG1180" s="484"/>
      <c r="BH1180" s="484"/>
      <c r="BI1180" s="527"/>
      <c r="BJ1180" s="484"/>
      <c r="BK1180" s="484"/>
      <c r="BL1180" s="484"/>
      <c r="BM1180" s="484"/>
    </row>
    <row r="1181" spans="1:65" s="22" customFormat="1" x14ac:dyDescent="0.25">
      <c r="A1181" s="20"/>
      <c r="B1181" s="515"/>
      <c r="C1181" s="11"/>
      <c r="D1181" s="11"/>
      <c r="E1181" s="11"/>
      <c r="F1181" s="21"/>
      <c r="G1181" s="11"/>
      <c r="H1181" s="50"/>
      <c r="I1181" s="50"/>
      <c r="J1181" s="50"/>
      <c r="K1181" s="11"/>
      <c r="L1181" s="50"/>
      <c r="M1181" s="50"/>
      <c r="N1181" s="50"/>
      <c r="O1181" s="50"/>
      <c r="P1181" s="50"/>
      <c r="Q1181" s="11"/>
      <c r="R1181" s="50"/>
      <c r="S1181" s="50"/>
      <c r="T1181" s="50"/>
      <c r="U1181" s="11"/>
      <c r="V1181" s="50"/>
      <c r="W1181" s="50"/>
      <c r="X1181" s="50"/>
      <c r="Y1181" s="50"/>
      <c r="Z1181" s="50"/>
      <c r="AA1181" s="11"/>
      <c r="AB1181" s="50"/>
      <c r="AC1181" s="50"/>
      <c r="AD1181" s="50"/>
      <c r="AE1181" s="11"/>
      <c r="AF1181" s="50"/>
      <c r="AG1181" s="50"/>
      <c r="AH1181" s="50"/>
      <c r="AI1181" s="11"/>
      <c r="AJ1181" s="50"/>
      <c r="AK1181" s="50"/>
      <c r="AL1181" s="50"/>
      <c r="AM1181" s="11"/>
      <c r="AN1181" s="50"/>
      <c r="AO1181" s="50"/>
      <c r="AP1181" s="50"/>
      <c r="AQ1181" s="11"/>
      <c r="AR1181" s="50"/>
      <c r="AS1181" s="50"/>
      <c r="AT1181" s="50"/>
      <c r="AU1181" s="11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20"/>
      <c r="BF1181" s="518"/>
      <c r="BG1181" s="484"/>
      <c r="BH1181" s="484"/>
      <c r="BI1181" s="527"/>
      <c r="BJ1181" s="484"/>
      <c r="BK1181" s="484"/>
      <c r="BL1181" s="484"/>
      <c r="BM1181" s="484"/>
    </row>
    <row r="1182" spans="1:65" s="22" customFormat="1" x14ac:dyDescent="0.25">
      <c r="A1182" s="20"/>
      <c r="B1182" s="515"/>
      <c r="C1182" s="11"/>
      <c r="D1182" s="11"/>
      <c r="E1182" s="11"/>
      <c r="F1182" s="21"/>
      <c r="G1182" s="11"/>
      <c r="H1182" s="50"/>
      <c r="I1182" s="50"/>
      <c r="J1182" s="50"/>
      <c r="K1182" s="11"/>
      <c r="L1182" s="50"/>
      <c r="M1182" s="50"/>
      <c r="N1182" s="50"/>
      <c r="O1182" s="50"/>
      <c r="P1182" s="50"/>
      <c r="Q1182" s="11"/>
      <c r="R1182" s="50"/>
      <c r="S1182" s="50"/>
      <c r="T1182" s="50"/>
      <c r="U1182" s="11"/>
      <c r="V1182" s="50"/>
      <c r="W1182" s="50"/>
      <c r="X1182" s="50"/>
      <c r="Y1182" s="50"/>
      <c r="Z1182" s="50"/>
      <c r="AA1182" s="11"/>
      <c r="AB1182" s="50"/>
      <c r="AC1182" s="50"/>
      <c r="AD1182" s="50"/>
      <c r="AE1182" s="11"/>
      <c r="AF1182" s="50"/>
      <c r="AG1182" s="50"/>
      <c r="AH1182" s="50"/>
      <c r="AI1182" s="11"/>
      <c r="AJ1182" s="50"/>
      <c r="AK1182" s="50"/>
      <c r="AL1182" s="50"/>
      <c r="AM1182" s="11"/>
      <c r="AN1182" s="50"/>
      <c r="AO1182" s="50"/>
      <c r="AP1182" s="50"/>
      <c r="AQ1182" s="11"/>
      <c r="AR1182" s="50"/>
      <c r="AS1182" s="50"/>
      <c r="AT1182" s="50"/>
      <c r="AU1182" s="11"/>
      <c r="AV1182" s="50"/>
      <c r="AW1182" s="50"/>
      <c r="AX1182" s="50"/>
      <c r="AY1182" s="50"/>
      <c r="AZ1182" s="50"/>
      <c r="BA1182" s="50"/>
      <c r="BB1182" s="50"/>
      <c r="BC1182" s="50"/>
      <c r="BD1182" s="50"/>
      <c r="BE1182" s="20"/>
      <c r="BF1182" s="518"/>
      <c r="BG1182" s="484"/>
      <c r="BH1182" s="484"/>
      <c r="BI1182" s="527"/>
      <c r="BJ1182" s="484"/>
      <c r="BK1182" s="484"/>
      <c r="BL1182" s="484"/>
      <c r="BM1182" s="484"/>
    </row>
    <row r="1183" spans="1:65" s="22" customFormat="1" x14ac:dyDescent="0.25">
      <c r="A1183" s="20"/>
      <c r="B1183" s="515"/>
      <c r="C1183" s="11"/>
      <c r="D1183" s="11"/>
      <c r="E1183" s="11"/>
      <c r="F1183" s="21"/>
      <c r="G1183" s="11"/>
      <c r="H1183" s="50"/>
      <c r="I1183" s="50"/>
      <c r="J1183" s="50"/>
      <c r="K1183" s="11"/>
      <c r="L1183" s="50"/>
      <c r="M1183" s="50"/>
      <c r="N1183" s="50"/>
      <c r="O1183" s="50"/>
      <c r="P1183" s="50"/>
      <c r="Q1183" s="11"/>
      <c r="R1183" s="50"/>
      <c r="S1183" s="50"/>
      <c r="T1183" s="50"/>
      <c r="U1183" s="11"/>
      <c r="V1183" s="50"/>
      <c r="W1183" s="50"/>
      <c r="X1183" s="50"/>
      <c r="Y1183" s="50"/>
      <c r="Z1183" s="50"/>
      <c r="AA1183" s="11"/>
      <c r="AB1183" s="50"/>
      <c r="AC1183" s="50"/>
      <c r="AD1183" s="50"/>
      <c r="AE1183" s="11"/>
      <c r="AF1183" s="50"/>
      <c r="AG1183" s="50"/>
      <c r="AH1183" s="50"/>
      <c r="AI1183" s="11"/>
      <c r="AJ1183" s="50"/>
      <c r="AK1183" s="50"/>
      <c r="AL1183" s="50"/>
      <c r="AM1183" s="11"/>
      <c r="AN1183" s="50"/>
      <c r="AO1183" s="50"/>
      <c r="AP1183" s="50"/>
      <c r="AQ1183" s="11"/>
      <c r="AR1183" s="50"/>
      <c r="AS1183" s="50"/>
      <c r="AT1183" s="50"/>
      <c r="AU1183" s="11"/>
      <c r="AV1183" s="50"/>
      <c r="AW1183" s="50"/>
      <c r="AX1183" s="50"/>
      <c r="AY1183" s="50"/>
      <c r="AZ1183" s="50"/>
      <c r="BA1183" s="50"/>
      <c r="BB1183" s="50"/>
      <c r="BC1183" s="50"/>
      <c r="BD1183" s="50"/>
      <c r="BE1183" s="20"/>
      <c r="BF1183" s="518"/>
      <c r="BG1183" s="484"/>
      <c r="BH1183" s="484"/>
      <c r="BI1183" s="527"/>
      <c r="BJ1183" s="484"/>
      <c r="BK1183" s="484"/>
      <c r="BL1183" s="484"/>
      <c r="BM1183" s="484"/>
    </row>
    <row r="1184" spans="1:65" s="22" customFormat="1" x14ac:dyDescent="0.25">
      <c r="A1184" s="20"/>
      <c r="B1184" s="515"/>
      <c r="C1184" s="11"/>
      <c r="D1184" s="11"/>
      <c r="E1184" s="11"/>
      <c r="F1184" s="21"/>
      <c r="G1184" s="11"/>
      <c r="H1184" s="50"/>
      <c r="I1184" s="50"/>
      <c r="J1184" s="50"/>
      <c r="K1184" s="11"/>
      <c r="L1184" s="50"/>
      <c r="M1184" s="50"/>
      <c r="N1184" s="50"/>
      <c r="O1184" s="50"/>
      <c r="P1184" s="50"/>
      <c r="Q1184" s="11"/>
      <c r="R1184" s="50"/>
      <c r="S1184" s="50"/>
      <c r="T1184" s="50"/>
      <c r="U1184" s="11"/>
      <c r="V1184" s="50"/>
      <c r="W1184" s="50"/>
      <c r="X1184" s="50"/>
      <c r="Y1184" s="50"/>
      <c r="Z1184" s="50"/>
      <c r="AA1184" s="11"/>
      <c r="AB1184" s="50"/>
      <c r="AC1184" s="50"/>
      <c r="AD1184" s="50"/>
      <c r="AE1184" s="11"/>
      <c r="AF1184" s="50"/>
      <c r="AG1184" s="50"/>
      <c r="AH1184" s="50"/>
      <c r="AI1184" s="11"/>
      <c r="AJ1184" s="50"/>
      <c r="AK1184" s="50"/>
      <c r="AL1184" s="50"/>
      <c r="AM1184" s="11"/>
      <c r="AN1184" s="50"/>
      <c r="AO1184" s="50"/>
      <c r="AP1184" s="50"/>
      <c r="AQ1184" s="11"/>
      <c r="AR1184" s="50"/>
      <c r="AS1184" s="50"/>
      <c r="AT1184" s="50"/>
      <c r="AU1184" s="11"/>
      <c r="AV1184" s="50"/>
      <c r="AW1184" s="50"/>
      <c r="AX1184" s="50"/>
      <c r="AY1184" s="50"/>
      <c r="AZ1184" s="50"/>
      <c r="BA1184" s="50"/>
      <c r="BB1184" s="50"/>
      <c r="BC1184" s="50"/>
      <c r="BD1184" s="50"/>
      <c r="BE1184" s="20"/>
      <c r="BF1184" s="518"/>
      <c r="BG1184" s="484"/>
      <c r="BH1184" s="484"/>
      <c r="BI1184" s="527"/>
      <c r="BJ1184" s="484"/>
      <c r="BK1184" s="484"/>
      <c r="BL1184" s="484"/>
      <c r="BM1184" s="484"/>
    </row>
    <row r="1185" spans="1:65" s="22" customFormat="1" x14ac:dyDescent="0.25">
      <c r="A1185" s="20"/>
      <c r="B1185" s="515"/>
      <c r="C1185" s="11"/>
      <c r="D1185" s="11"/>
      <c r="E1185" s="11"/>
      <c r="F1185" s="21"/>
      <c r="G1185" s="11"/>
      <c r="H1185" s="50"/>
      <c r="I1185" s="50"/>
      <c r="J1185" s="50"/>
      <c r="K1185" s="11"/>
      <c r="L1185" s="50"/>
      <c r="M1185" s="50"/>
      <c r="N1185" s="50"/>
      <c r="O1185" s="50"/>
      <c r="P1185" s="50"/>
      <c r="Q1185" s="11"/>
      <c r="R1185" s="50"/>
      <c r="S1185" s="50"/>
      <c r="T1185" s="50"/>
      <c r="U1185" s="11"/>
      <c r="V1185" s="50"/>
      <c r="W1185" s="50"/>
      <c r="X1185" s="50"/>
      <c r="Y1185" s="50"/>
      <c r="Z1185" s="50"/>
      <c r="AA1185" s="11"/>
      <c r="AB1185" s="50"/>
      <c r="AC1185" s="50"/>
      <c r="AD1185" s="50"/>
      <c r="AE1185" s="11"/>
      <c r="AF1185" s="50"/>
      <c r="AG1185" s="50"/>
      <c r="AH1185" s="50"/>
      <c r="AI1185" s="11"/>
      <c r="AJ1185" s="50"/>
      <c r="AK1185" s="50"/>
      <c r="AL1185" s="50"/>
      <c r="AM1185" s="11"/>
      <c r="AN1185" s="50"/>
      <c r="AO1185" s="50"/>
      <c r="AP1185" s="50"/>
      <c r="AQ1185" s="11"/>
      <c r="AR1185" s="50"/>
      <c r="AS1185" s="50"/>
      <c r="AT1185" s="50"/>
      <c r="AU1185" s="11"/>
      <c r="AV1185" s="50"/>
      <c r="AW1185" s="50"/>
      <c r="AX1185" s="50"/>
      <c r="AY1185" s="50"/>
      <c r="AZ1185" s="50"/>
      <c r="BA1185" s="50"/>
      <c r="BB1185" s="50"/>
      <c r="BC1185" s="50"/>
      <c r="BD1185" s="50"/>
      <c r="BE1185" s="20"/>
      <c r="BF1185" s="518"/>
      <c r="BG1185" s="484"/>
      <c r="BH1185" s="484"/>
      <c r="BI1185" s="527"/>
      <c r="BJ1185" s="484"/>
      <c r="BK1185" s="484"/>
      <c r="BL1185" s="484"/>
      <c r="BM1185" s="484"/>
    </row>
    <row r="1186" spans="1:65" s="22" customFormat="1" x14ac:dyDescent="0.25">
      <c r="A1186" s="20"/>
      <c r="B1186" s="515"/>
      <c r="C1186" s="11"/>
      <c r="D1186" s="11"/>
      <c r="E1186" s="11"/>
      <c r="F1186" s="21"/>
      <c r="G1186" s="11"/>
      <c r="H1186" s="50"/>
      <c r="I1186" s="50"/>
      <c r="J1186" s="50"/>
      <c r="K1186" s="11"/>
      <c r="L1186" s="50"/>
      <c r="M1186" s="50"/>
      <c r="N1186" s="50"/>
      <c r="O1186" s="50"/>
      <c r="P1186" s="50"/>
      <c r="Q1186" s="11"/>
      <c r="R1186" s="50"/>
      <c r="S1186" s="50"/>
      <c r="T1186" s="50"/>
      <c r="U1186" s="11"/>
      <c r="V1186" s="50"/>
      <c r="W1186" s="50"/>
      <c r="X1186" s="50"/>
      <c r="Y1186" s="50"/>
      <c r="Z1186" s="50"/>
      <c r="AA1186" s="11"/>
      <c r="AB1186" s="50"/>
      <c r="AC1186" s="50"/>
      <c r="AD1186" s="50"/>
      <c r="AE1186" s="11"/>
      <c r="AF1186" s="50"/>
      <c r="AG1186" s="50"/>
      <c r="AH1186" s="50"/>
      <c r="AI1186" s="11"/>
      <c r="AJ1186" s="50"/>
      <c r="AK1186" s="50"/>
      <c r="AL1186" s="50"/>
      <c r="AM1186" s="11"/>
      <c r="AN1186" s="50"/>
      <c r="AO1186" s="50"/>
      <c r="AP1186" s="50"/>
      <c r="AQ1186" s="11"/>
      <c r="AR1186" s="50"/>
      <c r="AS1186" s="50"/>
      <c r="AT1186" s="50"/>
      <c r="AU1186" s="11"/>
      <c r="AV1186" s="50"/>
      <c r="AW1186" s="50"/>
      <c r="AX1186" s="50"/>
      <c r="AY1186" s="50"/>
      <c r="AZ1186" s="50"/>
      <c r="BA1186" s="50"/>
      <c r="BB1186" s="50"/>
      <c r="BC1186" s="50"/>
      <c r="BD1186" s="50"/>
      <c r="BE1186" s="20"/>
      <c r="BF1186" s="518"/>
      <c r="BG1186" s="484"/>
      <c r="BH1186" s="484"/>
      <c r="BI1186" s="527"/>
      <c r="BJ1186" s="484"/>
      <c r="BK1186" s="484"/>
      <c r="BL1186" s="484"/>
      <c r="BM1186" s="484"/>
    </row>
    <row r="1187" spans="1:65" s="22" customFormat="1" x14ac:dyDescent="0.25">
      <c r="A1187" s="20"/>
      <c r="B1187" s="515"/>
      <c r="C1187" s="11"/>
      <c r="D1187" s="11"/>
      <c r="E1187" s="11"/>
      <c r="F1187" s="21"/>
      <c r="G1187" s="11"/>
      <c r="H1187" s="50"/>
      <c r="I1187" s="50"/>
      <c r="J1187" s="50"/>
      <c r="K1187" s="11"/>
      <c r="L1187" s="50"/>
      <c r="M1187" s="50"/>
      <c r="N1187" s="50"/>
      <c r="O1187" s="50"/>
      <c r="P1187" s="50"/>
      <c r="Q1187" s="11"/>
      <c r="R1187" s="50"/>
      <c r="S1187" s="50"/>
      <c r="T1187" s="50"/>
      <c r="U1187" s="11"/>
      <c r="V1187" s="50"/>
      <c r="W1187" s="50"/>
      <c r="X1187" s="50"/>
      <c r="Y1187" s="50"/>
      <c r="Z1187" s="50"/>
      <c r="AA1187" s="11"/>
      <c r="AB1187" s="50"/>
      <c r="AC1187" s="50"/>
      <c r="AD1187" s="50"/>
      <c r="AE1187" s="11"/>
      <c r="AF1187" s="50"/>
      <c r="AG1187" s="50"/>
      <c r="AH1187" s="50"/>
      <c r="AI1187" s="11"/>
      <c r="AJ1187" s="50"/>
      <c r="AK1187" s="50"/>
      <c r="AL1187" s="50"/>
      <c r="AM1187" s="11"/>
      <c r="AN1187" s="50"/>
      <c r="AO1187" s="50"/>
      <c r="AP1187" s="50"/>
      <c r="AQ1187" s="11"/>
      <c r="AR1187" s="50"/>
      <c r="AS1187" s="50"/>
      <c r="AT1187" s="50"/>
      <c r="AU1187" s="11"/>
      <c r="AV1187" s="50"/>
      <c r="AW1187" s="50"/>
      <c r="AX1187" s="50"/>
      <c r="AY1187" s="50"/>
      <c r="AZ1187" s="50"/>
      <c r="BA1187" s="50"/>
      <c r="BB1187" s="50"/>
      <c r="BC1187" s="50"/>
      <c r="BD1187" s="50"/>
      <c r="BE1187" s="20"/>
      <c r="BF1187" s="518"/>
      <c r="BG1187" s="484"/>
      <c r="BH1187" s="484"/>
      <c r="BI1187" s="527"/>
      <c r="BJ1187" s="484"/>
      <c r="BK1187" s="484"/>
      <c r="BL1187" s="484"/>
      <c r="BM1187" s="484"/>
    </row>
    <row r="1188" spans="1:65" s="22" customFormat="1" x14ac:dyDescent="0.25">
      <c r="A1188" s="20"/>
      <c r="B1188" s="515"/>
      <c r="C1188" s="11"/>
      <c r="D1188" s="11"/>
      <c r="E1188" s="11"/>
      <c r="F1188" s="21"/>
      <c r="G1188" s="11"/>
      <c r="H1188" s="50"/>
      <c r="I1188" s="50"/>
      <c r="J1188" s="50"/>
      <c r="K1188" s="11"/>
      <c r="L1188" s="50"/>
      <c r="M1188" s="50"/>
      <c r="N1188" s="50"/>
      <c r="O1188" s="50"/>
      <c r="P1188" s="50"/>
      <c r="Q1188" s="11"/>
      <c r="R1188" s="50"/>
      <c r="S1188" s="50"/>
      <c r="T1188" s="50"/>
      <c r="U1188" s="11"/>
      <c r="V1188" s="50"/>
      <c r="W1188" s="50"/>
      <c r="X1188" s="50"/>
      <c r="Y1188" s="50"/>
      <c r="Z1188" s="50"/>
      <c r="AA1188" s="11"/>
      <c r="AB1188" s="50"/>
      <c r="AC1188" s="50"/>
      <c r="AD1188" s="50"/>
      <c r="AE1188" s="11"/>
      <c r="AF1188" s="50"/>
      <c r="AG1188" s="50"/>
      <c r="AH1188" s="50"/>
      <c r="AI1188" s="11"/>
      <c r="AJ1188" s="50"/>
      <c r="AK1188" s="50"/>
      <c r="AL1188" s="50"/>
      <c r="AM1188" s="11"/>
      <c r="AN1188" s="50"/>
      <c r="AO1188" s="50"/>
      <c r="AP1188" s="50"/>
      <c r="AQ1188" s="11"/>
      <c r="AR1188" s="50"/>
      <c r="AS1188" s="50"/>
      <c r="AT1188" s="50"/>
      <c r="AU1188" s="11"/>
      <c r="AV1188" s="50"/>
      <c r="AW1188" s="50"/>
      <c r="AX1188" s="50"/>
      <c r="AY1188" s="50"/>
      <c r="AZ1188" s="50"/>
      <c r="BA1188" s="50"/>
      <c r="BB1188" s="50"/>
      <c r="BC1188" s="50"/>
      <c r="BD1188" s="50"/>
      <c r="BE1188" s="20"/>
      <c r="BF1188" s="518"/>
      <c r="BG1188" s="484"/>
      <c r="BH1188" s="484"/>
      <c r="BI1188" s="527"/>
      <c r="BJ1188" s="484"/>
      <c r="BK1188" s="484"/>
      <c r="BL1188" s="484"/>
      <c r="BM1188" s="484"/>
    </row>
    <row r="1189" spans="1:65" s="22" customFormat="1" x14ac:dyDescent="0.25">
      <c r="A1189" s="20"/>
      <c r="B1189" s="515"/>
      <c r="C1189" s="11"/>
      <c r="D1189" s="11"/>
      <c r="E1189" s="11"/>
      <c r="F1189" s="21"/>
      <c r="G1189" s="11"/>
      <c r="H1189" s="50"/>
      <c r="I1189" s="50"/>
      <c r="J1189" s="50"/>
      <c r="K1189" s="11"/>
      <c r="L1189" s="50"/>
      <c r="M1189" s="50"/>
      <c r="N1189" s="50"/>
      <c r="O1189" s="50"/>
      <c r="P1189" s="50"/>
      <c r="Q1189" s="11"/>
      <c r="R1189" s="50"/>
      <c r="S1189" s="50"/>
      <c r="T1189" s="50"/>
      <c r="U1189" s="11"/>
      <c r="V1189" s="50"/>
      <c r="W1189" s="50"/>
      <c r="X1189" s="50"/>
      <c r="Y1189" s="50"/>
      <c r="Z1189" s="50"/>
      <c r="AA1189" s="11"/>
      <c r="AB1189" s="50"/>
      <c r="AC1189" s="50"/>
      <c r="AD1189" s="50"/>
      <c r="AE1189" s="11"/>
      <c r="AF1189" s="50"/>
      <c r="AG1189" s="50"/>
      <c r="AH1189" s="50"/>
      <c r="AI1189" s="11"/>
      <c r="AJ1189" s="50"/>
      <c r="AK1189" s="50"/>
      <c r="AL1189" s="50"/>
      <c r="AM1189" s="11"/>
      <c r="AN1189" s="50"/>
      <c r="AO1189" s="50"/>
      <c r="AP1189" s="50"/>
      <c r="AQ1189" s="11"/>
      <c r="AR1189" s="50"/>
      <c r="AS1189" s="50"/>
      <c r="AT1189" s="50"/>
      <c r="AU1189" s="11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20"/>
      <c r="BF1189" s="518"/>
      <c r="BG1189" s="484"/>
      <c r="BH1189" s="484"/>
      <c r="BI1189" s="527"/>
      <c r="BJ1189" s="484"/>
      <c r="BK1189" s="484"/>
      <c r="BL1189" s="484"/>
      <c r="BM1189" s="484"/>
    </row>
    <row r="1190" spans="1:65" s="22" customFormat="1" x14ac:dyDescent="0.25">
      <c r="A1190" s="20"/>
      <c r="B1190" s="515"/>
      <c r="C1190" s="11"/>
      <c r="D1190" s="11"/>
      <c r="E1190" s="11"/>
      <c r="F1190" s="21"/>
      <c r="G1190" s="11"/>
      <c r="H1190" s="50"/>
      <c r="I1190" s="50"/>
      <c r="J1190" s="50"/>
      <c r="K1190" s="11"/>
      <c r="L1190" s="50"/>
      <c r="M1190" s="50"/>
      <c r="N1190" s="50"/>
      <c r="O1190" s="50"/>
      <c r="P1190" s="50"/>
      <c r="Q1190" s="11"/>
      <c r="R1190" s="50"/>
      <c r="S1190" s="50"/>
      <c r="T1190" s="50"/>
      <c r="U1190" s="11"/>
      <c r="V1190" s="50"/>
      <c r="W1190" s="50"/>
      <c r="X1190" s="50"/>
      <c r="Y1190" s="50"/>
      <c r="Z1190" s="50"/>
      <c r="AA1190" s="11"/>
      <c r="AB1190" s="50"/>
      <c r="AC1190" s="50"/>
      <c r="AD1190" s="50"/>
      <c r="AE1190" s="11"/>
      <c r="AF1190" s="50"/>
      <c r="AG1190" s="50"/>
      <c r="AH1190" s="50"/>
      <c r="AI1190" s="11"/>
      <c r="AJ1190" s="50"/>
      <c r="AK1190" s="50"/>
      <c r="AL1190" s="50"/>
      <c r="AM1190" s="11"/>
      <c r="AN1190" s="50"/>
      <c r="AO1190" s="50"/>
      <c r="AP1190" s="50"/>
      <c r="AQ1190" s="11"/>
      <c r="AR1190" s="50"/>
      <c r="AS1190" s="50"/>
      <c r="AT1190" s="50"/>
      <c r="AU1190" s="11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20"/>
      <c r="BF1190" s="518"/>
      <c r="BG1190" s="484"/>
      <c r="BH1190" s="484"/>
      <c r="BI1190" s="527"/>
      <c r="BJ1190" s="484"/>
      <c r="BK1190" s="484"/>
      <c r="BL1190" s="484"/>
      <c r="BM1190" s="484"/>
    </row>
    <row r="1191" spans="1:65" s="22" customFormat="1" x14ac:dyDescent="0.25">
      <c r="A1191" s="20"/>
      <c r="B1191" s="515"/>
      <c r="C1191" s="11"/>
      <c r="D1191" s="11"/>
      <c r="E1191" s="11"/>
      <c r="F1191" s="21"/>
      <c r="G1191" s="11"/>
      <c r="H1191" s="50"/>
      <c r="I1191" s="50"/>
      <c r="J1191" s="50"/>
      <c r="K1191" s="11"/>
      <c r="L1191" s="50"/>
      <c r="M1191" s="50"/>
      <c r="N1191" s="50"/>
      <c r="O1191" s="50"/>
      <c r="P1191" s="50"/>
      <c r="Q1191" s="11"/>
      <c r="R1191" s="50"/>
      <c r="S1191" s="50"/>
      <c r="T1191" s="50"/>
      <c r="U1191" s="11"/>
      <c r="V1191" s="50"/>
      <c r="W1191" s="50"/>
      <c r="X1191" s="50"/>
      <c r="Y1191" s="50"/>
      <c r="Z1191" s="50"/>
      <c r="AA1191" s="11"/>
      <c r="AB1191" s="50"/>
      <c r="AC1191" s="50"/>
      <c r="AD1191" s="50"/>
      <c r="AE1191" s="11"/>
      <c r="AF1191" s="50"/>
      <c r="AG1191" s="50"/>
      <c r="AH1191" s="50"/>
      <c r="AI1191" s="11"/>
      <c r="AJ1191" s="50"/>
      <c r="AK1191" s="50"/>
      <c r="AL1191" s="50"/>
      <c r="AM1191" s="11"/>
      <c r="AN1191" s="50"/>
      <c r="AO1191" s="50"/>
      <c r="AP1191" s="50"/>
      <c r="AQ1191" s="11"/>
      <c r="AR1191" s="50"/>
      <c r="AS1191" s="50"/>
      <c r="AT1191" s="50"/>
      <c r="AU1191" s="11"/>
      <c r="AV1191" s="50"/>
      <c r="AW1191" s="50"/>
      <c r="AX1191" s="50"/>
      <c r="AY1191" s="50"/>
      <c r="AZ1191" s="50"/>
      <c r="BA1191" s="50"/>
      <c r="BB1191" s="50"/>
      <c r="BC1191" s="50"/>
      <c r="BD1191" s="50"/>
      <c r="BE1191" s="20"/>
      <c r="BF1191" s="518"/>
      <c r="BG1191" s="484"/>
      <c r="BH1191" s="484"/>
      <c r="BI1191" s="527"/>
      <c r="BJ1191" s="484"/>
      <c r="BK1191" s="484"/>
      <c r="BL1191" s="484"/>
      <c r="BM1191" s="484"/>
    </row>
    <row r="1192" spans="1:65" s="22" customFormat="1" x14ac:dyDescent="0.25">
      <c r="A1192" s="20"/>
      <c r="B1192" s="515"/>
      <c r="C1192" s="11"/>
      <c r="D1192" s="11"/>
      <c r="E1192" s="11"/>
      <c r="F1192" s="21"/>
      <c r="G1192" s="11"/>
      <c r="H1192" s="50"/>
      <c r="I1192" s="50"/>
      <c r="J1192" s="50"/>
      <c r="K1192" s="11"/>
      <c r="L1192" s="50"/>
      <c r="M1192" s="50"/>
      <c r="N1192" s="50"/>
      <c r="O1192" s="50"/>
      <c r="P1192" s="50"/>
      <c r="Q1192" s="11"/>
      <c r="R1192" s="50"/>
      <c r="S1192" s="50"/>
      <c r="T1192" s="50"/>
      <c r="U1192" s="11"/>
      <c r="V1192" s="50"/>
      <c r="W1192" s="50"/>
      <c r="X1192" s="50"/>
      <c r="Y1192" s="50"/>
      <c r="Z1192" s="50"/>
      <c r="AA1192" s="11"/>
      <c r="AB1192" s="50"/>
      <c r="AC1192" s="50"/>
      <c r="AD1192" s="50"/>
      <c r="AE1192" s="11"/>
      <c r="AF1192" s="50"/>
      <c r="AG1192" s="50"/>
      <c r="AH1192" s="50"/>
      <c r="AI1192" s="11"/>
      <c r="AJ1192" s="50"/>
      <c r="AK1192" s="50"/>
      <c r="AL1192" s="50"/>
      <c r="AM1192" s="11"/>
      <c r="AN1192" s="50"/>
      <c r="AO1192" s="50"/>
      <c r="AP1192" s="50"/>
      <c r="AQ1192" s="11"/>
      <c r="AR1192" s="50"/>
      <c r="AS1192" s="50"/>
      <c r="AT1192" s="50"/>
      <c r="AU1192" s="11"/>
      <c r="AV1192" s="50"/>
      <c r="AW1192" s="50"/>
      <c r="AX1192" s="50"/>
      <c r="AY1192" s="50"/>
      <c r="AZ1192" s="50"/>
      <c r="BA1192" s="50"/>
      <c r="BB1192" s="50"/>
      <c r="BC1192" s="50"/>
      <c r="BD1192" s="50"/>
      <c r="BE1192" s="20"/>
      <c r="BF1192" s="518"/>
      <c r="BG1192" s="484"/>
      <c r="BH1192" s="484"/>
      <c r="BI1192" s="527"/>
      <c r="BJ1192" s="484"/>
      <c r="BK1192" s="484"/>
      <c r="BL1192" s="484"/>
      <c r="BM1192" s="484"/>
    </row>
    <row r="1193" spans="1:65" s="22" customFormat="1" x14ac:dyDescent="0.25">
      <c r="A1193" s="20"/>
      <c r="B1193" s="515"/>
      <c r="C1193" s="11"/>
      <c r="D1193" s="11"/>
      <c r="E1193" s="11"/>
      <c r="F1193" s="21"/>
      <c r="G1193" s="11"/>
      <c r="H1193" s="50"/>
      <c r="I1193" s="50"/>
      <c r="J1193" s="50"/>
      <c r="K1193" s="11"/>
      <c r="L1193" s="50"/>
      <c r="M1193" s="50"/>
      <c r="N1193" s="50"/>
      <c r="O1193" s="50"/>
      <c r="P1193" s="50"/>
      <c r="Q1193" s="11"/>
      <c r="R1193" s="50"/>
      <c r="S1193" s="50"/>
      <c r="T1193" s="50"/>
      <c r="U1193" s="11"/>
      <c r="V1193" s="50"/>
      <c r="W1193" s="50"/>
      <c r="X1193" s="50"/>
      <c r="Y1193" s="50"/>
      <c r="Z1193" s="50"/>
      <c r="AA1193" s="11"/>
      <c r="AB1193" s="50"/>
      <c r="AC1193" s="50"/>
      <c r="AD1193" s="50"/>
      <c r="AE1193" s="11"/>
      <c r="AF1193" s="50"/>
      <c r="AG1193" s="50"/>
      <c r="AH1193" s="50"/>
      <c r="AI1193" s="11"/>
      <c r="AJ1193" s="50"/>
      <c r="AK1193" s="50"/>
      <c r="AL1193" s="50"/>
      <c r="AM1193" s="11"/>
      <c r="AN1193" s="50"/>
      <c r="AO1193" s="50"/>
      <c r="AP1193" s="50"/>
      <c r="AQ1193" s="11"/>
      <c r="AR1193" s="50"/>
      <c r="AS1193" s="50"/>
      <c r="AT1193" s="50"/>
      <c r="AU1193" s="11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20"/>
      <c r="BF1193" s="518"/>
      <c r="BG1193" s="484"/>
      <c r="BH1193" s="484"/>
      <c r="BI1193" s="527"/>
      <c r="BJ1193" s="484"/>
      <c r="BK1193" s="484"/>
      <c r="BL1193" s="484"/>
      <c r="BM1193" s="484"/>
    </row>
    <row r="1194" spans="1:65" s="22" customFormat="1" x14ac:dyDescent="0.25">
      <c r="A1194" s="20"/>
      <c r="B1194" s="515"/>
      <c r="C1194" s="11"/>
      <c r="D1194" s="11"/>
      <c r="E1194" s="11"/>
      <c r="F1194" s="21"/>
      <c r="G1194" s="11"/>
      <c r="H1194" s="50"/>
      <c r="I1194" s="50"/>
      <c r="J1194" s="50"/>
      <c r="K1194" s="11"/>
      <c r="L1194" s="50"/>
      <c r="M1194" s="50"/>
      <c r="N1194" s="50"/>
      <c r="O1194" s="50"/>
      <c r="P1194" s="50"/>
      <c r="Q1194" s="11"/>
      <c r="R1194" s="50"/>
      <c r="S1194" s="50"/>
      <c r="T1194" s="50"/>
      <c r="U1194" s="11"/>
      <c r="V1194" s="50"/>
      <c r="W1194" s="50"/>
      <c r="X1194" s="50"/>
      <c r="Y1194" s="50"/>
      <c r="Z1194" s="50"/>
      <c r="AA1194" s="11"/>
      <c r="AB1194" s="50"/>
      <c r="AC1194" s="50"/>
      <c r="AD1194" s="50"/>
      <c r="AE1194" s="11"/>
      <c r="AF1194" s="50"/>
      <c r="AG1194" s="50"/>
      <c r="AH1194" s="50"/>
      <c r="AI1194" s="11"/>
      <c r="AJ1194" s="50"/>
      <c r="AK1194" s="50"/>
      <c r="AL1194" s="50"/>
      <c r="AM1194" s="11"/>
      <c r="AN1194" s="50"/>
      <c r="AO1194" s="50"/>
      <c r="AP1194" s="50"/>
      <c r="AQ1194" s="11"/>
      <c r="AR1194" s="50"/>
      <c r="AS1194" s="50"/>
      <c r="AT1194" s="50"/>
      <c r="AU1194" s="11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20"/>
      <c r="BF1194" s="518"/>
      <c r="BG1194" s="484"/>
      <c r="BH1194" s="484"/>
      <c r="BI1194" s="527"/>
      <c r="BJ1194" s="484"/>
      <c r="BK1194" s="484"/>
      <c r="BL1194" s="484"/>
      <c r="BM1194" s="484"/>
    </row>
    <row r="1195" spans="1:65" s="22" customFormat="1" x14ac:dyDescent="0.25">
      <c r="A1195" s="20"/>
      <c r="B1195" s="515"/>
      <c r="C1195" s="11"/>
      <c r="D1195" s="11"/>
      <c r="E1195" s="11"/>
      <c r="F1195" s="21"/>
      <c r="G1195" s="11"/>
      <c r="H1195" s="50"/>
      <c r="I1195" s="50"/>
      <c r="J1195" s="50"/>
      <c r="K1195" s="11"/>
      <c r="L1195" s="50"/>
      <c r="M1195" s="50"/>
      <c r="N1195" s="50"/>
      <c r="O1195" s="50"/>
      <c r="P1195" s="50"/>
      <c r="Q1195" s="11"/>
      <c r="R1195" s="50"/>
      <c r="S1195" s="50"/>
      <c r="T1195" s="50"/>
      <c r="U1195" s="11"/>
      <c r="V1195" s="50"/>
      <c r="W1195" s="50"/>
      <c r="X1195" s="50"/>
      <c r="Y1195" s="50"/>
      <c r="Z1195" s="50"/>
      <c r="AA1195" s="11"/>
      <c r="AB1195" s="50"/>
      <c r="AC1195" s="50"/>
      <c r="AD1195" s="50"/>
      <c r="AE1195" s="11"/>
      <c r="AF1195" s="50"/>
      <c r="AG1195" s="50"/>
      <c r="AH1195" s="50"/>
      <c r="AI1195" s="11"/>
      <c r="AJ1195" s="50"/>
      <c r="AK1195" s="50"/>
      <c r="AL1195" s="50"/>
      <c r="AM1195" s="11"/>
      <c r="AN1195" s="50"/>
      <c r="AO1195" s="50"/>
      <c r="AP1195" s="50"/>
      <c r="AQ1195" s="11"/>
      <c r="AR1195" s="50"/>
      <c r="AS1195" s="50"/>
      <c r="AT1195" s="50"/>
      <c r="AU1195" s="11"/>
      <c r="AV1195" s="50"/>
      <c r="AW1195" s="50"/>
      <c r="AX1195" s="50"/>
      <c r="AY1195" s="50"/>
      <c r="AZ1195" s="50"/>
      <c r="BA1195" s="50"/>
      <c r="BB1195" s="50"/>
      <c r="BC1195" s="50"/>
      <c r="BD1195" s="50"/>
      <c r="BE1195" s="20"/>
      <c r="BF1195" s="518"/>
      <c r="BG1195" s="484"/>
      <c r="BH1195" s="484"/>
      <c r="BI1195" s="527"/>
      <c r="BJ1195" s="484"/>
      <c r="BK1195" s="484"/>
      <c r="BL1195" s="484"/>
      <c r="BM1195" s="484"/>
    </row>
    <row r="1196" spans="1:65" s="22" customFormat="1" x14ac:dyDescent="0.25">
      <c r="A1196" s="20"/>
      <c r="B1196" s="515"/>
      <c r="C1196" s="11"/>
      <c r="D1196" s="11"/>
      <c r="E1196" s="11"/>
      <c r="F1196" s="21"/>
      <c r="G1196" s="11"/>
      <c r="H1196" s="50"/>
      <c r="I1196" s="50"/>
      <c r="J1196" s="50"/>
      <c r="K1196" s="11"/>
      <c r="L1196" s="50"/>
      <c r="M1196" s="50"/>
      <c r="N1196" s="50"/>
      <c r="O1196" s="50"/>
      <c r="P1196" s="50"/>
      <c r="Q1196" s="11"/>
      <c r="R1196" s="50"/>
      <c r="S1196" s="50"/>
      <c r="T1196" s="50"/>
      <c r="U1196" s="11"/>
      <c r="V1196" s="50"/>
      <c r="W1196" s="50"/>
      <c r="X1196" s="50"/>
      <c r="Y1196" s="50"/>
      <c r="Z1196" s="50"/>
      <c r="AA1196" s="11"/>
      <c r="AB1196" s="50"/>
      <c r="AC1196" s="50"/>
      <c r="AD1196" s="50"/>
      <c r="AE1196" s="11"/>
      <c r="AF1196" s="50"/>
      <c r="AG1196" s="50"/>
      <c r="AH1196" s="50"/>
      <c r="AI1196" s="11"/>
      <c r="AJ1196" s="50"/>
      <c r="AK1196" s="50"/>
      <c r="AL1196" s="50"/>
      <c r="AM1196" s="11"/>
      <c r="AN1196" s="50"/>
      <c r="AO1196" s="50"/>
      <c r="AP1196" s="50"/>
      <c r="AQ1196" s="11"/>
      <c r="AR1196" s="50"/>
      <c r="AS1196" s="50"/>
      <c r="AT1196" s="50"/>
      <c r="AU1196" s="11"/>
      <c r="AV1196" s="50"/>
      <c r="AW1196" s="50"/>
      <c r="AX1196" s="50"/>
      <c r="AY1196" s="50"/>
      <c r="AZ1196" s="50"/>
      <c r="BA1196" s="50"/>
      <c r="BB1196" s="50"/>
      <c r="BC1196" s="50"/>
      <c r="BD1196" s="50"/>
      <c r="BE1196" s="20"/>
      <c r="BF1196" s="518"/>
      <c r="BG1196" s="484"/>
      <c r="BH1196" s="484"/>
      <c r="BI1196" s="527"/>
      <c r="BJ1196" s="484"/>
      <c r="BK1196" s="484"/>
      <c r="BL1196" s="484"/>
      <c r="BM1196" s="484"/>
    </row>
    <row r="1197" spans="1:65" s="22" customFormat="1" x14ac:dyDescent="0.25">
      <c r="A1197" s="20"/>
      <c r="B1197" s="515"/>
      <c r="C1197" s="11"/>
      <c r="D1197" s="11"/>
      <c r="E1197" s="11"/>
      <c r="F1197" s="21"/>
      <c r="G1197" s="11"/>
      <c r="H1197" s="50"/>
      <c r="I1197" s="50"/>
      <c r="J1197" s="50"/>
      <c r="K1197" s="11"/>
      <c r="L1197" s="50"/>
      <c r="M1197" s="50"/>
      <c r="N1197" s="50"/>
      <c r="O1197" s="50"/>
      <c r="P1197" s="50"/>
      <c r="Q1197" s="11"/>
      <c r="R1197" s="50"/>
      <c r="S1197" s="50"/>
      <c r="T1197" s="50"/>
      <c r="U1197" s="11"/>
      <c r="V1197" s="50"/>
      <c r="W1197" s="50"/>
      <c r="X1197" s="50"/>
      <c r="Y1197" s="50"/>
      <c r="Z1197" s="50"/>
      <c r="AA1197" s="11"/>
      <c r="AB1197" s="50"/>
      <c r="AC1197" s="50"/>
      <c r="AD1197" s="50"/>
      <c r="AE1197" s="11"/>
      <c r="AF1197" s="50"/>
      <c r="AG1197" s="50"/>
      <c r="AH1197" s="50"/>
      <c r="AI1197" s="11"/>
      <c r="AJ1197" s="50"/>
      <c r="AK1197" s="50"/>
      <c r="AL1197" s="50"/>
      <c r="AM1197" s="11"/>
      <c r="AN1197" s="50"/>
      <c r="AO1197" s="50"/>
      <c r="AP1197" s="50"/>
      <c r="AQ1197" s="11"/>
      <c r="AR1197" s="50"/>
      <c r="AS1197" s="50"/>
      <c r="AT1197" s="50"/>
      <c r="AU1197" s="11"/>
      <c r="AV1197" s="50"/>
      <c r="AW1197" s="50"/>
      <c r="AX1197" s="50"/>
      <c r="AY1197" s="50"/>
      <c r="AZ1197" s="50"/>
      <c r="BA1197" s="50"/>
      <c r="BB1197" s="50"/>
      <c r="BC1197" s="50"/>
      <c r="BD1197" s="50"/>
      <c r="BE1197" s="20"/>
      <c r="BF1197" s="518"/>
      <c r="BG1197" s="484"/>
      <c r="BH1197" s="484"/>
      <c r="BI1197" s="527"/>
      <c r="BJ1197" s="484"/>
      <c r="BK1197" s="484"/>
      <c r="BL1197" s="484"/>
      <c r="BM1197" s="484"/>
    </row>
    <row r="1198" spans="1:65" s="22" customFormat="1" x14ac:dyDescent="0.25">
      <c r="A1198" s="20"/>
      <c r="B1198" s="515"/>
      <c r="C1198" s="11"/>
      <c r="D1198" s="11"/>
      <c r="E1198" s="11"/>
      <c r="F1198" s="21"/>
      <c r="G1198" s="11"/>
      <c r="H1198" s="50"/>
      <c r="I1198" s="50"/>
      <c r="J1198" s="50"/>
      <c r="K1198" s="11"/>
      <c r="L1198" s="50"/>
      <c r="M1198" s="50"/>
      <c r="N1198" s="50"/>
      <c r="O1198" s="50"/>
      <c r="P1198" s="50"/>
      <c r="Q1198" s="11"/>
      <c r="R1198" s="50"/>
      <c r="S1198" s="50"/>
      <c r="T1198" s="50"/>
      <c r="U1198" s="11"/>
      <c r="V1198" s="50"/>
      <c r="W1198" s="50"/>
      <c r="X1198" s="50"/>
      <c r="Y1198" s="50"/>
      <c r="Z1198" s="50"/>
      <c r="AA1198" s="11"/>
      <c r="AB1198" s="50"/>
      <c r="AC1198" s="50"/>
      <c r="AD1198" s="50"/>
      <c r="AE1198" s="11"/>
      <c r="AF1198" s="50"/>
      <c r="AG1198" s="50"/>
      <c r="AH1198" s="50"/>
      <c r="AI1198" s="11"/>
      <c r="AJ1198" s="50"/>
      <c r="AK1198" s="50"/>
      <c r="AL1198" s="50"/>
      <c r="AM1198" s="11"/>
      <c r="AN1198" s="50"/>
      <c r="AO1198" s="50"/>
      <c r="AP1198" s="50"/>
      <c r="AQ1198" s="11"/>
      <c r="AR1198" s="50"/>
      <c r="AS1198" s="50"/>
      <c r="AT1198" s="50"/>
      <c r="AU1198" s="11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20"/>
      <c r="BF1198" s="518"/>
      <c r="BG1198" s="484"/>
      <c r="BH1198" s="484"/>
      <c r="BI1198" s="527"/>
      <c r="BJ1198" s="484"/>
      <c r="BK1198" s="484"/>
      <c r="BL1198" s="484"/>
      <c r="BM1198" s="484"/>
    </row>
    <row r="1199" spans="1:65" s="22" customFormat="1" x14ac:dyDescent="0.25">
      <c r="A1199" s="20"/>
      <c r="B1199" s="515"/>
      <c r="C1199" s="11"/>
      <c r="D1199" s="11"/>
      <c r="E1199" s="11"/>
      <c r="F1199" s="21"/>
      <c r="G1199" s="11"/>
      <c r="H1199" s="50"/>
      <c r="I1199" s="50"/>
      <c r="J1199" s="50"/>
      <c r="K1199" s="11"/>
      <c r="L1199" s="50"/>
      <c r="M1199" s="50"/>
      <c r="N1199" s="50"/>
      <c r="O1199" s="50"/>
      <c r="P1199" s="50"/>
      <c r="Q1199" s="11"/>
      <c r="R1199" s="50"/>
      <c r="S1199" s="50"/>
      <c r="T1199" s="50"/>
      <c r="U1199" s="11"/>
      <c r="V1199" s="50"/>
      <c r="W1199" s="50"/>
      <c r="X1199" s="50"/>
      <c r="Y1199" s="50"/>
      <c r="Z1199" s="50"/>
      <c r="AA1199" s="11"/>
      <c r="AB1199" s="50"/>
      <c r="AC1199" s="50"/>
      <c r="AD1199" s="50"/>
      <c r="AE1199" s="11"/>
      <c r="AF1199" s="50"/>
      <c r="AG1199" s="50"/>
      <c r="AH1199" s="50"/>
      <c r="AI1199" s="11"/>
      <c r="AJ1199" s="50"/>
      <c r="AK1199" s="50"/>
      <c r="AL1199" s="50"/>
      <c r="AM1199" s="11"/>
      <c r="AN1199" s="50"/>
      <c r="AO1199" s="50"/>
      <c r="AP1199" s="50"/>
      <c r="AQ1199" s="11"/>
      <c r="AR1199" s="50"/>
      <c r="AS1199" s="50"/>
      <c r="AT1199" s="50"/>
      <c r="AU1199" s="11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20"/>
      <c r="BF1199" s="518"/>
      <c r="BG1199" s="484"/>
      <c r="BH1199" s="484"/>
      <c r="BI1199" s="527"/>
      <c r="BJ1199" s="484"/>
      <c r="BK1199" s="484"/>
      <c r="BL1199" s="484"/>
      <c r="BM1199" s="484"/>
    </row>
    <row r="1200" spans="1:65" s="22" customFormat="1" x14ac:dyDescent="0.25">
      <c r="A1200" s="20"/>
      <c r="B1200" s="515"/>
      <c r="C1200" s="11"/>
      <c r="D1200" s="11"/>
      <c r="E1200" s="11"/>
      <c r="F1200" s="21"/>
      <c r="G1200" s="11"/>
      <c r="H1200" s="50"/>
      <c r="I1200" s="50"/>
      <c r="J1200" s="50"/>
      <c r="K1200" s="11"/>
      <c r="L1200" s="50"/>
      <c r="M1200" s="50"/>
      <c r="N1200" s="50"/>
      <c r="O1200" s="50"/>
      <c r="P1200" s="50"/>
      <c r="Q1200" s="11"/>
      <c r="R1200" s="50"/>
      <c r="S1200" s="50"/>
      <c r="T1200" s="50"/>
      <c r="U1200" s="11"/>
      <c r="V1200" s="50"/>
      <c r="W1200" s="50"/>
      <c r="X1200" s="50"/>
      <c r="Y1200" s="50"/>
      <c r="Z1200" s="50"/>
      <c r="AA1200" s="11"/>
      <c r="AB1200" s="50"/>
      <c r="AC1200" s="50"/>
      <c r="AD1200" s="50"/>
      <c r="AE1200" s="11"/>
      <c r="AF1200" s="50"/>
      <c r="AG1200" s="50"/>
      <c r="AH1200" s="50"/>
      <c r="AI1200" s="11"/>
      <c r="AJ1200" s="50"/>
      <c r="AK1200" s="50"/>
      <c r="AL1200" s="50"/>
      <c r="AM1200" s="11"/>
      <c r="AN1200" s="50"/>
      <c r="AO1200" s="50"/>
      <c r="AP1200" s="50"/>
      <c r="AQ1200" s="11"/>
      <c r="AR1200" s="50"/>
      <c r="AS1200" s="50"/>
      <c r="AT1200" s="50"/>
      <c r="AU1200" s="11"/>
      <c r="AV1200" s="50"/>
      <c r="AW1200" s="50"/>
      <c r="AX1200" s="50"/>
      <c r="AY1200" s="50"/>
      <c r="AZ1200" s="50"/>
      <c r="BA1200" s="50"/>
      <c r="BB1200" s="50"/>
      <c r="BC1200" s="50"/>
      <c r="BD1200" s="50"/>
      <c r="BE1200" s="20"/>
      <c r="BF1200" s="518"/>
      <c r="BG1200" s="484"/>
      <c r="BH1200" s="484"/>
      <c r="BI1200" s="527"/>
      <c r="BJ1200" s="484"/>
      <c r="BK1200" s="484"/>
      <c r="BL1200" s="484"/>
      <c r="BM1200" s="484"/>
    </row>
    <row r="1201" spans="1:65" s="22" customFormat="1" x14ac:dyDescent="0.25">
      <c r="A1201" s="20"/>
      <c r="B1201" s="515"/>
      <c r="C1201" s="11"/>
      <c r="D1201" s="11"/>
      <c r="E1201" s="11"/>
      <c r="F1201" s="21"/>
      <c r="G1201" s="11"/>
      <c r="H1201" s="50"/>
      <c r="I1201" s="50"/>
      <c r="J1201" s="50"/>
      <c r="K1201" s="11"/>
      <c r="L1201" s="50"/>
      <c r="M1201" s="50"/>
      <c r="N1201" s="50"/>
      <c r="O1201" s="50"/>
      <c r="P1201" s="50"/>
      <c r="Q1201" s="11"/>
      <c r="R1201" s="50"/>
      <c r="S1201" s="50"/>
      <c r="T1201" s="50"/>
      <c r="U1201" s="11"/>
      <c r="V1201" s="50"/>
      <c r="W1201" s="50"/>
      <c r="X1201" s="50"/>
      <c r="Y1201" s="50"/>
      <c r="Z1201" s="50"/>
      <c r="AA1201" s="11"/>
      <c r="AB1201" s="50"/>
      <c r="AC1201" s="50"/>
      <c r="AD1201" s="50"/>
      <c r="AE1201" s="11"/>
      <c r="AF1201" s="50"/>
      <c r="AG1201" s="50"/>
      <c r="AH1201" s="50"/>
      <c r="AI1201" s="11"/>
      <c r="AJ1201" s="50"/>
      <c r="AK1201" s="50"/>
      <c r="AL1201" s="50"/>
      <c r="AM1201" s="11"/>
      <c r="AN1201" s="50"/>
      <c r="AO1201" s="50"/>
      <c r="AP1201" s="50"/>
      <c r="AQ1201" s="11"/>
      <c r="AR1201" s="50"/>
      <c r="AS1201" s="50"/>
      <c r="AT1201" s="50"/>
      <c r="AU1201" s="11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20"/>
      <c r="BF1201" s="518"/>
      <c r="BG1201" s="484"/>
      <c r="BH1201" s="484"/>
      <c r="BI1201" s="527"/>
      <c r="BJ1201" s="484"/>
      <c r="BK1201" s="484"/>
      <c r="BL1201" s="484"/>
      <c r="BM1201" s="484"/>
    </row>
    <row r="1202" spans="1:65" s="22" customFormat="1" x14ac:dyDescent="0.25">
      <c r="A1202" s="20"/>
      <c r="B1202" s="515"/>
      <c r="C1202" s="11"/>
      <c r="D1202" s="11"/>
      <c r="E1202" s="11"/>
      <c r="F1202" s="21"/>
      <c r="G1202" s="11"/>
      <c r="H1202" s="50"/>
      <c r="I1202" s="50"/>
      <c r="J1202" s="50"/>
      <c r="K1202" s="11"/>
      <c r="L1202" s="50"/>
      <c r="M1202" s="50"/>
      <c r="N1202" s="50"/>
      <c r="O1202" s="50"/>
      <c r="P1202" s="50"/>
      <c r="Q1202" s="11"/>
      <c r="R1202" s="50"/>
      <c r="S1202" s="50"/>
      <c r="T1202" s="50"/>
      <c r="U1202" s="11"/>
      <c r="V1202" s="50"/>
      <c r="W1202" s="50"/>
      <c r="X1202" s="50"/>
      <c r="Y1202" s="50"/>
      <c r="Z1202" s="50"/>
      <c r="AA1202" s="11"/>
      <c r="AB1202" s="50"/>
      <c r="AC1202" s="50"/>
      <c r="AD1202" s="50"/>
      <c r="AE1202" s="11"/>
      <c r="AF1202" s="50"/>
      <c r="AG1202" s="50"/>
      <c r="AH1202" s="50"/>
      <c r="AI1202" s="11"/>
      <c r="AJ1202" s="50"/>
      <c r="AK1202" s="50"/>
      <c r="AL1202" s="50"/>
      <c r="AM1202" s="11"/>
      <c r="AN1202" s="50"/>
      <c r="AO1202" s="50"/>
      <c r="AP1202" s="50"/>
      <c r="AQ1202" s="11"/>
      <c r="AR1202" s="50"/>
      <c r="AS1202" s="50"/>
      <c r="AT1202" s="50"/>
      <c r="AU1202" s="11"/>
      <c r="AV1202" s="50"/>
      <c r="AW1202" s="50"/>
      <c r="AX1202" s="50"/>
      <c r="AY1202" s="50"/>
      <c r="AZ1202" s="50"/>
      <c r="BA1202" s="50"/>
      <c r="BB1202" s="50"/>
      <c r="BC1202" s="50"/>
      <c r="BD1202" s="50"/>
      <c r="BE1202" s="20"/>
      <c r="BF1202" s="518"/>
      <c r="BG1202" s="484"/>
      <c r="BH1202" s="484"/>
      <c r="BI1202" s="527"/>
      <c r="BJ1202" s="484"/>
      <c r="BK1202" s="484"/>
      <c r="BL1202" s="484"/>
      <c r="BM1202" s="484"/>
    </row>
    <row r="1203" spans="1:65" s="22" customFormat="1" x14ac:dyDescent="0.25">
      <c r="A1203" s="20"/>
      <c r="B1203" s="515"/>
      <c r="C1203" s="11"/>
      <c r="D1203" s="11"/>
      <c r="E1203" s="11"/>
      <c r="F1203" s="21"/>
      <c r="G1203" s="11"/>
      <c r="H1203" s="50"/>
      <c r="I1203" s="50"/>
      <c r="J1203" s="50"/>
      <c r="K1203" s="11"/>
      <c r="L1203" s="50"/>
      <c r="M1203" s="50"/>
      <c r="N1203" s="50"/>
      <c r="O1203" s="50"/>
      <c r="P1203" s="50"/>
      <c r="Q1203" s="11"/>
      <c r="R1203" s="50"/>
      <c r="S1203" s="50"/>
      <c r="T1203" s="50"/>
      <c r="U1203" s="11"/>
      <c r="V1203" s="50"/>
      <c r="W1203" s="50"/>
      <c r="X1203" s="50"/>
      <c r="Y1203" s="50"/>
      <c r="Z1203" s="50"/>
      <c r="AA1203" s="11"/>
      <c r="AB1203" s="50"/>
      <c r="AC1203" s="50"/>
      <c r="AD1203" s="50"/>
      <c r="AE1203" s="11"/>
      <c r="AF1203" s="50"/>
      <c r="AG1203" s="50"/>
      <c r="AH1203" s="50"/>
      <c r="AI1203" s="11"/>
      <c r="AJ1203" s="50"/>
      <c r="AK1203" s="50"/>
      <c r="AL1203" s="50"/>
      <c r="AM1203" s="11"/>
      <c r="AN1203" s="50"/>
      <c r="AO1203" s="50"/>
      <c r="AP1203" s="50"/>
      <c r="AQ1203" s="11"/>
      <c r="AR1203" s="50"/>
      <c r="AS1203" s="50"/>
      <c r="AT1203" s="50"/>
      <c r="AU1203" s="11"/>
      <c r="AV1203" s="50"/>
      <c r="AW1203" s="50"/>
      <c r="AX1203" s="50"/>
      <c r="AY1203" s="50"/>
      <c r="AZ1203" s="50"/>
      <c r="BA1203" s="50"/>
      <c r="BB1203" s="50"/>
      <c r="BC1203" s="50"/>
      <c r="BD1203" s="50"/>
      <c r="BE1203" s="20"/>
      <c r="BF1203" s="518"/>
      <c r="BG1203" s="484"/>
      <c r="BH1203" s="484"/>
      <c r="BI1203" s="527"/>
      <c r="BJ1203" s="484"/>
      <c r="BK1203" s="484"/>
      <c r="BL1203" s="484"/>
      <c r="BM1203" s="484"/>
    </row>
    <row r="1204" spans="1:65" s="22" customFormat="1" x14ac:dyDescent="0.25">
      <c r="A1204" s="20"/>
      <c r="B1204" s="515"/>
      <c r="C1204" s="11"/>
      <c r="D1204" s="11"/>
      <c r="E1204" s="11"/>
      <c r="F1204" s="21"/>
      <c r="G1204" s="11"/>
      <c r="H1204" s="50"/>
      <c r="I1204" s="50"/>
      <c r="J1204" s="50"/>
      <c r="K1204" s="11"/>
      <c r="L1204" s="50"/>
      <c r="M1204" s="50"/>
      <c r="N1204" s="50"/>
      <c r="O1204" s="50"/>
      <c r="P1204" s="50"/>
      <c r="Q1204" s="11"/>
      <c r="R1204" s="50"/>
      <c r="S1204" s="50"/>
      <c r="T1204" s="50"/>
      <c r="U1204" s="11"/>
      <c r="V1204" s="50"/>
      <c r="W1204" s="50"/>
      <c r="X1204" s="50"/>
      <c r="Y1204" s="50"/>
      <c r="Z1204" s="50"/>
      <c r="AA1204" s="11"/>
      <c r="AB1204" s="50"/>
      <c r="AC1204" s="50"/>
      <c r="AD1204" s="50"/>
      <c r="AE1204" s="11"/>
      <c r="AF1204" s="50"/>
      <c r="AG1204" s="50"/>
      <c r="AH1204" s="50"/>
      <c r="AI1204" s="11"/>
      <c r="AJ1204" s="50"/>
      <c r="AK1204" s="50"/>
      <c r="AL1204" s="50"/>
      <c r="AM1204" s="11"/>
      <c r="AN1204" s="50"/>
      <c r="AO1204" s="50"/>
      <c r="AP1204" s="50"/>
      <c r="AQ1204" s="11"/>
      <c r="AR1204" s="50"/>
      <c r="AS1204" s="50"/>
      <c r="AT1204" s="50"/>
      <c r="AU1204" s="11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20"/>
      <c r="BF1204" s="518"/>
      <c r="BG1204" s="484"/>
      <c r="BH1204" s="484"/>
      <c r="BI1204" s="527"/>
      <c r="BJ1204" s="484"/>
      <c r="BK1204" s="484"/>
      <c r="BL1204" s="484"/>
      <c r="BM1204" s="484"/>
    </row>
    <row r="1205" spans="1:65" s="22" customFormat="1" x14ac:dyDescent="0.25">
      <c r="A1205" s="20"/>
      <c r="B1205" s="515"/>
      <c r="C1205" s="11"/>
      <c r="D1205" s="11"/>
      <c r="E1205" s="11"/>
      <c r="F1205" s="21"/>
      <c r="G1205" s="11"/>
      <c r="H1205" s="50"/>
      <c r="I1205" s="50"/>
      <c r="J1205" s="50"/>
      <c r="K1205" s="11"/>
      <c r="L1205" s="50"/>
      <c r="M1205" s="50"/>
      <c r="N1205" s="50"/>
      <c r="O1205" s="50"/>
      <c r="P1205" s="50"/>
      <c r="Q1205" s="11"/>
      <c r="R1205" s="50"/>
      <c r="S1205" s="50"/>
      <c r="T1205" s="50"/>
      <c r="U1205" s="11"/>
      <c r="V1205" s="50"/>
      <c r="W1205" s="50"/>
      <c r="X1205" s="50"/>
      <c r="Y1205" s="50"/>
      <c r="Z1205" s="50"/>
      <c r="AA1205" s="11"/>
      <c r="AB1205" s="50"/>
      <c r="AC1205" s="50"/>
      <c r="AD1205" s="50"/>
      <c r="AE1205" s="11"/>
      <c r="AF1205" s="50"/>
      <c r="AG1205" s="50"/>
      <c r="AH1205" s="50"/>
      <c r="AI1205" s="11"/>
      <c r="AJ1205" s="50"/>
      <c r="AK1205" s="50"/>
      <c r="AL1205" s="50"/>
      <c r="AM1205" s="11"/>
      <c r="AN1205" s="50"/>
      <c r="AO1205" s="50"/>
      <c r="AP1205" s="50"/>
      <c r="AQ1205" s="11"/>
      <c r="AR1205" s="50"/>
      <c r="AS1205" s="50"/>
      <c r="AT1205" s="50"/>
      <c r="AU1205" s="11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20"/>
      <c r="BF1205" s="518"/>
      <c r="BG1205" s="484"/>
      <c r="BH1205" s="484"/>
      <c r="BI1205" s="527"/>
      <c r="BJ1205" s="484"/>
      <c r="BK1205" s="484"/>
      <c r="BL1205" s="484"/>
      <c r="BM1205" s="484"/>
    </row>
    <row r="1206" spans="1:65" s="22" customFormat="1" x14ac:dyDescent="0.25">
      <c r="A1206" s="20"/>
      <c r="B1206" s="515"/>
      <c r="C1206" s="11"/>
      <c r="D1206" s="11"/>
      <c r="E1206" s="11"/>
      <c r="F1206" s="21"/>
      <c r="G1206" s="11"/>
      <c r="H1206" s="50"/>
      <c r="I1206" s="50"/>
      <c r="J1206" s="50"/>
      <c r="K1206" s="11"/>
      <c r="L1206" s="50"/>
      <c r="M1206" s="50"/>
      <c r="N1206" s="50"/>
      <c r="O1206" s="50"/>
      <c r="P1206" s="50"/>
      <c r="Q1206" s="11"/>
      <c r="R1206" s="50"/>
      <c r="S1206" s="50"/>
      <c r="T1206" s="50"/>
      <c r="U1206" s="11"/>
      <c r="V1206" s="50"/>
      <c r="W1206" s="50"/>
      <c r="X1206" s="50"/>
      <c r="Y1206" s="50"/>
      <c r="Z1206" s="50"/>
      <c r="AA1206" s="11"/>
      <c r="AB1206" s="50"/>
      <c r="AC1206" s="50"/>
      <c r="AD1206" s="50"/>
      <c r="AE1206" s="11"/>
      <c r="AF1206" s="50"/>
      <c r="AG1206" s="50"/>
      <c r="AH1206" s="50"/>
      <c r="AI1206" s="11"/>
      <c r="AJ1206" s="50"/>
      <c r="AK1206" s="50"/>
      <c r="AL1206" s="50"/>
      <c r="AM1206" s="11"/>
      <c r="AN1206" s="50"/>
      <c r="AO1206" s="50"/>
      <c r="AP1206" s="50"/>
      <c r="AQ1206" s="11"/>
      <c r="AR1206" s="50"/>
      <c r="AS1206" s="50"/>
      <c r="AT1206" s="50"/>
      <c r="AU1206" s="11"/>
      <c r="AV1206" s="50"/>
      <c r="AW1206" s="50"/>
      <c r="AX1206" s="50"/>
      <c r="AY1206" s="50"/>
      <c r="AZ1206" s="50"/>
      <c r="BA1206" s="50"/>
      <c r="BB1206" s="50"/>
      <c r="BC1206" s="50"/>
      <c r="BD1206" s="50"/>
      <c r="BE1206" s="20"/>
      <c r="BF1206" s="518"/>
      <c r="BG1206" s="484"/>
      <c r="BH1206" s="484"/>
      <c r="BI1206" s="527"/>
      <c r="BJ1206" s="484"/>
      <c r="BK1206" s="484"/>
      <c r="BL1206" s="484"/>
      <c r="BM1206" s="484"/>
    </row>
    <row r="1207" spans="1:65" s="22" customFormat="1" x14ac:dyDescent="0.25">
      <c r="A1207" s="20"/>
      <c r="B1207" s="515"/>
      <c r="C1207" s="11"/>
      <c r="D1207" s="11"/>
      <c r="E1207" s="11"/>
      <c r="F1207" s="21"/>
      <c r="G1207" s="11"/>
      <c r="H1207" s="50"/>
      <c r="I1207" s="50"/>
      <c r="J1207" s="50"/>
      <c r="K1207" s="11"/>
      <c r="L1207" s="50"/>
      <c r="M1207" s="50"/>
      <c r="N1207" s="50"/>
      <c r="O1207" s="50"/>
      <c r="P1207" s="50"/>
      <c r="Q1207" s="11"/>
      <c r="R1207" s="50"/>
      <c r="S1207" s="50"/>
      <c r="T1207" s="50"/>
      <c r="U1207" s="11"/>
      <c r="V1207" s="50"/>
      <c r="W1207" s="50"/>
      <c r="X1207" s="50"/>
      <c r="Y1207" s="50"/>
      <c r="Z1207" s="50"/>
      <c r="AA1207" s="11"/>
      <c r="AB1207" s="50"/>
      <c r="AC1207" s="50"/>
      <c r="AD1207" s="50"/>
      <c r="AE1207" s="11"/>
      <c r="AF1207" s="50"/>
      <c r="AG1207" s="50"/>
      <c r="AH1207" s="50"/>
      <c r="AI1207" s="11"/>
      <c r="AJ1207" s="50"/>
      <c r="AK1207" s="50"/>
      <c r="AL1207" s="50"/>
      <c r="AM1207" s="11"/>
      <c r="AN1207" s="50"/>
      <c r="AO1207" s="50"/>
      <c r="AP1207" s="50"/>
      <c r="AQ1207" s="11"/>
      <c r="AR1207" s="50"/>
      <c r="AS1207" s="50"/>
      <c r="AT1207" s="50"/>
      <c r="AU1207" s="11"/>
      <c r="AV1207" s="50"/>
      <c r="AW1207" s="50"/>
      <c r="AX1207" s="50"/>
      <c r="AY1207" s="50"/>
      <c r="AZ1207" s="50"/>
      <c r="BA1207" s="50"/>
      <c r="BB1207" s="50"/>
      <c r="BC1207" s="50"/>
      <c r="BD1207" s="50"/>
      <c r="BE1207" s="20"/>
      <c r="BF1207" s="518"/>
      <c r="BG1207" s="484"/>
      <c r="BH1207" s="484"/>
      <c r="BI1207" s="527"/>
      <c r="BJ1207" s="484"/>
      <c r="BK1207" s="484"/>
      <c r="BL1207" s="484"/>
      <c r="BM1207" s="484"/>
    </row>
    <row r="1208" spans="1:65" s="22" customFormat="1" x14ac:dyDescent="0.25">
      <c r="A1208" s="20"/>
      <c r="B1208" s="515"/>
      <c r="C1208" s="11"/>
      <c r="D1208" s="11"/>
      <c r="E1208" s="11"/>
      <c r="F1208" s="21"/>
      <c r="G1208" s="11"/>
      <c r="H1208" s="50"/>
      <c r="I1208" s="50"/>
      <c r="J1208" s="50"/>
      <c r="K1208" s="11"/>
      <c r="L1208" s="50"/>
      <c r="M1208" s="50"/>
      <c r="N1208" s="50"/>
      <c r="O1208" s="50"/>
      <c r="P1208" s="50"/>
      <c r="Q1208" s="11"/>
      <c r="R1208" s="50"/>
      <c r="S1208" s="50"/>
      <c r="T1208" s="50"/>
      <c r="U1208" s="11"/>
      <c r="V1208" s="50"/>
      <c r="W1208" s="50"/>
      <c r="X1208" s="50"/>
      <c r="Y1208" s="50"/>
      <c r="Z1208" s="50"/>
      <c r="AA1208" s="11"/>
      <c r="AB1208" s="50"/>
      <c r="AC1208" s="50"/>
      <c r="AD1208" s="50"/>
      <c r="AE1208" s="11"/>
      <c r="AF1208" s="50"/>
      <c r="AG1208" s="50"/>
      <c r="AH1208" s="50"/>
      <c r="AI1208" s="11"/>
      <c r="AJ1208" s="50"/>
      <c r="AK1208" s="50"/>
      <c r="AL1208" s="50"/>
      <c r="AM1208" s="11"/>
      <c r="AN1208" s="50"/>
      <c r="AO1208" s="50"/>
      <c r="AP1208" s="50"/>
      <c r="AQ1208" s="11"/>
      <c r="AR1208" s="50"/>
      <c r="AS1208" s="50"/>
      <c r="AT1208" s="50"/>
      <c r="AU1208" s="11"/>
      <c r="AV1208" s="50"/>
      <c r="AW1208" s="50"/>
      <c r="AX1208" s="50"/>
      <c r="AY1208" s="50"/>
      <c r="AZ1208" s="50"/>
      <c r="BA1208" s="50"/>
      <c r="BB1208" s="50"/>
      <c r="BC1208" s="50"/>
      <c r="BD1208" s="50"/>
      <c r="BE1208" s="20"/>
      <c r="BF1208" s="518"/>
      <c r="BG1208" s="484"/>
      <c r="BH1208" s="484"/>
      <c r="BI1208" s="527"/>
      <c r="BJ1208" s="484"/>
      <c r="BK1208" s="484"/>
      <c r="BL1208" s="484"/>
      <c r="BM1208" s="484"/>
    </row>
    <row r="1209" spans="1:65" s="22" customFormat="1" x14ac:dyDescent="0.25">
      <c r="A1209" s="20"/>
      <c r="B1209" s="515"/>
      <c r="C1209" s="11"/>
      <c r="D1209" s="11"/>
      <c r="E1209" s="11"/>
      <c r="F1209" s="21"/>
      <c r="G1209" s="11"/>
      <c r="H1209" s="50"/>
      <c r="I1209" s="50"/>
      <c r="J1209" s="50"/>
      <c r="K1209" s="11"/>
      <c r="L1209" s="50"/>
      <c r="M1209" s="50"/>
      <c r="N1209" s="50"/>
      <c r="O1209" s="50"/>
      <c r="P1209" s="50"/>
      <c r="Q1209" s="11"/>
      <c r="R1209" s="50"/>
      <c r="S1209" s="50"/>
      <c r="T1209" s="50"/>
      <c r="U1209" s="11"/>
      <c r="V1209" s="50"/>
      <c r="W1209" s="50"/>
      <c r="X1209" s="50"/>
      <c r="Y1209" s="50"/>
      <c r="Z1209" s="50"/>
      <c r="AA1209" s="11"/>
      <c r="AB1209" s="50"/>
      <c r="AC1209" s="50"/>
      <c r="AD1209" s="50"/>
      <c r="AE1209" s="11"/>
      <c r="AF1209" s="50"/>
      <c r="AG1209" s="50"/>
      <c r="AH1209" s="50"/>
      <c r="AI1209" s="11"/>
      <c r="AJ1209" s="50"/>
      <c r="AK1209" s="50"/>
      <c r="AL1209" s="50"/>
      <c r="AM1209" s="11"/>
      <c r="AN1209" s="50"/>
      <c r="AO1209" s="50"/>
      <c r="AP1209" s="50"/>
      <c r="AQ1209" s="11"/>
      <c r="AR1209" s="50"/>
      <c r="AS1209" s="50"/>
      <c r="AT1209" s="50"/>
      <c r="AU1209" s="11"/>
      <c r="AV1209" s="50"/>
      <c r="AW1209" s="50"/>
      <c r="AX1209" s="50"/>
      <c r="AY1209" s="50"/>
      <c r="AZ1209" s="50"/>
      <c r="BA1209" s="50"/>
      <c r="BB1209" s="50"/>
      <c r="BC1209" s="50"/>
      <c r="BD1209" s="50"/>
      <c r="BE1209" s="20"/>
      <c r="BF1209" s="518"/>
      <c r="BG1209" s="484"/>
      <c r="BH1209" s="484"/>
      <c r="BI1209" s="527"/>
      <c r="BJ1209" s="484"/>
      <c r="BK1209" s="484"/>
      <c r="BL1209" s="484"/>
      <c r="BM1209" s="484"/>
    </row>
    <row r="1210" spans="1:65" s="22" customFormat="1" x14ac:dyDescent="0.25">
      <c r="A1210" s="20"/>
      <c r="B1210" s="515"/>
      <c r="C1210" s="11"/>
      <c r="D1210" s="11"/>
      <c r="E1210" s="11"/>
      <c r="F1210" s="21"/>
      <c r="G1210" s="11"/>
      <c r="H1210" s="50"/>
      <c r="I1210" s="50"/>
      <c r="J1210" s="50"/>
      <c r="K1210" s="11"/>
      <c r="L1210" s="50"/>
      <c r="M1210" s="50"/>
      <c r="N1210" s="50"/>
      <c r="O1210" s="50"/>
      <c r="P1210" s="50"/>
      <c r="Q1210" s="11"/>
      <c r="R1210" s="50"/>
      <c r="S1210" s="50"/>
      <c r="T1210" s="50"/>
      <c r="U1210" s="11"/>
      <c r="V1210" s="50"/>
      <c r="W1210" s="50"/>
      <c r="X1210" s="50"/>
      <c r="Y1210" s="50"/>
      <c r="Z1210" s="50"/>
      <c r="AA1210" s="11"/>
      <c r="AB1210" s="50"/>
      <c r="AC1210" s="50"/>
      <c r="AD1210" s="50"/>
      <c r="AE1210" s="11"/>
      <c r="AF1210" s="50"/>
      <c r="AG1210" s="50"/>
      <c r="AH1210" s="50"/>
      <c r="AI1210" s="11"/>
      <c r="AJ1210" s="50"/>
      <c r="AK1210" s="50"/>
      <c r="AL1210" s="50"/>
      <c r="AM1210" s="11"/>
      <c r="AN1210" s="50"/>
      <c r="AO1210" s="50"/>
      <c r="AP1210" s="50"/>
      <c r="AQ1210" s="11"/>
      <c r="AR1210" s="50"/>
      <c r="AS1210" s="50"/>
      <c r="AT1210" s="50"/>
      <c r="AU1210" s="11"/>
      <c r="AV1210" s="50"/>
      <c r="AW1210" s="50"/>
      <c r="AX1210" s="50"/>
      <c r="AY1210" s="50"/>
      <c r="AZ1210" s="50"/>
      <c r="BA1210" s="50"/>
      <c r="BB1210" s="50"/>
      <c r="BC1210" s="50"/>
      <c r="BD1210" s="50"/>
      <c r="BE1210" s="20"/>
      <c r="BF1210" s="518"/>
      <c r="BG1210" s="484"/>
      <c r="BH1210" s="484"/>
      <c r="BI1210" s="527"/>
      <c r="BJ1210" s="484"/>
      <c r="BK1210" s="484"/>
      <c r="BL1210" s="484"/>
      <c r="BM1210" s="484"/>
    </row>
    <row r="1211" spans="1:65" s="22" customFormat="1" x14ac:dyDescent="0.25">
      <c r="A1211" s="20"/>
      <c r="B1211" s="515"/>
      <c r="C1211" s="11"/>
      <c r="D1211" s="11"/>
      <c r="E1211" s="11"/>
      <c r="F1211" s="21"/>
      <c r="G1211" s="11"/>
      <c r="H1211" s="50"/>
      <c r="I1211" s="50"/>
      <c r="J1211" s="50"/>
      <c r="K1211" s="11"/>
      <c r="L1211" s="50"/>
      <c r="M1211" s="50"/>
      <c r="N1211" s="50"/>
      <c r="O1211" s="50"/>
      <c r="P1211" s="50"/>
      <c r="Q1211" s="11"/>
      <c r="R1211" s="50"/>
      <c r="S1211" s="50"/>
      <c r="T1211" s="50"/>
      <c r="U1211" s="11"/>
      <c r="V1211" s="50"/>
      <c r="W1211" s="50"/>
      <c r="X1211" s="50"/>
      <c r="Y1211" s="50"/>
      <c r="Z1211" s="50"/>
      <c r="AA1211" s="11"/>
      <c r="AB1211" s="50"/>
      <c r="AC1211" s="50"/>
      <c r="AD1211" s="50"/>
      <c r="AE1211" s="11"/>
      <c r="AF1211" s="50"/>
      <c r="AG1211" s="50"/>
      <c r="AH1211" s="50"/>
      <c r="AI1211" s="11"/>
      <c r="AJ1211" s="50"/>
      <c r="AK1211" s="50"/>
      <c r="AL1211" s="50"/>
      <c r="AM1211" s="11"/>
      <c r="AN1211" s="50"/>
      <c r="AO1211" s="50"/>
      <c r="AP1211" s="50"/>
      <c r="AQ1211" s="11"/>
      <c r="AR1211" s="50"/>
      <c r="AS1211" s="50"/>
      <c r="AT1211" s="50"/>
      <c r="AU1211" s="11"/>
      <c r="AV1211" s="50"/>
      <c r="AW1211" s="50"/>
      <c r="AX1211" s="50"/>
      <c r="AY1211" s="50"/>
      <c r="AZ1211" s="50"/>
      <c r="BA1211" s="50"/>
      <c r="BB1211" s="50"/>
      <c r="BC1211" s="50"/>
      <c r="BD1211" s="50"/>
      <c r="BE1211" s="20"/>
      <c r="BF1211" s="518"/>
      <c r="BG1211" s="484"/>
      <c r="BH1211" s="484"/>
      <c r="BI1211" s="527"/>
      <c r="BJ1211" s="484"/>
      <c r="BK1211" s="484"/>
      <c r="BL1211" s="484"/>
      <c r="BM1211" s="484"/>
    </row>
    <row r="1212" spans="1:65" s="22" customFormat="1" x14ac:dyDescent="0.25">
      <c r="A1212" s="20"/>
      <c r="B1212" s="515"/>
      <c r="C1212" s="11"/>
      <c r="D1212" s="11"/>
      <c r="E1212" s="11"/>
      <c r="F1212" s="21"/>
      <c r="G1212" s="11"/>
      <c r="H1212" s="50"/>
      <c r="I1212" s="50"/>
      <c r="J1212" s="50"/>
      <c r="K1212" s="11"/>
      <c r="L1212" s="50"/>
      <c r="M1212" s="50"/>
      <c r="N1212" s="50"/>
      <c r="O1212" s="50"/>
      <c r="P1212" s="50"/>
      <c r="Q1212" s="11"/>
      <c r="R1212" s="50"/>
      <c r="S1212" s="50"/>
      <c r="T1212" s="50"/>
      <c r="U1212" s="11"/>
      <c r="V1212" s="50"/>
      <c r="W1212" s="50"/>
      <c r="X1212" s="50"/>
      <c r="Y1212" s="50"/>
      <c r="Z1212" s="50"/>
      <c r="AA1212" s="11"/>
      <c r="AB1212" s="50"/>
      <c r="AC1212" s="50"/>
      <c r="AD1212" s="50"/>
      <c r="AE1212" s="11"/>
      <c r="AF1212" s="50"/>
      <c r="AG1212" s="50"/>
      <c r="AH1212" s="50"/>
      <c r="AI1212" s="11"/>
      <c r="AJ1212" s="50"/>
      <c r="AK1212" s="50"/>
      <c r="AL1212" s="50"/>
      <c r="AM1212" s="11"/>
      <c r="AN1212" s="50"/>
      <c r="AO1212" s="50"/>
      <c r="AP1212" s="50"/>
      <c r="AQ1212" s="11"/>
      <c r="AR1212" s="50"/>
      <c r="AS1212" s="50"/>
      <c r="AT1212" s="50"/>
      <c r="AU1212" s="11"/>
      <c r="AV1212" s="50"/>
      <c r="AW1212" s="50"/>
      <c r="AX1212" s="50"/>
      <c r="AY1212" s="50"/>
      <c r="AZ1212" s="50"/>
      <c r="BA1212" s="50"/>
      <c r="BB1212" s="50"/>
      <c r="BC1212" s="50"/>
      <c r="BD1212" s="50"/>
      <c r="BE1212" s="20"/>
      <c r="BF1212" s="518"/>
      <c r="BG1212" s="484"/>
      <c r="BH1212" s="484"/>
      <c r="BI1212" s="527"/>
      <c r="BJ1212" s="484"/>
      <c r="BK1212" s="484"/>
      <c r="BL1212" s="484"/>
      <c r="BM1212" s="484"/>
    </row>
    <row r="1213" spans="1:65" s="22" customFormat="1" x14ac:dyDescent="0.25">
      <c r="A1213" s="20"/>
      <c r="B1213" s="515"/>
      <c r="C1213" s="11"/>
      <c r="D1213" s="11"/>
      <c r="E1213" s="11"/>
      <c r="F1213" s="21"/>
      <c r="G1213" s="11"/>
      <c r="H1213" s="50"/>
      <c r="I1213" s="50"/>
      <c r="J1213" s="50"/>
      <c r="K1213" s="11"/>
      <c r="L1213" s="50"/>
      <c r="M1213" s="50"/>
      <c r="N1213" s="50"/>
      <c r="O1213" s="50"/>
      <c r="P1213" s="50"/>
      <c r="Q1213" s="11"/>
      <c r="R1213" s="50"/>
      <c r="S1213" s="50"/>
      <c r="T1213" s="50"/>
      <c r="U1213" s="11"/>
      <c r="V1213" s="50"/>
      <c r="W1213" s="50"/>
      <c r="X1213" s="50"/>
      <c r="Y1213" s="50"/>
      <c r="Z1213" s="50"/>
      <c r="AA1213" s="11"/>
      <c r="AB1213" s="50"/>
      <c r="AC1213" s="50"/>
      <c r="AD1213" s="50"/>
      <c r="AE1213" s="11"/>
      <c r="AF1213" s="50"/>
      <c r="AG1213" s="50"/>
      <c r="AH1213" s="50"/>
      <c r="AI1213" s="11"/>
      <c r="AJ1213" s="50"/>
      <c r="AK1213" s="50"/>
      <c r="AL1213" s="50"/>
      <c r="AM1213" s="11"/>
      <c r="AN1213" s="50"/>
      <c r="AO1213" s="50"/>
      <c r="AP1213" s="50"/>
      <c r="AQ1213" s="11"/>
      <c r="AR1213" s="50"/>
      <c r="AS1213" s="50"/>
      <c r="AT1213" s="50"/>
      <c r="AU1213" s="11"/>
      <c r="AV1213" s="50"/>
      <c r="AW1213" s="50"/>
      <c r="AX1213" s="50"/>
      <c r="AY1213" s="50"/>
      <c r="AZ1213" s="50"/>
      <c r="BA1213" s="50"/>
      <c r="BB1213" s="50"/>
      <c r="BC1213" s="50"/>
      <c r="BD1213" s="50"/>
      <c r="BE1213" s="20"/>
      <c r="BF1213" s="518"/>
      <c r="BG1213" s="484"/>
      <c r="BH1213" s="484"/>
      <c r="BI1213" s="527"/>
      <c r="BJ1213" s="484"/>
      <c r="BK1213" s="484"/>
      <c r="BL1213" s="484"/>
      <c r="BM1213" s="484"/>
    </row>
    <row r="1214" spans="1:65" s="22" customFormat="1" x14ac:dyDescent="0.25">
      <c r="A1214" s="20"/>
      <c r="B1214" s="515"/>
      <c r="C1214" s="11"/>
      <c r="D1214" s="11"/>
      <c r="E1214" s="11"/>
      <c r="F1214" s="21"/>
      <c r="G1214" s="11"/>
      <c r="H1214" s="50"/>
      <c r="I1214" s="50"/>
      <c r="J1214" s="50"/>
      <c r="K1214" s="11"/>
      <c r="L1214" s="50"/>
      <c r="M1214" s="50"/>
      <c r="N1214" s="50"/>
      <c r="O1214" s="50"/>
      <c r="P1214" s="50"/>
      <c r="Q1214" s="11"/>
      <c r="R1214" s="50"/>
      <c r="S1214" s="50"/>
      <c r="T1214" s="50"/>
      <c r="U1214" s="11"/>
      <c r="V1214" s="50"/>
      <c r="W1214" s="50"/>
      <c r="X1214" s="50"/>
      <c r="Y1214" s="50"/>
      <c r="Z1214" s="50"/>
      <c r="AA1214" s="11"/>
      <c r="AB1214" s="50"/>
      <c r="AC1214" s="50"/>
      <c r="AD1214" s="50"/>
      <c r="AE1214" s="11"/>
      <c r="AF1214" s="50"/>
      <c r="AG1214" s="50"/>
      <c r="AH1214" s="50"/>
      <c r="AI1214" s="11"/>
      <c r="AJ1214" s="50"/>
      <c r="AK1214" s="50"/>
      <c r="AL1214" s="50"/>
      <c r="AM1214" s="11"/>
      <c r="AN1214" s="50"/>
      <c r="AO1214" s="50"/>
      <c r="AP1214" s="50"/>
      <c r="AQ1214" s="11"/>
      <c r="AR1214" s="50"/>
      <c r="AS1214" s="50"/>
      <c r="AT1214" s="50"/>
      <c r="AU1214" s="11"/>
      <c r="AV1214" s="50"/>
      <c r="AW1214" s="50"/>
      <c r="AX1214" s="50"/>
      <c r="AY1214" s="50"/>
      <c r="AZ1214" s="50"/>
      <c r="BA1214" s="50"/>
      <c r="BB1214" s="50"/>
      <c r="BC1214" s="50"/>
      <c r="BD1214" s="50"/>
      <c r="BE1214" s="20"/>
      <c r="BF1214" s="518"/>
      <c r="BG1214" s="484"/>
      <c r="BH1214" s="484"/>
      <c r="BI1214" s="527"/>
      <c r="BJ1214" s="484"/>
      <c r="BK1214" s="484"/>
      <c r="BL1214" s="484"/>
      <c r="BM1214" s="484"/>
    </row>
    <row r="1215" spans="1:65" s="22" customFormat="1" x14ac:dyDescent="0.25">
      <c r="A1215" s="20"/>
      <c r="B1215" s="515"/>
      <c r="C1215" s="11"/>
      <c r="D1215" s="11"/>
      <c r="E1215" s="11"/>
      <c r="F1215" s="21"/>
      <c r="G1215" s="11"/>
      <c r="H1215" s="50"/>
      <c r="I1215" s="50"/>
      <c r="J1215" s="50"/>
      <c r="K1215" s="11"/>
      <c r="L1215" s="50"/>
      <c r="M1215" s="50"/>
      <c r="N1215" s="50"/>
      <c r="O1215" s="50"/>
      <c r="P1215" s="50"/>
      <c r="Q1215" s="11"/>
      <c r="R1215" s="50"/>
      <c r="S1215" s="50"/>
      <c r="T1215" s="50"/>
      <c r="U1215" s="11"/>
      <c r="V1215" s="50"/>
      <c r="W1215" s="50"/>
      <c r="X1215" s="50"/>
      <c r="Y1215" s="50"/>
      <c r="Z1215" s="50"/>
      <c r="AA1215" s="11"/>
      <c r="AB1215" s="50"/>
      <c r="AC1215" s="50"/>
      <c r="AD1215" s="50"/>
      <c r="AE1215" s="11"/>
      <c r="AF1215" s="50"/>
      <c r="AG1215" s="50"/>
      <c r="AH1215" s="50"/>
      <c r="AI1215" s="11"/>
      <c r="AJ1215" s="50"/>
      <c r="AK1215" s="50"/>
      <c r="AL1215" s="50"/>
      <c r="AM1215" s="11"/>
      <c r="AN1215" s="50"/>
      <c r="AO1215" s="50"/>
      <c r="AP1215" s="50"/>
      <c r="AQ1215" s="11"/>
      <c r="AR1215" s="50"/>
      <c r="AS1215" s="50"/>
      <c r="AT1215" s="50"/>
      <c r="AU1215" s="11"/>
      <c r="AV1215" s="50"/>
      <c r="AW1215" s="50"/>
      <c r="AX1215" s="50"/>
      <c r="AY1215" s="50"/>
      <c r="AZ1215" s="50"/>
      <c r="BA1215" s="50"/>
      <c r="BB1215" s="50"/>
      <c r="BC1215" s="50"/>
      <c r="BD1215" s="50"/>
      <c r="BE1215" s="20"/>
      <c r="BF1215" s="518"/>
      <c r="BG1215" s="484"/>
      <c r="BH1215" s="484"/>
      <c r="BI1215" s="527"/>
      <c r="BJ1215" s="484"/>
      <c r="BK1215" s="484"/>
      <c r="BL1215" s="484"/>
      <c r="BM1215" s="484"/>
    </row>
    <row r="1216" spans="1:65" s="22" customFormat="1" x14ac:dyDescent="0.25">
      <c r="A1216" s="20"/>
      <c r="B1216" s="515"/>
      <c r="C1216" s="11"/>
      <c r="D1216" s="11"/>
      <c r="E1216" s="11"/>
      <c r="F1216" s="21"/>
      <c r="G1216" s="11"/>
      <c r="H1216" s="50"/>
      <c r="I1216" s="50"/>
      <c r="J1216" s="50"/>
      <c r="K1216" s="11"/>
      <c r="L1216" s="50"/>
      <c r="M1216" s="50"/>
      <c r="N1216" s="50"/>
      <c r="O1216" s="50"/>
      <c r="P1216" s="50"/>
      <c r="Q1216" s="11"/>
      <c r="R1216" s="50"/>
      <c r="S1216" s="50"/>
      <c r="T1216" s="50"/>
      <c r="U1216" s="11"/>
      <c r="V1216" s="50"/>
      <c r="W1216" s="50"/>
      <c r="X1216" s="50"/>
      <c r="Y1216" s="50"/>
      <c r="Z1216" s="50"/>
      <c r="AA1216" s="11"/>
      <c r="AB1216" s="50"/>
      <c r="AC1216" s="50"/>
      <c r="AD1216" s="50"/>
      <c r="AE1216" s="11"/>
      <c r="AF1216" s="50"/>
      <c r="AG1216" s="50"/>
      <c r="AH1216" s="50"/>
      <c r="AI1216" s="11"/>
      <c r="AJ1216" s="50"/>
      <c r="AK1216" s="50"/>
      <c r="AL1216" s="50"/>
      <c r="AM1216" s="11"/>
      <c r="AN1216" s="50"/>
      <c r="AO1216" s="50"/>
      <c r="AP1216" s="50"/>
      <c r="AQ1216" s="11"/>
      <c r="AR1216" s="50"/>
      <c r="AS1216" s="50"/>
      <c r="AT1216" s="50"/>
      <c r="AU1216" s="11"/>
      <c r="AV1216" s="50"/>
      <c r="AW1216" s="50"/>
      <c r="AX1216" s="50"/>
      <c r="AY1216" s="50"/>
      <c r="AZ1216" s="50"/>
      <c r="BA1216" s="50"/>
      <c r="BB1216" s="50"/>
      <c r="BC1216" s="50"/>
      <c r="BD1216" s="50"/>
      <c r="BE1216" s="20"/>
      <c r="BF1216" s="518"/>
      <c r="BG1216" s="484"/>
      <c r="BH1216" s="484"/>
      <c r="BI1216" s="527"/>
      <c r="BJ1216" s="484"/>
      <c r="BK1216" s="484"/>
      <c r="BL1216" s="484"/>
      <c r="BM1216" s="484"/>
    </row>
    <row r="1217" spans="1:65" s="22" customFormat="1" x14ac:dyDescent="0.25">
      <c r="A1217" s="20"/>
      <c r="B1217" s="515"/>
      <c r="C1217" s="11"/>
      <c r="D1217" s="11"/>
      <c r="E1217" s="11"/>
      <c r="F1217" s="21"/>
      <c r="G1217" s="11"/>
      <c r="H1217" s="50"/>
      <c r="I1217" s="50"/>
      <c r="J1217" s="50"/>
      <c r="K1217" s="11"/>
      <c r="L1217" s="50"/>
      <c r="M1217" s="50"/>
      <c r="N1217" s="50"/>
      <c r="O1217" s="50"/>
      <c r="P1217" s="50"/>
      <c r="Q1217" s="11"/>
      <c r="R1217" s="50"/>
      <c r="S1217" s="50"/>
      <c r="T1217" s="50"/>
      <c r="U1217" s="11"/>
      <c r="V1217" s="50"/>
      <c r="W1217" s="50"/>
      <c r="X1217" s="50"/>
      <c r="Y1217" s="50"/>
      <c r="Z1217" s="50"/>
      <c r="AA1217" s="11"/>
      <c r="AB1217" s="50"/>
      <c r="AC1217" s="50"/>
      <c r="AD1217" s="50"/>
      <c r="AE1217" s="11"/>
      <c r="AF1217" s="50"/>
      <c r="AG1217" s="50"/>
      <c r="AH1217" s="50"/>
      <c r="AI1217" s="11"/>
      <c r="AJ1217" s="50"/>
      <c r="AK1217" s="50"/>
      <c r="AL1217" s="50"/>
      <c r="AM1217" s="11"/>
      <c r="AN1217" s="50"/>
      <c r="AO1217" s="50"/>
      <c r="AP1217" s="50"/>
      <c r="AQ1217" s="11"/>
      <c r="AR1217" s="50"/>
      <c r="AS1217" s="50"/>
      <c r="AT1217" s="50"/>
      <c r="AU1217" s="11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20"/>
      <c r="BF1217" s="518"/>
      <c r="BG1217" s="484"/>
      <c r="BH1217" s="484"/>
      <c r="BI1217" s="527"/>
      <c r="BJ1217" s="484"/>
      <c r="BK1217" s="484"/>
      <c r="BL1217" s="484"/>
      <c r="BM1217" s="484"/>
    </row>
    <row r="1218" spans="1:65" s="22" customFormat="1" x14ac:dyDescent="0.25">
      <c r="A1218" s="20"/>
      <c r="B1218" s="515"/>
      <c r="C1218" s="11"/>
      <c r="D1218" s="11"/>
      <c r="E1218" s="11"/>
      <c r="F1218" s="21"/>
      <c r="G1218" s="11"/>
      <c r="H1218" s="50"/>
      <c r="I1218" s="50"/>
      <c r="J1218" s="50"/>
      <c r="K1218" s="11"/>
      <c r="L1218" s="50"/>
      <c r="M1218" s="50"/>
      <c r="N1218" s="50"/>
      <c r="O1218" s="50"/>
      <c r="P1218" s="50"/>
      <c r="Q1218" s="11"/>
      <c r="R1218" s="50"/>
      <c r="S1218" s="50"/>
      <c r="T1218" s="50"/>
      <c r="U1218" s="11"/>
      <c r="V1218" s="50"/>
      <c r="W1218" s="50"/>
      <c r="X1218" s="50"/>
      <c r="Y1218" s="50"/>
      <c r="Z1218" s="50"/>
      <c r="AA1218" s="11"/>
      <c r="AB1218" s="50"/>
      <c r="AC1218" s="50"/>
      <c r="AD1218" s="50"/>
      <c r="AE1218" s="11"/>
      <c r="AF1218" s="50"/>
      <c r="AG1218" s="50"/>
      <c r="AH1218" s="50"/>
      <c r="AI1218" s="11"/>
      <c r="AJ1218" s="50"/>
      <c r="AK1218" s="50"/>
      <c r="AL1218" s="50"/>
      <c r="AM1218" s="11"/>
      <c r="AN1218" s="50"/>
      <c r="AO1218" s="50"/>
      <c r="AP1218" s="50"/>
      <c r="AQ1218" s="11"/>
      <c r="AR1218" s="50"/>
      <c r="AS1218" s="50"/>
      <c r="AT1218" s="50"/>
      <c r="AU1218" s="11"/>
      <c r="AV1218" s="50"/>
      <c r="AW1218" s="50"/>
      <c r="AX1218" s="50"/>
      <c r="AY1218" s="50"/>
      <c r="AZ1218" s="50"/>
      <c r="BA1218" s="50"/>
      <c r="BB1218" s="50"/>
      <c r="BC1218" s="50"/>
      <c r="BD1218" s="50"/>
      <c r="BE1218" s="20"/>
      <c r="BF1218" s="518"/>
      <c r="BG1218" s="484"/>
      <c r="BH1218" s="484"/>
      <c r="BI1218" s="527"/>
      <c r="BJ1218" s="484"/>
      <c r="BK1218" s="484"/>
      <c r="BL1218" s="484"/>
      <c r="BM1218" s="484"/>
    </row>
    <row r="1219" spans="1:65" s="22" customFormat="1" x14ac:dyDescent="0.25">
      <c r="A1219" s="20"/>
      <c r="B1219" s="515"/>
      <c r="C1219" s="11"/>
      <c r="D1219" s="11"/>
      <c r="E1219" s="11"/>
      <c r="F1219" s="21"/>
      <c r="G1219" s="11"/>
      <c r="H1219" s="50"/>
      <c r="I1219" s="50"/>
      <c r="J1219" s="50"/>
      <c r="K1219" s="11"/>
      <c r="L1219" s="50"/>
      <c r="M1219" s="50"/>
      <c r="N1219" s="50"/>
      <c r="O1219" s="50"/>
      <c r="P1219" s="50"/>
      <c r="Q1219" s="11"/>
      <c r="R1219" s="50"/>
      <c r="S1219" s="50"/>
      <c r="T1219" s="50"/>
      <c r="U1219" s="11"/>
      <c r="V1219" s="50"/>
      <c r="W1219" s="50"/>
      <c r="X1219" s="50"/>
      <c r="Y1219" s="50"/>
      <c r="Z1219" s="50"/>
      <c r="AA1219" s="11"/>
      <c r="AB1219" s="50"/>
      <c r="AC1219" s="50"/>
      <c r="AD1219" s="50"/>
      <c r="AE1219" s="11"/>
      <c r="AF1219" s="50"/>
      <c r="AG1219" s="50"/>
      <c r="AH1219" s="50"/>
      <c r="AI1219" s="11"/>
      <c r="AJ1219" s="50"/>
      <c r="AK1219" s="50"/>
      <c r="AL1219" s="50"/>
      <c r="AM1219" s="11"/>
      <c r="AN1219" s="50"/>
      <c r="AO1219" s="50"/>
      <c r="AP1219" s="50"/>
      <c r="AQ1219" s="11"/>
      <c r="AR1219" s="50"/>
      <c r="AS1219" s="50"/>
      <c r="AT1219" s="50"/>
      <c r="AU1219" s="11"/>
      <c r="AV1219" s="50"/>
      <c r="AW1219" s="50"/>
      <c r="AX1219" s="50"/>
      <c r="AY1219" s="50"/>
      <c r="AZ1219" s="50"/>
      <c r="BA1219" s="50"/>
      <c r="BB1219" s="50"/>
      <c r="BC1219" s="50"/>
      <c r="BD1219" s="50"/>
      <c r="BE1219" s="20"/>
      <c r="BF1219" s="518"/>
      <c r="BG1219" s="484"/>
      <c r="BH1219" s="484"/>
      <c r="BI1219" s="527"/>
      <c r="BJ1219" s="484"/>
      <c r="BK1219" s="484"/>
      <c r="BL1219" s="484"/>
      <c r="BM1219" s="484"/>
    </row>
    <row r="1220" spans="1:65" s="22" customFormat="1" x14ac:dyDescent="0.25">
      <c r="A1220" s="20"/>
      <c r="B1220" s="515"/>
      <c r="C1220" s="11"/>
      <c r="D1220" s="11"/>
      <c r="E1220" s="11"/>
      <c r="F1220" s="21"/>
      <c r="G1220" s="11"/>
      <c r="H1220" s="50"/>
      <c r="I1220" s="50"/>
      <c r="J1220" s="50"/>
      <c r="K1220" s="11"/>
      <c r="L1220" s="50"/>
      <c r="M1220" s="50"/>
      <c r="N1220" s="50"/>
      <c r="O1220" s="50"/>
      <c r="P1220" s="50"/>
      <c r="Q1220" s="11"/>
      <c r="R1220" s="50"/>
      <c r="S1220" s="50"/>
      <c r="T1220" s="50"/>
      <c r="U1220" s="11"/>
      <c r="V1220" s="50"/>
      <c r="W1220" s="50"/>
      <c r="X1220" s="50"/>
      <c r="Y1220" s="50"/>
      <c r="Z1220" s="50"/>
      <c r="AA1220" s="11"/>
      <c r="AB1220" s="50"/>
      <c r="AC1220" s="50"/>
      <c r="AD1220" s="50"/>
      <c r="AE1220" s="11"/>
      <c r="AF1220" s="50"/>
      <c r="AG1220" s="50"/>
      <c r="AH1220" s="50"/>
      <c r="AI1220" s="11"/>
      <c r="AJ1220" s="50"/>
      <c r="AK1220" s="50"/>
      <c r="AL1220" s="50"/>
      <c r="AM1220" s="11"/>
      <c r="AN1220" s="50"/>
      <c r="AO1220" s="50"/>
      <c r="AP1220" s="50"/>
      <c r="AQ1220" s="11"/>
      <c r="AR1220" s="50"/>
      <c r="AS1220" s="50"/>
      <c r="AT1220" s="50"/>
      <c r="AU1220" s="11"/>
      <c r="AV1220" s="50"/>
      <c r="AW1220" s="50"/>
      <c r="AX1220" s="50"/>
      <c r="AY1220" s="50"/>
      <c r="AZ1220" s="50"/>
      <c r="BA1220" s="50"/>
      <c r="BB1220" s="50"/>
      <c r="BC1220" s="50"/>
      <c r="BD1220" s="50"/>
      <c r="BE1220" s="20"/>
      <c r="BF1220" s="518"/>
      <c r="BG1220" s="484"/>
      <c r="BH1220" s="484"/>
      <c r="BI1220" s="527"/>
      <c r="BJ1220" s="484"/>
      <c r="BK1220" s="484"/>
      <c r="BL1220" s="484"/>
      <c r="BM1220" s="484"/>
    </row>
    <row r="1221" spans="1:65" s="22" customFormat="1" x14ac:dyDescent="0.25">
      <c r="A1221" s="20"/>
      <c r="B1221" s="515"/>
      <c r="C1221" s="11"/>
      <c r="D1221" s="11"/>
      <c r="E1221" s="11"/>
      <c r="F1221" s="21"/>
      <c r="G1221" s="11"/>
      <c r="H1221" s="50"/>
      <c r="I1221" s="50"/>
      <c r="J1221" s="50"/>
      <c r="K1221" s="11"/>
      <c r="L1221" s="50"/>
      <c r="M1221" s="50"/>
      <c r="N1221" s="50"/>
      <c r="O1221" s="50"/>
      <c r="P1221" s="50"/>
      <c r="Q1221" s="11"/>
      <c r="R1221" s="50"/>
      <c r="S1221" s="50"/>
      <c r="T1221" s="50"/>
      <c r="U1221" s="11"/>
      <c r="V1221" s="50"/>
      <c r="W1221" s="50"/>
      <c r="X1221" s="50"/>
      <c r="Y1221" s="50"/>
      <c r="Z1221" s="50"/>
      <c r="AA1221" s="11"/>
      <c r="AB1221" s="50"/>
      <c r="AC1221" s="50"/>
      <c r="AD1221" s="50"/>
      <c r="AE1221" s="11"/>
      <c r="AF1221" s="50"/>
      <c r="AG1221" s="50"/>
      <c r="AH1221" s="50"/>
      <c r="AI1221" s="11"/>
      <c r="AJ1221" s="50"/>
      <c r="AK1221" s="50"/>
      <c r="AL1221" s="50"/>
      <c r="AM1221" s="11"/>
      <c r="AN1221" s="50"/>
      <c r="AO1221" s="50"/>
      <c r="AP1221" s="50"/>
      <c r="AQ1221" s="11"/>
      <c r="AR1221" s="50"/>
      <c r="AS1221" s="50"/>
      <c r="AT1221" s="50"/>
      <c r="AU1221" s="11"/>
      <c r="AV1221" s="50"/>
      <c r="AW1221" s="50"/>
      <c r="AX1221" s="50"/>
      <c r="AY1221" s="50"/>
      <c r="AZ1221" s="50"/>
      <c r="BA1221" s="50"/>
      <c r="BB1221" s="50"/>
      <c r="BC1221" s="50"/>
      <c r="BD1221" s="50"/>
      <c r="BE1221" s="20"/>
      <c r="BF1221" s="518"/>
      <c r="BG1221" s="484"/>
      <c r="BH1221" s="484"/>
      <c r="BI1221" s="527"/>
      <c r="BJ1221" s="484"/>
      <c r="BK1221" s="484"/>
      <c r="BL1221" s="484"/>
      <c r="BM1221" s="484"/>
    </row>
    <row r="1222" spans="1:65" s="22" customFormat="1" x14ac:dyDescent="0.25">
      <c r="A1222" s="20"/>
      <c r="B1222" s="515"/>
      <c r="C1222" s="11"/>
      <c r="D1222" s="11"/>
      <c r="E1222" s="11"/>
      <c r="F1222" s="21"/>
      <c r="G1222" s="11"/>
      <c r="H1222" s="50"/>
      <c r="I1222" s="50"/>
      <c r="J1222" s="50"/>
      <c r="K1222" s="11"/>
      <c r="L1222" s="50"/>
      <c r="M1222" s="50"/>
      <c r="N1222" s="50"/>
      <c r="O1222" s="50"/>
      <c r="P1222" s="50"/>
      <c r="Q1222" s="11"/>
      <c r="R1222" s="50"/>
      <c r="S1222" s="50"/>
      <c r="T1222" s="50"/>
      <c r="U1222" s="11"/>
      <c r="V1222" s="50"/>
      <c r="W1222" s="50"/>
      <c r="X1222" s="50"/>
      <c r="Y1222" s="50"/>
      <c r="Z1222" s="50"/>
      <c r="AA1222" s="11"/>
      <c r="AB1222" s="50"/>
      <c r="AC1222" s="50"/>
      <c r="AD1222" s="50"/>
      <c r="AE1222" s="11"/>
      <c r="AF1222" s="50"/>
      <c r="AG1222" s="50"/>
      <c r="AH1222" s="50"/>
      <c r="AI1222" s="11"/>
      <c r="AJ1222" s="50"/>
      <c r="AK1222" s="50"/>
      <c r="AL1222" s="50"/>
      <c r="AM1222" s="11"/>
      <c r="AN1222" s="50"/>
      <c r="AO1222" s="50"/>
      <c r="AP1222" s="50"/>
      <c r="AQ1222" s="11"/>
      <c r="AR1222" s="50"/>
      <c r="AS1222" s="50"/>
      <c r="AT1222" s="50"/>
      <c r="AU1222" s="11"/>
      <c r="AV1222" s="50"/>
      <c r="AW1222" s="50"/>
      <c r="AX1222" s="50"/>
      <c r="AY1222" s="50"/>
      <c r="AZ1222" s="50"/>
      <c r="BA1222" s="50"/>
      <c r="BB1222" s="50"/>
      <c r="BC1222" s="50"/>
      <c r="BD1222" s="50"/>
      <c r="BE1222" s="20"/>
      <c r="BF1222" s="518"/>
      <c r="BG1222" s="484"/>
      <c r="BH1222" s="484"/>
      <c r="BI1222" s="527"/>
      <c r="BJ1222" s="484"/>
      <c r="BK1222" s="484"/>
      <c r="BL1222" s="484"/>
      <c r="BM1222" s="484"/>
    </row>
    <row r="1223" spans="1:65" s="22" customFormat="1" x14ac:dyDescent="0.25">
      <c r="A1223" s="20"/>
      <c r="B1223" s="515"/>
      <c r="C1223" s="11"/>
      <c r="D1223" s="11"/>
      <c r="E1223" s="11"/>
      <c r="F1223" s="21"/>
      <c r="G1223" s="11"/>
      <c r="H1223" s="50"/>
      <c r="I1223" s="50"/>
      <c r="J1223" s="50"/>
      <c r="K1223" s="11"/>
      <c r="L1223" s="50"/>
      <c r="M1223" s="50"/>
      <c r="N1223" s="50"/>
      <c r="O1223" s="50"/>
      <c r="P1223" s="50"/>
      <c r="Q1223" s="11"/>
      <c r="R1223" s="50"/>
      <c r="S1223" s="50"/>
      <c r="T1223" s="50"/>
      <c r="U1223" s="11"/>
      <c r="V1223" s="50"/>
      <c r="W1223" s="50"/>
      <c r="X1223" s="50"/>
      <c r="Y1223" s="50"/>
      <c r="Z1223" s="50"/>
      <c r="AA1223" s="11"/>
      <c r="AB1223" s="50"/>
      <c r="AC1223" s="50"/>
      <c r="AD1223" s="50"/>
      <c r="AE1223" s="11"/>
      <c r="AF1223" s="50"/>
      <c r="AG1223" s="50"/>
      <c r="AH1223" s="50"/>
      <c r="AI1223" s="11"/>
      <c r="AJ1223" s="50"/>
      <c r="AK1223" s="50"/>
      <c r="AL1223" s="50"/>
      <c r="AM1223" s="11"/>
      <c r="AN1223" s="50"/>
      <c r="AO1223" s="50"/>
      <c r="AP1223" s="50"/>
      <c r="AQ1223" s="11"/>
      <c r="AR1223" s="50"/>
      <c r="AS1223" s="50"/>
      <c r="AT1223" s="50"/>
      <c r="AU1223" s="11"/>
      <c r="AV1223" s="50"/>
      <c r="AW1223" s="50"/>
      <c r="AX1223" s="50"/>
      <c r="AY1223" s="50"/>
      <c r="AZ1223" s="50"/>
      <c r="BA1223" s="50"/>
      <c r="BB1223" s="50"/>
      <c r="BC1223" s="50"/>
      <c r="BD1223" s="50"/>
      <c r="BE1223" s="20"/>
      <c r="BF1223" s="518"/>
      <c r="BG1223" s="484"/>
      <c r="BH1223" s="484"/>
      <c r="BI1223" s="527"/>
      <c r="BJ1223" s="484"/>
      <c r="BK1223" s="484"/>
      <c r="BL1223" s="484"/>
      <c r="BM1223" s="484"/>
    </row>
    <row r="1224" spans="1:65" s="22" customFormat="1" x14ac:dyDescent="0.25">
      <c r="A1224" s="20"/>
      <c r="B1224" s="515"/>
      <c r="C1224" s="11"/>
      <c r="D1224" s="11"/>
      <c r="E1224" s="11"/>
      <c r="F1224" s="21"/>
      <c r="G1224" s="11"/>
      <c r="H1224" s="50"/>
      <c r="I1224" s="50"/>
      <c r="J1224" s="50"/>
      <c r="K1224" s="11"/>
      <c r="L1224" s="50"/>
      <c r="M1224" s="50"/>
      <c r="N1224" s="50"/>
      <c r="O1224" s="50"/>
      <c r="P1224" s="50"/>
      <c r="Q1224" s="11"/>
      <c r="R1224" s="50"/>
      <c r="S1224" s="50"/>
      <c r="T1224" s="50"/>
      <c r="U1224" s="11"/>
      <c r="V1224" s="50"/>
      <c r="W1224" s="50"/>
      <c r="X1224" s="50"/>
      <c r="Y1224" s="50"/>
      <c r="Z1224" s="50"/>
      <c r="AA1224" s="11"/>
      <c r="AB1224" s="50"/>
      <c r="AC1224" s="50"/>
      <c r="AD1224" s="50"/>
      <c r="AE1224" s="11"/>
      <c r="AF1224" s="50"/>
      <c r="AG1224" s="50"/>
      <c r="AH1224" s="50"/>
      <c r="AI1224" s="11"/>
      <c r="AJ1224" s="50"/>
      <c r="AK1224" s="50"/>
      <c r="AL1224" s="50"/>
      <c r="AM1224" s="11"/>
      <c r="AN1224" s="50"/>
      <c r="AO1224" s="50"/>
      <c r="AP1224" s="50"/>
      <c r="AQ1224" s="11"/>
      <c r="AR1224" s="50"/>
      <c r="AS1224" s="50"/>
      <c r="AT1224" s="50"/>
      <c r="AU1224" s="11"/>
      <c r="AV1224" s="50"/>
      <c r="AW1224" s="50"/>
      <c r="AX1224" s="50"/>
      <c r="AY1224" s="50"/>
      <c r="AZ1224" s="50"/>
      <c r="BA1224" s="50"/>
      <c r="BB1224" s="50"/>
      <c r="BC1224" s="50"/>
      <c r="BD1224" s="50"/>
      <c r="BE1224" s="20"/>
      <c r="BF1224" s="518"/>
      <c r="BG1224" s="484"/>
      <c r="BH1224" s="484"/>
      <c r="BI1224" s="527"/>
      <c r="BJ1224" s="484"/>
      <c r="BK1224" s="484"/>
      <c r="BL1224" s="484"/>
      <c r="BM1224" s="484"/>
    </row>
    <row r="1225" spans="1:65" s="22" customFormat="1" x14ac:dyDescent="0.25">
      <c r="A1225" s="20"/>
      <c r="B1225" s="515"/>
      <c r="C1225" s="11"/>
      <c r="D1225" s="11"/>
      <c r="E1225" s="11"/>
      <c r="F1225" s="21"/>
      <c r="G1225" s="11"/>
      <c r="H1225" s="50"/>
      <c r="I1225" s="50"/>
      <c r="J1225" s="50"/>
      <c r="K1225" s="11"/>
      <c r="L1225" s="50"/>
      <c r="M1225" s="50"/>
      <c r="N1225" s="50"/>
      <c r="O1225" s="50"/>
      <c r="P1225" s="50"/>
      <c r="Q1225" s="11"/>
      <c r="R1225" s="50"/>
      <c r="S1225" s="50"/>
      <c r="T1225" s="50"/>
      <c r="U1225" s="11"/>
      <c r="V1225" s="50"/>
      <c r="W1225" s="50"/>
      <c r="X1225" s="50"/>
      <c r="Y1225" s="50"/>
      <c r="Z1225" s="50"/>
      <c r="AA1225" s="11"/>
      <c r="AB1225" s="50"/>
      <c r="AC1225" s="50"/>
      <c r="AD1225" s="50"/>
      <c r="AE1225" s="11"/>
      <c r="AF1225" s="50"/>
      <c r="AG1225" s="50"/>
      <c r="AH1225" s="50"/>
      <c r="AI1225" s="11"/>
      <c r="AJ1225" s="50"/>
      <c r="AK1225" s="50"/>
      <c r="AL1225" s="50"/>
      <c r="AM1225" s="11"/>
      <c r="AN1225" s="50"/>
      <c r="AO1225" s="50"/>
      <c r="AP1225" s="50"/>
      <c r="AQ1225" s="11"/>
      <c r="AR1225" s="50"/>
      <c r="AS1225" s="50"/>
      <c r="AT1225" s="50"/>
      <c r="AU1225" s="11"/>
      <c r="AV1225" s="50"/>
      <c r="AW1225" s="50"/>
      <c r="AX1225" s="50"/>
      <c r="AY1225" s="50"/>
      <c r="AZ1225" s="50"/>
      <c r="BA1225" s="50"/>
      <c r="BB1225" s="50"/>
      <c r="BC1225" s="50"/>
      <c r="BD1225" s="50"/>
      <c r="BE1225" s="20"/>
      <c r="BF1225" s="518"/>
      <c r="BG1225" s="484"/>
      <c r="BH1225" s="484"/>
      <c r="BI1225" s="527"/>
      <c r="BJ1225" s="484"/>
      <c r="BK1225" s="484"/>
      <c r="BL1225" s="484"/>
      <c r="BM1225" s="484"/>
    </row>
    <row r="1226" spans="1:65" s="22" customFormat="1" x14ac:dyDescent="0.25">
      <c r="A1226" s="20"/>
      <c r="B1226" s="515"/>
      <c r="C1226" s="11"/>
      <c r="D1226" s="11"/>
      <c r="E1226" s="11"/>
      <c r="F1226" s="21"/>
      <c r="G1226" s="11"/>
      <c r="H1226" s="50"/>
      <c r="I1226" s="50"/>
      <c r="J1226" s="50"/>
      <c r="K1226" s="11"/>
      <c r="L1226" s="50"/>
      <c r="M1226" s="50"/>
      <c r="N1226" s="50"/>
      <c r="O1226" s="50"/>
      <c r="P1226" s="50"/>
      <c r="Q1226" s="11"/>
      <c r="R1226" s="50"/>
      <c r="S1226" s="50"/>
      <c r="T1226" s="50"/>
      <c r="U1226" s="11"/>
      <c r="V1226" s="50"/>
      <c r="W1226" s="50"/>
      <c r="X1226" s="50"/>
      <c r="Y1226" s="50"/>
      <c r="Z1226" s="50"/>
      <c r="AA1226" s="11"/>
      <c r="AB1226" s="50"/>
      <c r="AC1226" s="50"/>
      <c r="AD1226" s="50"/>
      <c r="AE1226" s="11"/>
      <c r="AF1226" s="50"/>
      <c r="AG1226" s="50"/>
      <c r="AH1226" s="50"/>
      <c r="AI1226" s="11"/>
      <c r="AJ1226" s="50"/>
      <c r="AK1226" s="50"/>
      <c r="AL1226" s="50"/>
      <c r="AM1226" s="11"/>
      <c r="AN1226" s="50"/>
      <c r="AO1226" s="50"/>
      <c r="AP1226" s="50"/>
      <c r="AQ1226" s="11"/>
      <c r="AR1226" s="50"/>
      <c r="AS1226" s="50"/>
      <c r="AT1226" s="50"/>
      <c r="AU1226" s="11"/>
      <c r="AV1226" s="50"/>
      <c r="AW1226" s="50"/>
      <c r="AX1226" s="50"/>
      <c r="AY1226" s="50"/>
      <c r="AZ1226" s="50"/>
      <c r="BA1226" s="50"/>
      <c r="BB1226" s="50"/>
      <c r="BC1226" s="50"/>
      <c r="BD1226" s="50"/>
      <c r="BE1226" s="20"/>
      <c r="BF1226" s="518"/>
      <c r="BG1226" s="484"/>
      <c r="BH1226" s="484"/>
      <c r="BI1226" s="527"/>
      <c r="BJ1226" s="484"/>
      <c r="BK1226" s="484"/>
      <c r="BL1226" s="484"/>
      <c r="BM1226" s="484"/>
    </row>
    <row r="1227" spans="1:65" s="22" customFormat="1" x14ac:dyDescent="0.25">
      <c r="A1227" s="20"/>
      <c r="B1227" s="515"/>
      <c r="C1227" s="11"/>
      <c r="D1227" s="11"/>
      <c r="E1227" s="11"/>
      <c r="F1227" s="21"/>
      <c r="G1227" s="11"/>
      <c r="H1227" s="50"/>
      <c r="I1227" s="50"/>
      <c r="J1227" s="50"/>
      <c r="K1227" s="11"/>
      <c r="L1227" s="50"/>
      <c r="M1227" s="50"/>
      <c r="N1227" s="50"/>
      <c r="O1227" s="50"/>
      <c r="P1227" s="50"/>
      <c r="Q1227" s="11"/>
      <c r="R1227" s="50"/>
      <c r="S1227" s="50"/>
      <c r="T1227" s="50"/>
      <c r="U1227" s="11"/>
      <c r="V1227" s="50"/>
      <c r="W1227" s="50"/>
      <c r="X1227" s="50"/>
      <c r="Y1227" s="50"/>
      <c r="Z1227" s="50"/>
      <c r="AA1227" s="11"/>
      <c r="AB1227" s="50"/>
      <c r="AC1227" s="50"/>
      <c r="AD1227" s="50"/>
      <c r="AE1227" s="11"/>
      <c r="AF1227" s="50"/>
      <c r="AG1227" s="50"/>
      <c r="AH1227" s="50"/>
      <c r="AI1227" s="11"/>
      <c r="AJ1227" s="50"/>
      <c r="AK1227" s="50"/>
      <c r="AL1227" s="50"/>
      <c r="AM1227" s="11"/>
      <c r="AN1227" s="50"/>
      <c r="AO1227" s="50"/>
      <c r="AP1227" s="50"/>
      <c r="AQ1227" s="11"/>
      <c r="AR1227" s="50"/>
      <c r="AS1227" s="50"/>
      <c r="AT1227" s="50"/>
      <c r="AU1227" s="11"/>
      <c r="AV1227" s="50"/>
      <c r="AW1227" s="50"/>
      <c r="AX1227" s="50"/>
      <c r="AY1227" s="50"/>
      <c r="AZ1227" s="50"/>
      <c r="BA1227" s="50"/>
      <c r="BB1227" s="50"/>
      <c r="BC1227" s="50"/>
      <c r="BD1227" s="50"/>
      <c r="BE1227" s="20"/>
      <c r="BF1227" s="518"/>
      <c r="BG1227" s="484"/>
      <c r="BH1227" s="484"/>
      <c r="BI1227" s="527"/>
      <c r="BJ1227" s="484"/>
      <c r="BK1227" s="484"/>
      <c r="BL1227" s="484"/>
      <c r="BM1227" s="484"/>
    </row>
    <row r="1228" spans="1:65" s="22" customFormat="1" x14ac:dyDescent="0.25">
      <c r="A1228" s="20"/>
      <c r="B1228" s="515"/>
      <c r="C1228" s="11"/>
      <c r="D1228" s="11"/>
      <c r="E1228" s="11"/>
      <c r="F1228" s="21"/>
      <c r="G1228" s="11"/>
      <c r="H1228" s="50"/>
      <c r="I1228" s="50"/>
      <c r="J1228" s="50"/>
      <c r="K1228" s="11"/>
      <c r="L1228" s="50"/>
      <c r="M1228" s="50"/>
      <c r="N1228" s="50"/>
      <c r="O1228" s="50"/>
      <c r="P1228" s="50"/>
      <c r="Q1228" s="11"/>
      <c r="R1228" s="50"/>
      <c r="S1228" s="50"/>
      <c r="T1228" s="50"/>
      <c r="U1228" s="11"/>
      <c r="V1228" s="50"/>
      <c r="W1228" s="50"/>
      <c r="X1228" s="50"/>
      <c r="Y1228" s="50"/>
      <c r="Z1228" s="50"/>
      <c r="AA1228" s="11"/>
      <c r="AB1228" s="50"/>
      <c r="AC1228" s="50"/>
      <c r="AD1228" s="50"/>
      <c r="AE1228" s="11"/>
      <c r="AF1228" s="50"/>
      <c r="AG1228" s="50"/>
      <c r="AH1228" s="50"/>
      <c r="AI1228" s="11"/>
      <c r="AJ1228" s="50"/>
      <c r="AK1228" s="50"/>
      <c r="AL1228" s="50"/>
      <c r="AM1228" s="11"/>
      <c r="AN1228" s="50"/>
      <c r="AO1228" s="50"/>
      <c r="AP1228" s="50"/>
      <c r="AQ1228" s="11"/>
      <c r="AR1228" s="50"/>
      <c r="AS1228" s="50"/>
      <c r="AT1228" s="50"/>
      <c r="AU1228" s="11"/>
      <c r="AV1228" s="50"/>
      <c r="AW1228" s="50"/>
      <c r="AX1228" s="50"/>
      <c r="AY1228" s="50"/>
      <c r="AZ1228" s="50"/>
      <c r="BA1228" s="50"/>
      <c r="BB1228" s="50"/>
      <c r="BC1228" s="50"/>
      <c r="BD1228" s="50"/>
      <c r="BE1228" s="20"/>
      <c r="BF1228" s="518"/>
      <c r="BG1228" s="484"/>
      <c r="BH1228" s="484"/>
      <c r="BI1228" s="527"/>
      <c r="BJ1228" s="484"/>
      <c r="BK1228" s="484"/>
      <c r="BL1228" s="484"/>
      <c r="BM1228" s="484"/>
    </row>
    <row r="1229" spans="1:65" s="22" customFormat="1" x14ac:dyDescent="0.25">
      <c r="A1229" s="20"/>
      <c r="B1229" s="515"/>
      <c r="C1229" s="11"/>
      <c r="D1229" s="11"/>
      <c r="E1229" s="11"/>
      <c r="F1229" s="21"/>
      <c r="G1229" s="11"/>
      <c r="H1229" s="50"/>
      <c r="I1229" s="50"/>
      <c r="J1229" s="50"/>
      <c r="K1229" s="11"/>
      <c r="L1229" s="50"/>
      <c r="M1229" s="50"/>
      <c r="N1229" s="50"/>
      <c r="O1229" s="50"/>
      <c r="P1229" s="50"/>
      <c r="Q1229" s="11"/>
      <c r="R1229" s="50"/>
      <c r="S1229" s="50"/>
      <c r="T1229" s="50"/>
      <c r="U1229" s="11"/>
      <c r="V1229" s="50"/>
      <c r="W1229" s="50"/>
      <c r="X1229" s="50"/>
      <c r="Y1229" s="50"/>
      <c r="Z1229" s="50"/>
      <c r="AA1229" s="11"/>
      <c r="AB1229" s="50"/>
      <c r="AC1229" s="50"/>
      <c r="AD1229" s="50"/>
      <c r="AE1229" s="11"/>
      <c r="AF1229" s="50"/>
      <c r="AG1229" s="50"/>
      <c r="AH1229" s="50"/>
      <c r="AI1229" s="11"/>
      <c r="AJ1229" s="50"/>
      <c r="AK1229" s="50"/>
      <c r="AL1229" s="50"/>
      <c r="AM1229" s="11"/>
      <c r="AN1229" s="50"/>
      <c r="AO1229" s="50"/>
      <c r="AP1229" s="50"/>
      <c r="AQ1229" s="11"/>
      <c r="AR1229" s="50"/>
      <c r="AS1229" s="50"/>
      <c r="AT1229" s="50"/>
      <c r="AU1229" s="11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20"/>
      <c r="BF1229" s="518"/>
      <c r="BG1229" s="484"/>
      <c r="BH1229" s="484"/>
      <c r="BI1229" s="527"/>
      <c r="BJ1229" s="484"/>
      <c r="BK1229" s="484"/>
      <c r="BL1229" s="484"/>
      <c r="BM1229" s="484"/>
    </row>
    <row r="1230" spans="1:65" s="22" customFormat="1" x14ac:dyDescent="0.25">
      <c r="A1230" s="20"/>
      <c r="B1230" s="515"/>
      <c r="C1230" s="11"/>
      <c r="D1230" s="11"/>
      <c r="E1230" s="11"/>
      <c r="F1230" s="21"/>
      <c r="G1230" s="11"/>
      <c r="H1230" s="50"/>
      <c r="I1230" s="50"/>
      <c r="J1230" s="50"/>
      <c r="K1230" s="11"/>
      <c r="L1230" s="50"/>
      <c r="M1230" s="50"/>
      <c r="N1230" s="50"/>
      <c r="O1230" s="50"/>
      <c r="P1230" s="50"/>
      <c r="Q1230" s="11"/>
      <c r="R1230" s="50"/>
      <c r="S1230" s="50"/>
      <c r="T1230" s="50"/>
      <c r="U1230" s="11"/>
      <c r="V1230" s="50"/>
      <c r="W1230" s="50"/>
      <c r="X1230" s="50"/>
      <c r="Y1230" s="50"/>
      <c r="Z1230" s="50"/>
      <c r="AA1230" s="11"/>
      <c r="AB1230" s="50"/>
      <c r="AC1230" s="50"/>
      <c r="AD1230" s="50"/>
      <c r="AE1230" s="11"/>
      <c r="AF1230" s="50"/>
      <c r="AG1230" s="50"/>
      <c r="AH1230" s="50"/>
      <c r="AI1230" s="11"/>
      <c r="AJ1230" s="50"/>
      <c r="AK1230" s="50"/>
      <c r="AL1230" s="50"/>
      <c r="AM1230" s="11"/>
      <c r="AN1230" s="50"/>
      <c r="AO1230" s="50"/>
      <c r="AP1230" s="50"/>
      <c r="AQ1230" s="11"/>
      <c r="AR1230" s="50"/>
      <c r="AS1230" s="50"/>
      <c r="AT1230" s="50"/>
      <c r="AU1230" s="11"/>
      <c r="AV1230" s="50"/>
      <c r="AW1230" s="50"/>
      <c r="AX1230" s="50"/>
      <c r="AY1230" s="50"/>
      <c r="AZ1230" s="50"/>
      <c r="BA1230" s="50"/>
      <c r="BB1230" s="50"/>
      <c r="BC1230" s="50"/>
      <c r="BD1230" s="50"/>
      <c r="BE1230" s="20"/>
      <c r="BF1230" s="518"/>
      <c r="BG1230" s="484"/>
      <c r="BH1230" s="484"/>
      <c r="BI1230" s="527"/>
      <c r="BJ1230" s="484"/>
      <c r="BK1230" s="484"/>
      <c r="BL1230" s="484"/>
      <c r="BM1230" s="484"/>
    </row>
    <row r="1231" spans="1:65" s="22" customFormat="1" x14ac:dyDescent="0.25">
      <c r="A1231" s="20"/>
      <c r="B1231" s="515"/>
      <c r="C1231" s="11"/>
      <c r="D1231" s="11"/>
      <c r="E1231" s="11"/>
      <c r="F1231" s="21"/>
      <c r="G1231" s="11"/>
      <c r="H1231" s="50"/>
      <c r="I1231" s="50"/>
      <c r="J1231" s="50"/>
      <c r="K1231" s="11"/>
      <c r="L1231" s="50"/>
      <c r="M1231" s="50"/>
      <c r="N1231" s="50"/>
      <c r="O1231" s="50"/>
      <c r="P1231" s="50"/>
      <c r="Q1231" s="11"/>
      <c r="R1231" s="50"/>
      <c r="S1231" s="50"/>
      <c r="T1231" s="50"/>
      <c r="U1231" s="11"/>
      <c r="V1231" s="50"/>
      <c r="W1231" s="50"/>
      <c r="X1231" s="50"/>
      <c r="Y1231" s="50"/>
      <c r="Z1231" s="50"/>
      <c r="AA1231" s="11"/>
      <c r="AB1231" s="50"/>
      <c r="AC1231" s="50"/>
      <c r="AD1231" s="50"/>
      <c r="AE1231" s="11"/>
      <c r="AF1231" s="50"/>
      <c r="AG1231" s="50"/>
      <c r="AH1231" s="50"/>
      <c r="AI1231" s="11"/>
      <c r="AJ1231" s="50"/>
      <c r="AK1231" s="50"/>
      <c r="AL1231" s="50"/>
      <c r="AM1231" s="11"/>
      <c r="AN1231" s="50"/>
      <c r="AO1231" s="50"/>
      <c r="AP1231" s="50"/>
      <c r="AQ1231" s="11"/>
      <c r="AR1231" s="50"/>
      <c r="AS1231" s="50"/>
      <c r="AT1231" s="50"/>
      <c r="AU1231" s="11"/>
      <c r="AV1231" s="50"/>
      <c r="AW1231" s="50"/>
      <c r="AX1231" s="50"/>
      <c r="AY1231" s="50"/>
      <c r="AZ1231" s="50"/>
      <c r="BA1231" s="50"/>
      <c r="BB1231" s="50"/>
      <c r="BC1231" s="50"/>
      <c r="BD1231" s="50"/>
      <c r="BE1231" s="20"/>
      <c r="BF1231" s="518"/>
      <c r="BG1231" s="484"/>
      <c r="BH1231" s="484"/>
      <c r="BI1231" s="527"/>
      <c r="BJ1231" s="484"/>
      <c r="BK1231" s="484"/>
      <c r="BL1231" s="484"/>
      <c r="BM1231" s="484"/>
    </row>
    <row r="1232" spans="1:65" s="22" customFormat="1" x14ac:dyDescent="0.25">
      <c r="A1232" s="20"/>
      <c r="B1232" s="515"/>
      <c r="C1232" s="11"/>
      <c r="D1232" s="11"/>
      <c r="E1232" s="11"/>
      <c r="F1232" s="21"/>
      <c r="G1232" s="11"/>
      <c r="H1232" s="50"/>
      <c r="I1232" s="50"/>
      <c r="J1232" s="50"/>
      <c r="K1232" s="11"/>
      <c r="L1232" s="50"/>
      <c r="M1232" s="50"/>
      <c r="N1232" s="50"/>
      <c r="O1232" s="50"/>
      <c r="P1232" s="50"/>
      <c r="Q1232" s="11"/>
      <c r="R1232" s="50"/>
      <c r="S1232" s="50"/>
      <c r="T1232" s="50"/>
      <c r="U1232" s="11"/>
      <c r="V1232" s="50"/>
      <c r="W1232" s="50"/>
      <c r="X1232" s="50"/>
      <c r="Y1232" s="50"/>
      <c r="Z1232" s="50"/>
      <c r="AA1232" s="11"/>
      <c r="AB1232" s="50"/>
      <c r="AC1232" s="50"/>
      <c r="AD1232" s="50"/>
      <c r="AE1232" s="11"/>
      <c r="AF1232" s="50"/>
      <c r="AG1232" s="50"/>
      <c r="AH1232" s="50"/>
      <c r="AI1232" s="11"/>
      <c r="AJ1232" s="50"/>
      <c r="AK1232" s="50"/>
      <c r="AL1232" s="50"/>
      <c r="AM1232" s="11"/>
      <c r="AN1232" s="50"/>
      <c r="AO1232" s="50"/>
      <c r="AP1232" s="50"/>
      <c r="AQ1232" s="11"/>
      <c r="AR1232" s="50"/>
      <c r="AS1232" s="50"/>
      <c r="AT1232" s="50"/>
      <c r="AU1232" s="11"/>
      <c r="AV1232" s="50"/>
      <c r="AW1232" s="50"/>
      <c r="AX1232" s="50"/>
      <c r="AY1232" s="50"/>
      <c r="AZ1232" s="50"/>
      <c r="BA1232" s="50"/>
      <c r="BB1232" s="50"/>
      <c r="BC1232" s="50"/>
      <c r="BD1232" s="50"/>
      <c r="BE1232" s="20"/>
      <c r="BF1232" s="518"/>
      <c r="BG1232" s="484"/>
      <c r="BH1232" s="484"/>
      <c r="BI1232" s="527"/>
      <c r="BJ1232" s="484"/>
      <c r="BK1232" s="484"/>
      <c r="BL1232" s="484"/>
      <c r="BM1232" s="484"/>
    </row>
    <row r="1233" spans="1:65" s="22" customFormat="1" x14ac:dyDescent="0.25">
      <c r="A1233" s="20"/>
      <c r="B1233" s="515"/>
      <c r="C1233" s="11"/>
      <c r="D1233" s="11"/>
      <c r="E1233" s="11"/>
      <c r="F1233" s="21"/>
      <c r="G1233" s="11"/>
      <c r="H1233" s="50"/>
      <c r="I1233" s="50"/>
      <c r="J1233" s="50"/>
      <c r="K1233" s="11"/>
      <c r="L1233" s="50"/>
      <c r="M1233" s="50"/>
      <c r="N1233" s="50"/>
      <c r="O1233" s="50"/>
      <c r="P1233" s="50"/>
      <c r="Q1233" s="11"/>
      <c r="R1233" s="50"/>
      <c r="S1233" s="50"/>
      <c r="T1233" s="50"/>
      <c r="U1233" s="11"/>
      <c r="V1233" s="50"/>
      <c r="W1233" s="50"/>
      <c r="X1233" s="50"/>
      <c r="Y1233" s="50"/>
      <c r="Z1233" s="50"/>
      <c r="AA1233" s="11"/>
      <c r="AB1233" s="50"/>
      <c r="AC1233" s="50"/>
      <c r="AD1233" s="50"/>
      <c r="AE1233" s="11"/>
      <c r="AF1233" s="50"/>
      <c r="AG1233" s="50"/>
      <c r="AH1233" s="50"/>
      <c r="AI1233" s="11"/>
      <c r="AJ1233" s="50"/>
      <c r="AK1233" s="50"/>
      <c r="AL1233" s="50"/>
      <c r="AM1233" s="11"/>
      <c r="AN1233" s="50"/>
      <c r="AO1233" s="50"/>
      <c r="AP1233" s="50"/>
      <c r="AQ1233" s="11"/>
      <c r="AR1233" s="50"/>
      <c r="AS1233" s="50"/>
      <c r="AT1233" s="50"/>
      <c r="AU1233" s="11"/>
      <c r="AV1233" s="50"/>
      <c r="AW1233" s="50"/>
      <c r="AX1233" s="50"/>
      <c r="AY1233" s="50"/>
      <c r="AZ1233" s="50"/>
      <c r="BA1233" s="50"/>
      <c r="BB1233" s="50"/>
      <c r="BC1233" s="50"/>
      <c r="BD1233" s="50"/>
      <c r="BE1233" s="20"/>
      <c r="BF1233" s="518"/>
      <c r="BG1233" s="484"/>
      <c r="BH1233" s="484"/>
      <c r="BI1233" s="527"/>
      <c r="BJ1233" s="484"/>
      <c r="BK1233" s="484"/>
      <c r="BL1233" s="484"/>
      <c r="BM1233" s="484"/>
    </row>
    <row r="1234" spans="1:65" s="22" customFormat="1" x14ac:dyDescent="0.25">
      <c r="A1234" s="20"/>
      <c r="B1234" s="515"/>
      <c r="C1234" s="11"/>
      <c r="D1234" s="11"/>
      <c r="E1234" s="11"/>
      <c r="F1234" s="21"/>
      <c r="G1234" s="11"/>
      <c r="H1234" s="50"/>
      <c r="I1234" s="50"/>
      <c r="J1234" s="50"/>
      <c r="K1234" s="11"/>
      <c r="L1234" s="50"/>
      <c r="M1234" s="50"/>
      <c r="N1234" s="50"/>
      <c r="O1234" s="50"/>
      <c r="P1234" s="50"/>
      <c r="Q1234" s="11"/>
      <c r="R1234" s="50"/>
      <c r="S1234" s="50"/>
      <c r="T1234" s="50"/>
      <c r="U1234" s="11"/>
      <c r="V1234" s="50"/>
      <c r="W1234" s="50"/>
      <c r="X1234" s="50"/>
      <c r="Y1234" s="50"/>
      <c r="Z1234" s="50"/>
      <c r="AA1234" s="11"/>
      <c r="AB1234" s="50"/>
      <c r="AC1234" s="50"/>
      <c r="AD1234" s="50"/>
      <c r="AE1234" s="11"/>
      <c r="AF1234" s="50"/>
      <c r="AG1234" s="50"/>
      <c r="AH1234" s="50"/>
      <c r="AI1234" s="11"/>
      <c r="AJ1234" s="50"/>
      <c r="AK1234" s="50"/>
      <c r="AL1234" s="50"/>
      <c r="AM1234" s="11"/>
      <c r="AN1234" s="50"/>
      <c r="AO1234" s="50"/>
      <c r="AP1234" s="50"/>
      <c r="AQ1234" s="11"/>
      <c r="AR1234" s="50"/>
      <c r="AS1234" s="50"/>
      <c r="AT1234" s="50"/>
      <c r="AU1234" s="11"/>
      <c r="AV1234" s="50"/>
      <c r="AW1234" s="50"/>
      <c r="AX1234" s="50"/>
      <c r="AY1234" s="50"/>
      <c r="AZ1234" s="50"/>
      <c r="BA1234" s="50"/>
      <c r="BB1234" s="50"/>
      <c r="BC1234" s="50"/>
      <c r="BD1234" s="50"/>
      <c r="BE1234" s="20"/>
      <c r="BF1234" s="518"/>
      <c r="BG1234" s="484"/>
      <c r="BH1234" s="484"/>
      <c r="BI1234" s="527"/>
      <c r="BJ1234" s="484"/>
      <c r="BK1234" s="484"/>
      <c r="BL1234" s="484"/>
      <c r="BM1234" s="484"/>
    </row>
    <row r="1235" spans="1:65" s="22" customFormat="1" x14ac:dyDescent="0.25">
      <c r="A1235" s="20"/>
      <c r="B1235" s="515"/>
      <c r="C1235" s="11"/>
      <c r="D1235" s="11"/>
      <c r="E1235" s="11"/>
      <c r="F1235" s="21"/>
      <c r="G1235" s="11"/>
      <c r="H1235" s="50"/>
      <c r="I1235" s="50"/>
      <c r="J1235" s="50"/>
      <c r="K1235" s="11"/>
      <c r="L1235" s="50"/>
      <c r="M1235" s="50"/>
      <c r="N1235" s="50"/>
      <c r="O1235" s="50"/>
      <c r="P1235" s="50"/>
      <c r="Q1235" s="11"/>
      <c r="R1235" s="50"/>
      <c r="S1235" s="50"/>
      <c r="T1235" s="50"/>
      <c r="U1235" s="11"/>
      <c r="V1235" s="50"/>
      <c r="W1235" s="50"/>
      <c r="X1235" s="50"/>
      <c r="Y1235" s="50"/>
      <c r="Z1235" s="50"/>
      <c r="AA1235" s="11"/>
      <c r="AB1235" s="50"/>
      <c r="AC1235" s="50"/>
      <c r="AD1235" s="50"/>
      <c r="AE1235" s="11"/>
      <c r="AF1235" s="50"/>
      <c r="AG1235" s="50"/>
      <c r="AH1235" s="50"/>
      <c r="AI1235" s="11"/>
      <c r="AJ1235" s="50"/>
      <c r="AK1235" s="50"/>
      <c r="AL1235" s="50"/>
      <c r="AM1235" s="11"/>
      <c r="AN1235" s="50"/>
      <c r="AO1235" s="50"/>
      <c r="AP1235" s="50"/>
      <c r="AQ1235" s="11"/>
      <c r="AR1235" s="50"/>
      <c r="AS1235" s="50"/>
      <c r="AT1235" s="50"/>
      <c r="AU1235" s="11"/>
      <c r="AV1235" s="50"/>
      <c r="AW1235" s="50"/>
      <c r="AX1235" s="50"/>
      <c r="AY1235" s="50"/>
      <c r="AZ1235" s="50"/>
      <c r="BA1235" s="50"/>
      <c r="BB1235" s="50"/>
      <c r="BC1235" s="50"/>
      <c r="BD1235" s="50"/>
      <c r="BE1235" s="20"/>
      <c r="BF1235" s="518"/>
      <c r="BG1235" s="484"/>
      <c r="BH1235" s="484"/>
      <c r="BI1235" s="527"/>
      <c r="BJ1235" s="484"/>
      <c r="BK1235" s="484"/>
      <c r="BL1235" s="484"/>
      <c r="BM1235" s="484"/>
    </row>
    <row r="1236" spans="1:65" s="22" customFormat="1" x14ac:dyDescent="0.25">
      <c r="A1236" s="20"/>
      <c r="B1236" s="515"/>
      <c r="C1236" s="11"/>
      <c r="D1236" s="11"/>
      <c r="E1236" s="11"/>
      <c r="F1236" s="21"/>
      <c r="G1236" s="11"/>
      <c r="H1236" s="50"/>
      <c r="I1236" s="50"/>
      <c r="J1236" s="50"/>
      <c r="K1236" s="11"/>
      <c r="L1236" s="50"/>
      <c r="M1236" s="50"/>
      <c r="N1236" s="50"/>
      <c r="O1236" s="50"/>
      <c r="P1236" s="50"/>
      <c r="Q1236" s="11"/>
      <c r="R1236" s="50"/>
      <c r="S1236" s="50"/>
      <c r="T1236" s="50"/>
      <c r="U1236" s="11"/>
      <c r="V1236" s="50"/>
      <c r="W1236" s="50"/>
      <c r="X1236" s="50"/>
      <c r="Y1236" s="50"/>
      <c r="Z1236" s="50"/>
      <c r="AA1236" s="11"/>
      <c r="AB1236" s="50"/>
      <c r="AC1236" s="50"/>
      <c r="AD1236" s="50"/>
      <c r="AE1236" s="11"/>
      <c r="AF1236" s="50"/>
      <c r="AG1236" s="50"/>
      <c r="AH1236" s="50"/>
      <c r="AI1236" s="11"/>
      <c r="AJ1236" s="50"/>
      <c r="AK1236" s="50"/>
      <c r="AL1236" s="50"/>
      <c r="AM1236" s="11"/>
      <c r="AN1236" s="50"/>
      <c r="AO1236" s="50"/>
      <c r="AP1236" s="50"/>
      <c r="AQ1236" s="11"/>
      <c r="AR1236" s="50"/>
      <c r="AS1236" s="50"/>
      <c r="AT1236" s="50"/>
      <c r="AU1236" s="11"/>
      <c r="AV1236" s="50"/>
      <c r="AW1236" s="50"/>
      <c r="AX1236" s="50"/>
      <c r="AY1236" s="50"/>
      <c r="AZ1236" s="50"/>
      <c r="BA1236" s="50"/>
      <c r="BB1236" s="50"/>
      <c r="BC1236" s="50"/>
      <c r="BD1236" s="50"/>
      <c r="BE1236" s="20"/>
      <c r="BF1236" s="518"/>
      <c r="BG1236" s="484"/>
      <c r="BH1236" s="484"/>
      <c r="BI1236" s="527"/>
      <c r="BJ1236" s="484"/>
      <c r="BK1236" s="484"/>
      <c r="BL1236" s="484"/>
      <c r="BM1236" s="484"/>
    </row>
    <row r="1237" spans="1:65" s="22" customFormat="1" x14ac:dyDescent="0.25">
      <c r="A1237" s="20"/>
      <c r="B1237" s="515"/>
      <c r="C1237" s="11"/>
      <c r="D1237" s="11"/>
      <c r="E1237" s="11"/>
      <c r="F1237" s="21"/>
      <c r="G1237" s="11"/>
      <c r="H1237" s="50"/>
      <c r="I1237" s="50"/>
      <c r="J1237" s="50"/>
      <c r="K1237" s="11"/>
      <c r="L1237" s="50"/>
      <c r="M1237" s="50"/>
      <c r="N1237" s="50"/>
      <c r="O1237" s="50"/>
      <c r="P1237" s="50"/>
      <c r="Q1237" s="11"/>
      <c r="R1237" s="50"/>
      <c r="S1237" s="50"/>
      <c r="T1237" s="50"/>
      <c r="U1237" s="11"/>
      <c r="V1237" s="50"/>
      <c r="W1237" s="50"/>
      <c r="X1237" s="50"/>
      <c r="Y1237" s="50"/>
      <c r="Z1237" s="50"/>
      <c r="AA1237" s="11"/>
      <c r="AB1237" s="50"/>
      <c r="AC1237" s="50"/>
      <c r="AD1237" s="50"/>
      <c r="AE1237" s="11"/>
      <c r="AF1237" s="50"/>
      <c r="AG1237" s="50"/>
      <c r="AH1237" s="50"/>
      <c r="AI1237" s="11"/>
      <c r="AJ1237" s="50"/>
      <c r="AK1237" s="50"/>
      <c r="AL1237" s="50"/>
      <c r="AM1237" s="11"/>
      <c r="AN1237" s="50"/>
      <c r="AO1237" s="50"/>
      <c r="AP1237" s="50"/>
      <c r="AQ1237" s="11"/>
      <c r="AR1237" s="50"/>
      <c r="AS1237" s="50"/>
      <c r="AT1237" s="50"/>
      <c r="AU1237" s="11"/>
      <c r="AV1237" s="50"/>
      <c r="AW1237" s="50"/>
      <c r="AX1237" s="50"/>
      <c r="AY1237" s="50"/>
      <c r="AZ1237" s="50"/>
      <c r="BA1237" s="50"/>
      <c r="BB1237" s="50"/>
      <c r="BC1237" s="50"/>
      <c r="BD1237" s="50"/>
      <c r="BE1237" s="20"/>
      <c r="BF1237" s="518"/>
      <c r="BG1237" s="484"/>
      <c r="BH1237" s="484"/>
      <c r="BI1237" s="527"/>
      <c r="BJ1237" s="484"/>
      <c r="BK1237" s="484"/>
      <c r="BL1237" s="484"/>
      <c r="BM1237" s="484"/>
    </row>
    <row r="1238" spans="1:65" s="22" customFormat="1" x14ac:dyDescent="0.25">
      <c r="A1238" s="20"/>
      <c r="B1238" s="515"/>
      <c r="C1238" s="11"/>
      <c r="D1238" s="11"/>
      <c r="E1238" s="11"/>
      <c r="F1238" s="21"/>
      <c r="G1238" s="11"/>
      <c r="H1238" s="50"/>
      <c r="I1238" s="50"/>
      <c r="J1238" s="50"/>
      <c r="K1238" s="11"/>
      <c r="L1238" s="50"/>
      <c r="M1238" s="50"/>
      <c r="N1238" s="50"/>
      <c r="O1238" s="50"/>
      <c r="P1238" s="50"/>
      <c r="Q1238" s="11"/>
      <c r="R1238" s="50"/>
      <c r="S1238" s="50"/>
      <c r="T1238" s="50"/>
      <c r="U1238" s="11"/>
      <c r="V1238" s="50"/>
      <c r="W1238" s="50"/>
      <c r="X1238" s="50"/>
      <c r="Y1238" s="50"/>
      <c r="Z1238" s="50"/>
      <c r="AA1238" s="11"/>
      <c r="AB1238" s="50"/>
      <c r="AC1238" s="50"/>
      <c r="AD1238" s="50"/>
      <c r="AE1238" s="11"/>
      <c r="AF1238" s="50"/>
      <c r="AG1238" s="50"/>
      <c r="AH1238" s="50"/>
      <c r="AI1238" s="11"/>
      <c r="AJ1238" s="50"/>
      <c r="AK1238" s="50"/>
      <c r="AL1238" s="50"/>
      <c r="AM1238" s="11"/>
      <c r="AN1238" s="50"/>
      <c r="AO1238" s="50"/>
      <c r="AP1238" s="50"/>
      <c r="AQ1238" s="11"/>
      <c r="AR1238" s="50"/>
      <c r="AS1238" s="50"/>
      <c r="AT1238" s="50"/>
      <c r="AU1238" s="11"/>
      <c r="AV1238" s="50"/>
      <c r="AW1238" s="50"/>
      <c r="AX1238" s="50"/>
      <c r="AY1238" s="50"/>
      <c r="AZ1238" s="50"/>
      <c r="BA1238" s="50"/>
      <c r="BB1238" s="50"/>
      <c r="BC1238" s="50"/>
      <c r="BD1238" s="50"/>
      <c r="BE1238" s="20"/>
      <c r="BF1238" s="518"/>
      <c r="BG1238" s="484"/>
      <c r="BH1238" s="484"/>
      <c r="BI1238" s="527"/>
      <c r="BJ1238" s="484"/>
      <c r="BK1238" s="484"/>
      <c r="BL1238" s="484"/>
      <c r="BM1238" s="484"/>
    </row>
    <row r="1239" spans="1:65" s="22" customFormat="1" x14ac:dyDescent="0.25">
      <c r="A1239" s="20"/>
      <c r="B1239" s="515"/>
      <c r="C1239" s="11"/>
      <c r="D1239" s="11"/>
      <c r="E1239" s="11"/>
      <c r="F1239" s="21"/>
      <c r="G1239" s="11"/>
      <c r="H1239" s="50"/>
      <c r="I1239" s="50"/>
      <c r="J1239" s="50"/>
      <c r="K1239" s="11"/>
      <c r="L1239" s="50"/>
      <c r="M1239" s="50"/>
      <c r="N1239" s="50"/>
      <c r="O1239" s="50"/>
      <c r="P1239" s="50"/>
      <c r="Q1239" s="11"/>
      <c r="R1239" s="50"/>
      <c r="S1239" s="50"/>
      <c r="T1239" s="50"/>
      <c r="U1239" s="11"/>
      <c r="V1239" s="50"/>
      <c r="W1239" s="50"/>
      <c r="X1239" s="50"/>
      <c r="Y1239" s="50"/>
      <c r="Z1239" s="50"/>
      <c r="AA1239" s="11"/>
      <c r="AB1239" s="50"/>
      <c r="AC1239" s="50"/>
      <c r="AD1239" s="50"/>
      <c r="AE1239" s="11"/>
      <c r="AF1239" s="50"/>
      <c r="AG1239" s="50"/>
      <c r="AH1239" s="50"/>
      <c r="AI1239" s="11"/>
      <c r="AJ1239" s="50"/>
      <c r="AK1239" s="50"/>
      <c r="AL1239" s="50"/>
      <c r="AM1239" s="11"/>
      <c r="AN1239" s="50"/>
      <c r="AO1239" s="50"/>
      <c r="AP1239" s="50"/>
      <c r="AQ1239" s="11"/>
      <c r="AR1239" s="50"/>
      <c r="AS1239" s="50"/>
      <c r="AT1239" s="50"/>
      <c r="AU1239" s="11"/>
      <c r="AV1239" s="50"/>
      <c r="AW1239" s="50"/>
      <c r="AX1239" s="50"/>
      <c r="AY1239" s="50"/>
      <c r="AZ1239" s="50"/>
      <c r="BA1239" s="50"/>
      <c r="BB1239" s="50"/>
      <c r="BC1239" s="50"/>
      <c r="BD1239" s="50"/>
      <c r="BE1239" s="20"/>
      <c r="BF1239" s="518"/>
      <c r="BG1239" s="484"/>
      <c r="BH1239" s="484"/>
      <c r="BI1239" s="527"/>
      <c r="BJ1239" s="484"/>
      <c r="BK1239" s="484"/>
      <c r="BL1239" s="484"/>
      <c r="BM1239" s="484"/>
    </row>
    <row r="1240" spans="1:65" s="22" customFormat="1" x14ac:dyDescent="0.25">
      <c r="A1240" s="20"/>
      <c r="B1240" s="515"/>
      <c r="C1240" s="11"/>
      <c r="D1240" s="11"/>
      <c r="E1240" s="11"/>
      <c r="F1240" s="21"/>
      <c r="G1240" s="11"/>
      <c r="H1240" s="50"/>
      <c r="I1240" s="50"/>
      <c r="J1240" s="50"/>
      <c r="K1240" s="11"/>
      <c r="L1240" s="50"/>
      <c r="M1240" s="50"/>
      <c r="N1240" s="50"/>
      <c r="O1240" s="50"/>
      <c r="P1240" s="50"/>
      <c r="Q1240" s="11"/>
      <c r="R1240" s="50"/>
      <c r="S1240" s="50"/>
      <c r="T1240" s="50"/>
      <c r="U1240" s="11"/>
      <c r="V1240" s="50"/>
      <c r="W1240" s="50"/>
      <c r="X1240" s="50"/>
      <c r="Y1240" s="50"/>
      <c r="Z1240" s="50"/>
      <c r="AA1240" s="11"/>
      <c r="AB1240" s="50"/>
      <c r="AC1240" s="50"/>
      <c r="AD1240" s="50"/>
      <c r="AE1240" s="11"/>
      <c r="AF1240" s="50"/>
      <c r="AG1240" s="50"/>
      <c r="AH1240" s="50"/>
      <c r="AI1240" s="11"/>
      <c r="AJ1240" s="50"/>
      <c r="AK1240" s="50"/>
      <c r="AL1240" s="50"/>
      <c r="AM1240" s="11"/>
      <c r="AN1240" s="50"/>
      <c r="AO1240" s="50"/>
      <c r="AP1240" s="50"/>
      <c r="AQ1240" s="11"/>
      <c r="AR1240" s="50"/>
      <c r="AS1240" s="50"/>
      <c r="AT1240" s="50"/>
      <c r="AU1240" s="11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20"/>
      <c r="BF1240" s="518"/>
      <c r="BG1240" s="484"/>
      <c r="BH1240" s="484"/>
      <c r="BI1240" s="527"/>
      <c r="BJ1240" s="484"/>
      <c r="BK1240" s="484"/>
      <c r="BL1240" s="484"/>
      <c r="BM1240" s="484"/>
    </row>
    <row r="1241" spans="1:65" s="22" customFormat="1" x14ac:dyDescent="0.25">
      <c r="A1241" s="20"/>
      <c r="B1241" s="515"/>
      <c r="C1241" s="11"/>
      <c r="D1241" s="11"/>
      <c r="E1241" s="11"/>
      <c r="F1241" s="21"/>
      <c r="G1241" s="11"/>
      <c r="H1241" s="50"/>
      <c r="I1241" s="50"/>
      <c r="J1241" s="50"/>
      <c r="K1241" s="11"/>
      <c r="L1241" s="50"/>
      <c r="M1241" s="50"/>
      <c r="N1241" s="50"/>
      <c r="O1241" s="50"/>
      <c r="P1241" s="50"/>
      <c r="Q1241" s="11"/>
      <c r="R1241" s="50"/>
      <c r="S1241" s="50"/>
      <c r="T1241" s="50"/>
      <c r="U1241" s="11"/>
      <c r="V1241" s="50"/>
      <c r="W1241" s="50"/>
      <c r="X1241" s="50"/>
      <c r="Y1241" s="50"/>
      <c r="Z1241" s="50"/>
      <c r="AA1241" s="11"/>
      <c r="AB1241" s="50"/>
      <c r="AC1241" s="50"/>
      <c r="AD1241" s="50"/>
      <c r="AE1241" s="11"/>
      <c r="AF1241" s="50"/>
      <c r="AG1241" s="50"/>
      <c r="AH1241" s="50"/>
      <c r="AI1241" s="11"/>
      <c r="AJ1241" s="50"/>
      <c r="AK1241" s="50"/>
      <c r="AL1241" s="50"/>
      <c r="AM1241" s="11"/>
      <c r="AN1241" s="50"/>
      <c r="AO1241" s="50"/>
      <c r="AP1241" s="50"/>
      <c r="AQ1241" s="11"/>
      <c r="AR1241" s="50"/>
      <c r="AS1241" s="50"/>
      <c r="AT1241" s="50"/>
      <c r="AU1241" s="11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20"/>
      <c r="BF1241" s="518"/>
      <c r="BG1241" s="484"/>
      <c r="BH1241" s="484"/>
      <c r="BI1241" s="527"/>
      <c r="BJ1241" s="484"/>
      <c r="BK1241" s="484"/>
      <c r="BL1241" s="484"/>
      <c r="BM1241" s="484"/>
    </row>
    <row r="1242" spans="1:65" s="22" customFormat="1" x14ac:dyDescent="0.25">
      <c r="A1242" s="20"/>
      <c r="B1242" s="515"/>
      <c r="C1242" s="11"/>
      <c r="D1242" s="11"/>
      <c r="E1242" s="11"/>
      <c r="F1242" s="21"/>
      <c r="G1242" s="11"/>
      <c r="H1242" s="50"/>
      <c r="I1242" s="50"/>
      <c r="J1242" s="50"/>
      <c r="K1242" s="11"/>
      <c r="L1242" s="50"/>
      <c r="M1242" s="50"/>
      <c r="N1242" s="50"/>
      <c r="O1242" s="50"/>
      <c r="P1242" s="50"/>
      <c r="Q1242" s="11"/>
      <c r="R1242" s="50"/>
      <c r="S1242" s="50"/>
      <c r="T1242" s="50"/>
      <c r="U1242" s="11"/>
      <c r="V1242" s="50"/>
      <c r="W1242" s="50"/>
      <c r="X1242" s="50"/>
      <c r="Y1242" s="50"/>
      <c r="Z1242" s="50"/>
      <c r="AA1242" s="11"/>
      <c r="AB1242" s="50"/>
      <c r="AC1242" s="50"/>
      <c r="AD1242" s="50"/>
      <c r="AE1242" s="11"/>
      <c r="AF1242" s="50"/>
      <c r="AG1242" s="50"/>
      <c r="AH1242" s="50"/>
      <c r="AI1242" s="11"/>
      <c r="AJ1242" s="50"/>
      <c r="AK1242" s="50"/>
      <c r="AL1242" s="50"/>
      <c r="AM1242" s="11"/>
      <c r="AN1242" s="50"/>
      <c r="AO1242" s="50"/>
      <c r="AP1242" s="50"/>
      <c r="AQ1242" s="11"/>
      <c r="AR1242" s="50"/>
      <c r="AS1242" s="50"/>
      <c r="AT1242" s="50"/>
      <c r="AU1242" s="11"/>
      <c r="AV1242" s="50"/>
      <c r="AW1242" s="50"/>
      <c r="AX1242" s="50"/>
      <c r="AY1242" s="50"/>
      <c r="AZ1242" s="50"/>
      <c r="BA1242" s="50"/>
      <c r="BB1242" s="50"/>
      <c r="BC1242" s="50"/>
      <c r="BD1242" s="50"/>
      <c r="BE1242" s="20"/>
      <c r="BF1242" s="518"/>
      <c r="BG1242" s="484"/>
      <c r="BH1242" s="484"/>
      <c r="BI1242" s="527"/>
      <c r="BJ1242" s="484"/>
      <c r="BK1242" s="484"/>
      <c r="BL1242" s="484"/>
      <c r="BM1242" s="484"/>
    </row>
    <row r="1243" spans="1:65" s="22" customFormat="1" x14ac:dyDescent="0.25">
      <c r="A1243" s="20"/>
      <c r="B1243" s="515"/>
      <c r="C1243" s="11"/>
      <c r="D1243" s="11"/>
      <c r="E1243" s="11"/>
      <c r="F1243" s="21"/>
      <c r="G1243" s="11"/>
      <c r="H1243" s="50"/>
      <c r="I1243" s="50"/>
      <c r="J1243" s="50"/>
      <c r="K1243" s="11"/>
      <c r="L1243" s="50"/>
      <c r="M1243" s="50"/>
      <c r="N1243" s="50"/>
      <c r="O1243" s="50"/>
      <c r="P1243" s="50"/>
      <c r="Q1243" s="11"/>
      <c r="R1243" s="50"/>
      <c r="S1243" s="50"/>
      <c r="T1243" s="50"/>
      <c r="U1243" s="11"/>
      <c r="V1243" s="50"/>
      <c r="W1243" s="50"/>
      <c r="X1243" s="50"/>
      <c r="Y1243" s="50"/>
      <c r="Z1243" s="50"/>
      <c r="AA1243" s="11"/>
      <c r="AB1243" s="50"/>
      <c r="AC1243" s="50"/>
      <c r="AD1243" s="50"/>
      <c r="AE1243" s="11"/>
      <c r="AF1243" s="50"/>
      <c r="AG1243" s="50"/>
      <c r="AH1243" s="50"/>
      <c r="AI1243" s="11"/>
      <c r="AJ1243" s="50"/>
      <c r="AK1243" s="50"/>
      <c r="AL1243" s="50"/>
      <c r="AM1243" s="11"/>
      <c r="AN1243" s="50"/>
      <c r="AO1243" s="50"/>
      <c r="AP1243" s="50"/>
      <c r="AQ1243" s="11"/>
      <c r="AR1243" s="50"/>
      <c r="AS1243" s="50"/>
      <c r="AT1243" s="50"/>
      <c r="AU1243" s="11"/>
      <c r="AV1243" s="50"/>
      <c r="AW1243" s="50"/>
      <c r="AX1243" s="50"/>
      <c r="AY1243" s="50"/>
      <c r="AZ1243" s="50"/>
      <c r="BA1243" s="50"/>
      <c r="BB1243" s="50"/>
      <c r="BC1243" s="50"/>
      <c r="BD1243" s="50"/>
      <c r="BE1243" s="20"/>
      <c r="BF1243" s="518"/>
      <c r="BG1243" s="484"/>
      <c r="BH1243" s="484"/>
      <c r="BI1243" s="527"/>
      <c r="BJ1243" s="484"/>
      <c r="BK1243" s="484"/>
      <c r="BL1243" s="484"/>
      <c r="BM1243" s="484"/>
    </row>
    <row r="1244" spans="1:65" s="22" customFormat="1" x14ac:dyDescent="0.25">
      <c r="A1244" s="20"/>
      <c r="B1244" s="515"/>
      <c r="C1244" s="11"/>
      <c r="D1244" s="11"/>
      <c r="E1244" s="11"/>
      <c r="F1244" s="21"/>
      <c r="G1244" s="11"/>
      <c r="H1244" s="50"/>
      <c r="I1244" s="50"/>
      <c r="J1244" s="50"/>
      <c r="K1244" s="11"/>
      <c r="L1244" s="50"/>
      <c r="M1244" s="50"/>
      <c r="N1244" s="50"/>
      <c r="O1244" s="50"/>
      <c r="P1244" s="50"/>
      <c r="Q1244" s="11"/>
      <c r="R1244" s="50"/>
      <c r="S1244" s="50"/>
      <c r="T1244" s="50"/>
      <c r="U1244" s="11"/>
      <c r="V1244" s="50"/>
      <c r="W1244" s="50"/>
      <c r="X1244" s="50"/>
      <c r="Y1244" s="50"/>
      <c r="Z1244" s="50"/>
      <c r="AA1244" s="11"/>
      <c r="AB1244" s="50"/>
      <c r="AC1244" s="50"/>
      <c r="AD1244" s="50"/>
      <c r="AE1244" s="11"/>
      <c r="AF1244" s="50"/>
      <c r="AG1244" s="50"/>
      <c r="AH1244" s="50"/>
      <c r="AI1244" s="11"/>
      <c r="AJ1244" s="50"/>
      <c r="AK1244" s="50"/>
      <c r="AL1244" s="50"/>
      <c r="AM1244" s="11"/>
      <c r="AN1244" s="50"/>
      <c r="AO1244" s="50"/>
      <c r="AP1244" s="50"/>
      <c r="AQ1244" s="11"/>
      <c r="AR1244" s="50"/>
      <c r="AS1244" s="50"/>
      <c r="AT1244" s="50"/>
      <c r="AU1244" s="11"/>
      <c r="AV1244" s="50"/>
      <c r="AW1244" s="50"/>
      <c r="AX1244" s="50"/>
      <c r="AY1244" s="50"/>
      <c r="AZ1244" s="50"/>
      <c r="BA1244" s="50"/>
      <c r="BB1244" s="50"/>
      <c r="BC1244" s="50"/>
      <c r="BD1244" s="50"/>
      <c r="BE1244" s="20"/>
      <c r="BF1244" s="518"/>
      <c r="BG1244" s="484"/>
      <c r="BH1244" s="484"/>
      <c r="BI1244" s="527"/>
      <c r="BJ1244" s="484"/>
      <c r="BK1244" s="484"/>
      <c r="BL1244" s="484"/>
      <c r="BM1244" s="484"/>
    </row>
    <row r="1245" spans="1:65" s="22" customFormat="1" x14ac:dyDescent="0.25">
      <c r="A1245" s="20"/>
      <c r="B1245" s="515"/>
      <c r="C1245" s="11"/>
      <c r="D1245" s="11"/>
      <c r="E1245" s="11"/>
      <c r="F1245" s="21"/>
      <c r="G1245" s="11"/>
      <c r="H1245" s="50"/>
      <c r="I1245" s="50"/>
      <c r="J1245" s="50"/>
      <c r="K1245" s="11"/>
      <c r="L1245" s="50"/>
      <c r="M1245" s="50"/>
      <c r="N1245" s="50"/>
      <c r="O1245" s="50"/>
      <c r="P1245" s="50"/>
      <c r="Q1245" s="11"/>
      <c r="R1245" s="50"/>
      <c r="S1245" s="50"/>
      <c r="T1245" s="50"/>
      <c r="U1245" s="11"/>
      <c r="V1245" s="50"/>
      <c r="W1245" s="50"/>
      <c r="X1245" s="50"/>
      <c r="Y1245" s="50"/>
      <c r="Z1245" s="50"/>
      <c r="AA1245" s="11"/>
      <c r="AB1245" s="50"/>
      <c r="AC1245" s="50"/>
      <c r="AD1245" s="50"/>
      <c r="AE1245" s="11"/>
      <c r="AF1245" s="50"/>
      <c r="AG1245" s="50"/>
      <c r="AH1245" s="50"/>
      <c r="AI1245" s="11"/>
      <c r="AJ1245" s="50"/>
      <c r="AK1245" s="50"/>
      <c r="AL1245" s="50"/>
      <c r="AM1245" s="11"/>
      <c r="AN1245" s="50"/>
      <c r="AO1245" s="50"/>
      <c r="AP1245" s="50"/>
      <c r="AQ1245" s="11"/>
      <c r="AR1245" s="50"/>
      <c r="AS1245" s="50"/>
      <c r="AT1245" s="50"/>
      <c r="AU1245" s="11"/>
      <c r="AV1245" s="50"/>
      <c r="AW1245" s="50"/>
      <c r="AX1245" s="50"/>
      <c r="AY1245" s="50"/>
      <c r="AZ1245" s="50"/>
      <c r="BA1245" s="50"/>
      <c r="BB1245" s="50"/>
      <c r="BC1245" s="50"/>
      <c r="BD1245" s="50"/>
      <c r="BE1245" s="20"/>
      <c r="BF1245" s="518"/>
      <c r="BG1245" s="484"/>
      <c r="BH1245" s="484"/>
      <c r="BI1245" s="527"/>
      <c r="BJ1245" s="484"/>
      <c r="BK1245" s="484"/>
      <c r="BL1245" s="484"/>
      <c r="BM1245" s="484"/>
    </row>
    <row r="1246" spans="1:65" s="22" customFormat="1" x14ac:dyDescent="0.25">
      <c r="A1246" s="20"/>
      <c r="B1246" s="515"/>
      <c r="C1246" s="11"/>
      <c r="D1246" s="11"/>
      <c r="E1246" s="11"/>
      <c r="F1246" s="21"/>
      <c r="G1246" s="11"/>
      <c r="H1246" s="50"/>
      <c r="I1246" s="50"/>
      <c r="J1246" s="50"/>
      <c r="K1246" s="11"/>
      <c r="L1246" s="50"/>
      <c r="M1246" s="50"/>
      <c r="N1246" s="50"/>
      <c r="O1246" s="50"/>
      <c r="P1246" s="50"/>
      <c r="Q1246" s="11"/>
      <c r="R1246" s="50"/>
      <c r="S1246" s="50"/>
      <c r="T1246" s="50"/>
      <c r="U1246" s="11"/>
      <c r="V1246" s="50"/>
      <c r="W1246" s="50"/>
      <c r="X1246" s="50"/>
      <c r="Y1246" s="50"/>
      <c r="Z1246" s="50"/>
      <c r="AA1246" s="11"/>
      <c r="AB1246" s="50"/>
      <c r="AC1246" s="50"/>
      <c r="AD1246" s="50"/>
      <c r="AE1246" s="11"/>
      <c r="AF1246" s="50"/>
      <c r="AG1246" s="50"/>
      <c r="AH1246" s="50"/>
      <c r="AI1246" s="11"/>
      <c r="AJ1246" s="50"/>
      <c r="AK1246" s="50"/>
      <c r="AL1246" s="50"/>
      <c r="AM1246" s="11"/>
      <c r="AN1246" s="50"/>
      <c r="AO1246" s="50"/>
      <c r="AP1246" s="50"/>
      <c r="AQ1246" s="11"/>
      <c r="AR1246" s="50"/>
      <c r="AS1246" s="50"/>
      <c r="AT1246" s="50"/>
      <c r="AU1246" s="11"/>
      <c r="AV1246" s="50"/>
      <c r="AW1246" s="50"/>
      <c r="AX1246" s="50"/>
      <c r="AY1246" s="50"/>
      <c r="AZ1246" s="50"/>
      <c r="BA1246" s="50"/>
      <c r="BB1246" s="50"/>
      <c r="BC1246" s="50"/>
      <c r="BD1246" s="50"/>
      <c r="BE1246" s="20"/>
      <c r="BF1246" s="518"/>
      <c r="BG1246" s="484"/>
      <c r="BH1246" s="484"/>
      <c r="BI1246" s="527"/>
      <c r="BJ1246" s="484"/>
      <c r="BK1246" s="484"/>
      <c r="BL1246" s="484"/>
      <c r="BM1246" s="484"/>
    </row>
    <row r="1247" spans="1:65" s="22" customFormat="1" x14ac:dyDescent="0.25">
      <c r="A1247" s="20"/>
      <c r="B1247" s="515"/>
      <c r="C1247" s="11"/>
      <c r="D1247" s="11"/>
      <c r="E1247" s="11"/>
      <c r="F1247" s="21"/>
      <c r="G1247" s="11"/>
      <c r="H1247" s="50"/>
      <c r="I1247" s="50"/>
      <c r="J1247" s="50"/>
      <c r="K1247" s="11"/>
      <c r="L1247" s="50"/>
      <c r="M1247" s="50"/>
      <c r="N1247" s="50"/>
      <c r="O1247" s="50"/>
      <c r="P1247" s="50"/>
      <c r="Q1247" s="11"/>
      <c r="R1247" s="50"/>
      <c r="S1247" s="50"/>
      <c r="T1247" s="50"/>
      <c r="U1247" s="11"/>
      <c r="V1247" s="50"/>
      <c r="W1247" s="50"/>
      <c r="X1247" s="50"/>
      <c r="Y1247" s="50"/>
      <c r="Z1247" s="50"/>
      <c r="AA1247" s="11"/>
      <c r="AB1247" s="50"/>
      <c r="AC1247" s="50"/>
      <c r="AD1247" s="50"/>
      <c r="AE1247" s="11"/>
      <c r="AF1247" s="50"/>
      <c r="AG1247" s="50"/>
      <c r="AH1247" s="50"/>
      <c r="AI1247" s="11"/>
      <c r="AJ1247" s="50"/>
      <c r="AK1247" s="50"/>
      <c r="AL1247" s="50"/>
      <c r="AM1247" s="11"/>
      <c r="AN1247" s="50"/>
      <c r="AO1247" s="50"/>
      <c r="AP1247" s="50"/>
      <c r="AQ1247" s="11"/>
      <c r="AR1247" s="50"/>
      <c r="AS1247" s="50"/>
      <c r="AT1247" s="50"/>
      <c r="AU1247" s="11"/>
      <c r="AV1247" s="50"/>
      <c r="AW1247" s="50"/>
      <c r="AX1247" s="50"/>
      <c r="AY1247" s="50"/>
      <c r="AZ1247" s="50"/>
      <c r="BA1247" s="50"/>
      <c r="BB1247" s="50"/>
      <c r="BC1247" s="50"/>
      <c r="BD1247" s="50"/>
      <c r="BE1247" s="20"/>
      <c r="BF1247" s="518"/>
      <c r="BG1247" s="484"/>
      <c r="BH1247" s="484"/>
      <c r="BI1247" s="527"/>
      <c r="BJ1247" s="484"/>
      <c r="BK1247" s="484"/>
      <c r="BL1247" s="484"/>
      <c r="BM1247" s="484"/>
    </row>
    <row r="1248" spans="1:65" s="22" customFormat="1" x14ac:dyDescent="0.25">
      <c r="A1248" s="20"/>
      <c r="B1248" s="515"/>
      <c r="C1248" s="11"/>
      <c r="D1248" s="11"/>
      <c r="E1248" s="11"/>
      <c r="F1248" s="21"/>
      <c r="G1248" s="11"/>
      <c r="H1248" s="50"/>
      <c r="I1248" s="50"/>
      <c r="J1248" s="50"/>
      <c r="K1248" s="11"/>
      <c r="L1248" s="50"/>
      <c r="M1248" s="50"/>
      <c r="N1248" s="50"/>
      <c r="O1248" s="50"/>
      <c r="P1248" s="50"/>
      <c r="Q1248" s="11"/>
      <c r="R1248" s="50"/>
      <c r="S1248" s="50"/>
      <c r="T1248" s="50"/>
      <c r="U1248" s="11"/>
      <c r="V1248" s="50"/>
      <c r="W1248" s="50"/>
      <c r="X1248" s="50"/>
      <c r="Y1248" s="50"/>
      <c r="Z1248" s="50"/>
      <c r="AA1248" s="11"/>
      <c r="AB1248" s="50"/>
      <c r="AC1248" s="50"/>
      <c r="AD1248" s="50"/>
      <c r="AE1248" s="11"/>
      <c r="AF1248" s="50"/>
      <c r="AG1248" s="50"/>
      <c r="AH1248" s="50"/>
      <c r="AI1248" s="11"/>
      <c r="AJ1248" s="50"/>
      <c r="AK1248" s="50"/>
      <c r="AL1248" s="50"/>
      <c r="AM1248" s="11"/>
      <c r="AN1248" s="50"/>
      <c r="AO1248" s="50"/>
      <c r="AP1248" s="50"/>
      <c r="AQ1248" s="11"/>
      <c r="AR1248" s="50"/>
      <c r="AS1248" s="50"/>
      <c r="AT1248" s="50"/>
      <c r="AU1248" s="11"/>
      <c r="AV1248" s="50"/>
      <c r="AW1248" s="50"/>
      <c r="AX1248" s="50"/>
      <c r="AY1248" s="50"/>
      <c r="AZ1248" s="50"/>
      <c r="BA1248" s="50"/>
      <c r="BB1248" s="50"/>
      <c r="BC1248" s="50"/>
      <c r="BD1248" s="50"/>
      <c r="BE1248" s="20"/>
      <c r="BF1248" s="518"/>
      <c r="BG1248" s="484"/>
      <c r="BH1248" s="484"/>
      <c r="BI1248" s="527"/>
      <c r="BJ1248" s="484"/>
      <c r="BK1248" s="484"/>
      <c r="BL1248" s="484"/>
      <c r="BM1248" s="484"/>
    </row>
    <row r="1249" spans="1:65" s="22" customFormat="1" x14ac:dyDescent="0.25">
      <c r="A1249" s="20"/>
      <c r="B1249" s="515"/>
      <c r="C1249" s="11"/>
      <c r="D1249" s="11"/>
      <c r="E1249" s="11"/>
      <c r="F1249" s="21"/>
      <c r="G1249" s="11"/>
      <c r="H1249" s="50"/>
      <c r="I1249" s="50"/>
      <c r="J1249" s="50"/>
      <c r="K1249" s="11"/>
      <c r="L1249" s="50"/>
      <c r="M1249" s="50"/>
      <c r="N1249" s="50"/>
      <c r="O1249" s="50"/>
      <c r="P1249" s="50"/>
      <c r="Q1249" s="11"/>
      <c r="R1249" s="50"/>
      <c r="S1249" s="50"/>
      <c r="T1249" s="50"/>
      <c r="U1249" s="11"/>
      <c r="V1249" s="50"/>
      <c r="W1249" s="50"/>
      <c r="X1249" s="50"/>
      <c r="Y1249" s="50"/>
      <c r="Z1249" s="50"/>
      <c r="AA1249" s="11"/>
      <c r="AB1249" s="50"/>
      <c r="AC1249" s="50"/>
      <c r="AD1249" s="50"/>
      <c r="AE1249" s="11"/>
      <c r="AF1249" s="50"/>
      <c r="AG1249" s="50"/>
      <c r="AH1249" s="50"/>
      <c r="AI1249" s="11"/>
      <c r="AJ1249" s="50"/>
      <c r="AK1249" s="50"/>
      <c r="AL1249" s="50"/>
      <c r="AM1249" s="11"/>
      <c r="AN1249" s="50"/>
      <c r="AO1249" s="50"/>
      <c r="AP1249" s="50"/>
      <c r="AQ1249" s="11"/>
      <c r="AR1249" s="50"/>
      <c r="AS1249" s="50"/>
      <c r="AT1249" s="50"/>
      <c r="AU1249" s="11"/>
      <c r="AV1249" s="50"/>
      <c r="AW1249" s="50"/>
      <c r="AX1249" s="50"/>
      <c r="AY1249" s="50"/>
      <c r="AZ1249" s="50"/>
      <c r="BA1249" s="50"/>
      <c r="BB1249" s="50"/>
      <c r="BC1249" s="50"/>
      <c r="BD1249" s="50"/>
      <c r="BE1249" s="20"/>
      <c r="BF1249" s="518"/>
      <c r="BG1249" s="484"/>
      <c r="BH1249" s="484"/>
      <c r="BI1249" s="527"/>
      <c r="BJ1249" s="484"/>
      <c r="BK1249" s="484"/>
      <c r="BL1249" s="484"/>
      <c r="BM1249" s="484"/>
    </row>
    <row r="1250" spans="1:65" s="22" customFormat="1" x14ac:dyDescent="0.25">
      <c r="A1250" s="20"/>
      <c r="B1250" s="515"/>
      <c r="C1250" s="11"/>
      <c r="D1250" s="11"/>
      <c r="E1250" s="11"/>
      <c r="F1250" s="21"/>
      <c r="G1250" s="11"/>
      <c r="H1250" s="50"/>
      <c r="I1250" s="50"/>
      <c r="J1250" s="50"/>
      <c r="K1250" s="11"/>
      <c r="L1250" s="50"/>
      <c r="M1250" s="50"/>
      <c r="N1250" s="50"/>
      <c r="O1250" s="50"/>
      <c r="P1250" s="50"/>
      <c r="Q1250" s="11"/>
      <c r="R1250" s="50"/>
      <c r="S1250" s="50"/>
      <c r="T1250" s="50"/>
      <c r="U1250" s="11"/>
      <c r="V1250" s="50"/>
      <c r="W1250" s="50"/>
      <c r="X1250" s="50"/>
      <c r="Y1250" s="50"/>
      <c r="Z1250" s="50"/>
      <c r="AA1250" s="11"/>
      <c r="AB1250" s="50"/>
      <c r="AC1250" s="50"/>
      <c r="AD1250" s="50"/>
      <c r="AE1250" s="11"/>
      <c r="AF1250" s="50"/>
      <c r="AG1250" s="50"/>
      <c r="AH1250" s="50"/>
      <c r="AI1250" s="11"/>
      <c r="AJ1250" s="50"/>
      <c r="AK1250" s="50"/>
      <c r="AL1250" s="50"/>
      <c r="AM1250" s="11"/>
      <c r="AN1250" s="50"/>
      <c r="AO1250" s="50"/>
      <c r="AP1250" s="50"/>
      <c r="AQ1250" s="11"/>
      <c r="AR1250" s="50"/>
      <c r="AS1250" s="50"/>
      <c r="AT1250" s="50"/>
      <c r="AU1250" s="11"/>
      <c r="AV1250" s="50"/>
      <c r="AW1250" s="50"/>
      <c r="AX1250" s="50"/>
      <c r="AY1250" s="50"/>
      <c r="AZ1250" s="50"/>
      <c r="BA1250" s="50"/>
      <c r="BB1250" s="50"/>
      <c r="BC1250" s="50"/>
      <c r="BD1250" s="50"/>
      <c r="BE1250" s="20"/>
      <c r="BF1250" s="518"/>
      <c r="BG1250" s="484"/>
      <c r="BH1250" s="484"/>
      <c r="BI1250" s="527"/>
      <c r="BJ1250" s="484"/>
      <c r="BK1250" s="484"/>
      <c r="BL1250" s="484"/>
      <c r="BM1250" s="484"/>
    </row>
    <row r="1251" spans="1:65" s="22" customFormat="1" x14ac:dyDescent="0.25">
      <c r="A1251" s="20"/>
      <c r="B1251" s="515"/>
      <c r="C1251" s="11"/>
      <c r="D1251" s="11"/>
      <c r="E1251" s="11"/>
      <c r="F1251" s="21"/>
      <c r="G1251" s="11"/>
      <c r="H1251" s="50"/>
      <c r="I1251" s="50"/>
      <c r="J1251" s="50"/>
      <c r="K1251" s="11"/>
      <c r="L1251" s="50"/>
      <c r="M1251" s="50"/>
      <c r="N1251" s="50"/>
      <c r="O1251" s="50"/>
      <c r="P1251" s="50"/>
      <c r="Q1251" s="11"/>
      <c r="R1251" s="50"/>
      <c r="S1251" s="50"/>
      <c r="T1251" s="50"/>
      <c r="U1251" s="11"/>
      <c r="V1251" s="50"/>
      <c r="W1251" s="50"/>
      <c r="X1251" s="50"/>
      <c r="Y1251" s="50"/>
      <c r="Z1251" s="50"/>
      <c r="AA1251" s="11"/>
      <c r="AB1251" s="50"/>
      <c r="AC1251" s="50"/>
      <c r="AD1251" s="50"/>
      <c r="AE1251" s="11"/>
      <c r="AF1251" s="50"/>
      <c r="AG1251" s="50"/>
      <c r="AH1251" s="50"/>
      <c r="AI1251" s="11"/>
      <c r="AJ1251" s="50"/>
      <c r="AK1251" s="50"/>
      <c r="AL1251" s="50"/>
      <c r="AM1251" s="11"/>
      <c r="AN1251" s="50"/>
      <c r="AO1251" s="50"/>
      <c r="AP1251" s="50"/>
      <c r="AQ1251" s="11"/>
      <c r="AR1251" s="50"/>
      <c r="AS1251" s="50"/>
      <c r="AT1251" s="50"/>
      <c r="AU1251" s="11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20"/>
      <c r="BF1251" s="518"/>
      <c r="BG1251" s="484"/>
      <c r="BH1251" s="484"/>
      <c r="BI1251" s="527"/>
      <c r="BJ1251" s="484"/>
      <c r="BK1251" s="484"/>
      <c r="BL1251" s="484"/>
      <c r="BM1251" s="484"/>
    </row>
    <row r="1252" spans="1:65" s="22" customFormat="1" x14ac:dyDescent="0.25">
      <c r="A1252" s="20"/>
      <c r="B1252" s="515"/>
      <c r="C1252" s="11"/>
      <c r="D1252" s="11"/>
      <c r="E1252" s="11"/>
      <c r="F1252" s="21"/>
      <c r="G1252" s="11"/>
      <c r="H1252" s="50"/>
      <c r="I1252" s="50"/>
      <c r="J1252" s="50"/>
      <c r="K1252" s="11"/>
      <c r="L1252" s="50"/>
      <c r="M1252" s="50"/>
      <c r="N1252" s="50"/>
      <c r="O1252" s="50"/>
      <c r="P1252" s="50"/>
      <c r="Q1252" s="11"/>
      <c r="R1252" s="50"/>
      <c r="S1252" s="50"/>
      <c r="T1252" s="50"/>
      <c r="U1252" s="11"/>
      <c r="V1252" s="50"/>
      <c r="W1252" s="50"/>
      <c r="X1252" s="50"/>
      <c r="Y1252" s="50"/>
      <c r="Z1252" s="50"/>
      <c r="AA1252" s="11"/>
      <c r="AB1252" s="50"/>
      <c r="AC1252" s="50"/>
      <c r="AD1252" s="50"/>
      <c r="AE1252" s="11"/>
      <c r="AF1252" s="50"/>
      <c r="AG1252" s="50"/>
      <c r="AH1252" s="50"/>
      <c r="AI1252" s="11"/>
      <c r="AJ1252" s="50"/>
      <c r="AK1252" s="50"/>
      <c r="AL1252" s="50"/>
      <c r="AM1252" s="11"/>
      <c r="AN1252" s="50"/>
      <c r="AO1252" s="50"/>
      <c r="AP1252" s="50"/>
      <c r="AQ1252" s="11"/>
      <c r="AR1252" s="50"/>
      <c r="AS1252" s="50"/>
      <c r="AT1252" s="50"/>
      <c r="AU1252" s="11"/>
      <c r="AV1252" s="50"/>
      <c r="AW1252" s="50"/>
      <c r="AX1252" s="50"/>
      <c r="AY1252" s="50"/>
      <c r="AZ1252" s="50"/>
      <c r="BA1252" s="50"/>
      <c r="BB1252" s="50"/>
      <c r="BC1252" s="50"/>
      <c r="BD1252" s="50"/>
      <c r="BE1252" s="20"/>
      <c r="BF1252" s="518"/>
      <c r="BG1252" s="484"/>
      <c r="BH1252" s="484"/>
      <c r="BI1252" s="527"/>
      <c r="BJ1252" s="484"/>
      <c r="BK1252" s="484"/>
      <c r="BL1252" s="484"/>
      <c r="BM1252" s="484"/>
    </row>
    <row r="1253" spans="1:65" s="22" customFormat="1" x14ac:dyDescent="0.25">
      <c r="A1253" s="20"/>
      <c r="B1253" s="515"/>
      <c r="C1253" s="11"/>
      <c r="D1253" s="11"/>
      <c r="E1253" s="11"/>
      <c r="F1253" s="21"/>
      <c r="G1253" s="11"/>
      <c r="H1253" s="50"/>
      <c r="I1253" s="50"/>
      <c r="J1253" s="50"/>
      <c r="K1253" s="11"/>
      <c r="L1253" s="50"/>
      <c r="M1253" s="50"/>
      <c r="N1253" s="50"/>
      <c r="O1253" s="50"/>
      <c r="P1253" s="50"/>
      <c r="Q1253" s="11"/>
      <c r="R1253" s="50"/>
      <c r="S1253" s="50"/>
      <c r="T1253" s="50"/>
      <c r="U1253" s="11"/>
      <c r="V1253" s="50"/>
      <c r="W1253" s="50"/>
      <c r="X1253" s="50"/>
      <c r="Y1253" s="50"/>
      <c r="Z1253" s="50"/>
      <c r="AA1253" s="11"/>
      <c r="AB1253" s="50"/>
      <c r="AC1253" s="50"/>
      <c r="AD1253" s="50"/>
      <c r="AE1253" s="11"/>
      <c r="AF1253" s="50"/>
      <c r="AG1253" s="50"/>
      <c r="AH1253" s="50"/>
      <c r="AI1253" s="11"/>
      <c r="AJ1253" s="50"/>
      <c r="AK1253" s="50"/>
      <c r="AL1253" s="50"/>
      <c r="AM1253" s="11"/>
      <c r="AN1253" s="50"/>
      <c r="AO1253" s="50"/>
      <c r="AP1253" s="50"/>
      <c r="AQ1253" s="11"/>
      <c r="AR1253" s="50"/>
      <c r="AS1253" s="50"/>
      <c r="AT1253" s="50"/>
      <c r="AU1253" s="11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20"/>
      <c r="BF1253" s="518"/>
      <c r="BG1253" s="484"/>
      <c r="BH1253" s="484"/>
      <c r="BI1253" s="527"/>
      <c r="BJ1253" s="484"/>
      <c r="BK1253" s="484"/>
      <c r="BL1253" s="484"/>
      <c r="BM1253" s="484"/>
    </row>
    <row r="1254" spans="1:65" s="22" customFormat="1" x14ac:dyDescent="0.25">
      <c r="A1254" s="20"/>
      <c r="B1254" s="515"/>
      <c r="C1254" s="11"/>
      <c r="D1254" s="11"/>
      <c r="E1254" s="11"/>
      <c r="F1254" s="21"/>
      <c r="G1254" s="11"/>
      <c r="H1254" s="50"/>
      <c r="I1254" s="50"/>
      <c r="J1254" s="50"/>
      <c r="K1254" s="11"/>
      <c r="L1254" s="50"/>
      <c r="M1254" s="50"/>
      <c r="N1254" s="50"/>
      <c r="O1254" s="50"/>
      <c r="P1254" s="50"/>
      <c r="Q1254" s="11"/>
      <c r="R1254" s="50"/>
      <c r="S1254" s="50"/>
      <c r="T1254" s="50"/>
      <c r="U1254" s="11"/>
      <c r="V1254" s="50"/>
      <c r="W1254" s="50"/>
      <c r="X1254" s="50"/>
      <c r="Y1254" s="50"/>
      <c r="Z1254" s="50"/>
      <c r="AA1254" s="11"/>
      <c r="AB1254" s="50"/>
      <c r="AC1254" s="50"/>
      <c r="AD1254" s="50"/>
      <c r="AE1254" s="11"/>
      <c r="AF1254" s="50"/>
      <c r="AG1254" s="50"/>
      <c r="AH1254" s="50"/>
      <c r="AI1254" s="11"/>
      <c r="AJ1254" s="50"/>
      <c r="AK1254" s="50"/>
      <c r="AL1254" s="50"/>
      <c r="AM1254" s="11"/>
      <c r="AN1254" s="50"/>
      <c r="AO1254" s="50"/>
      <c r="AP1254" s="50"/>
      <c r="AQ1254" s="11"/>
      <c r="AR1254" s="50"/>
      <c r="AS1254" s="50"/>
      <c r="AT1254" s="50"/>
      <c r="AU1254" s="11"/>
      <c r="AV1254" s="50"/>
      <c r="AW1254" s="50"/>
      <c r="AX1254" s="50"/>
      <c r="AY1254" s="50"/>
      <c r="AZ1254" s="50"/>
      <c r="BA1254" s="50"/>
      <c r="BB1254" s="50"/>
      <c r="BC1254" s="50"/>
      <c r="BD1254" s="50"/>
      <c r="BE1254" s="20"/>
      <c r="BF1254" s="518"/>
      <c r="BG1254" s="484"/>
      <c r="BH1254" s="484"/>
      <c r="BI1254" s="527"/>
      <c r="BJ1254" s="484"/>
      <c r="BK1254" s="484"/>
      <c r="BL1254" s="484"/>
      <c r="BM1254" s="484"/>
    </row>
    <row r="1255" spans="1:65" s="22" customFormat="1" x14ac:dyDescent="0.25">
      <c r="A1255" s="20"/>
      <c r="B1255" s="515"/>
      <c r="C1255" s="11"/>
      <c r="D1255" s="11"/>
      <c r="E1255" s="11"/>
      <c r="F1255" s="21"/>
      <c r="G1255" s="11"/>
      <c r="H1255" s="50"/>
      <c r="I1255" s="50"/>
      <c r="J1255" s="50"/>
      <c r="K1255" s="11"/>
      <c r="L1255" s="50"/>
      <c r="M1255" s="50"/>
      <c r="N1255" s="50"/>
      <c r="O1255" s="50"/>
      <c r="P1255" s="50"/>
      <c r="Q1255" s="11"/>
      <c r="R1255" s="50"/>
      <c r="S1255" s="50"/>
      <c r="T1255" s="50"/>
      <c r="U1255" s="11"/>
      <c r="V1255" s="50"/>
      <c r="W1255" s="50"/>
      <c r="X1255" s="50"/>
      <c r="Y1255" s="50"/>
      <c r="Z1255" s="50"/>
      <c r="AA1255" s="11"/>
      <c r="AB1255" s="50"/>
      <c r="AC1255" s="50"/>
      <c r="AD1255" s="50"/>
      <c r="AE1255" s="11"/>
      <c r="AF1255" s="50"/>
      <c r="AG1255" s="50"/>
      <c r="AH1255" s="50"/>
      <c r="AI1255" s="11"/>
      <c r="AJ1255" s="50"/>
      <c r="AK1255" s="50"/>
      <c r="AL1255" s="50"/>
      <c r="AM1255" s="11"/>
      <c r="AN1255" s="50"/>
      <c r="AO1255" s="50"/>
      <c r="AP1255" s="50"/>
      <c r="AQ1255" s="11"/>
      <c r="AR1255" s="50"/>
      <c r="AS1255" s="50"/>
      <c r="AT1255" s="50"/>
      <c r="AU1255" s="11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20"/>
      <c r="BF1255" s="518"/>
      <c r="BG1255" s="484"/>
      <c r="BH1255" s="484"/>
      <c r="BI1255" s="527"/>
      <c r="BJ1255" s="484"/>
      <c r="BK1255" s="484"/>
      <c r="BL1255" s="484"/>
      <c r="BM1255" s="484"/>
    </row>
    <row r="1256" spans="1:65" s="22" customFormat="1" x14ac:dyDescent="0.25">
      <c r="A1256" s="20"/>
      <c r="B1256" s="515"/>
      <c r="C1256" s="11"/>
      <c r="D1256" s="11"/>
      <c r="E1256" s="11"/>
      <c r="F1256" s="21"/>
      <c r="G1256" s="11"/>
      <c r="H1256" s="50"/>
      <c r="I1256" s="50"/>
      <c r="J1256" s="50"/>
      <c r="K1256" s="11"/>
      <c r="L1256" s="50"/>
      <c r="M1256" s="50"/>
      <c r="N1256" s="50"/>
      <c r="O1256" s="50"/>
      <c r="P1256" s="50"/>
      <c r="Q1256" s="11"/>
      <c r="R1256" s="50"/>
      <c r="S1256" s="50"/>
      <c r="T1256" s="50"/>
      <c r="U1256" s="11"/>
      <c r="V1256" s="50"/>
      <c r="W1256" s="50"/>
      <c r="X1256" s="50"/>
      <c r="Y1256" s="50"/>
      <c r="Z1256" s="50"/>
      <c r="AA1256" s="11"/>
      <c r="AB1256" s="50"/>
      <c r="AC1256" s="50"/>
      <c r="AD1256" s="50"/>
      <c r="AE1256" s="11"/>
      <c r="AF1256" s="50"/>
      <c r="AG1256" s="50"/>
      <c r="AH1256" s="50"/>
      <c r="AI1256" s="11"/>
      <c r="AJ1256" s="50"/>
      <c r="AK1256" s="50"/>
      <c r="AL1256" s="50"/>
      <c r="AM1256" s="11"/>
      <c r="AN1256" s="50"/>
      <c r="AO1256" s="50"/>
      <c r="AP1256" s="50"/>
      <c r="AQ1256" s="11"/>
      <c r="AR1256" s="50"/>
      <c r="AS1256" s="50"/>
      <c r="AT1256" s="50"/>
      <c r="AU1256" s="11"/>
      <c r="AV1256" s="50"/>
      <c r="AW1256" s="50"/>
      <c r="AX1256" s="50"/>
      <c r="AY1256" s="50"/>
      <c r="AZ1256" s="50"/>
      <c r="BA1256" s="50"/>
      <c r="BB1256" s="50"/>
      <c r="BC1256" s="50"/>
      <c r="BD1256" s="50"/>
      <c r="BE1256" s="20"/>
      <c r="BF1256" s="518"/>
      <c r="BG1256" s="484"/>
      <c r="BH1256" s="484"/>
      <c r="BI1256" s="527"/>
      <c r="BJ1256" s="484"/>
      <c r="BK1256" s="484"/>
      <c r="BL1256" s="484"/>
      <c r="BM1256" s="484"/>
    </row>
    <row r="1257" spans="1:65" s="22" customFormat="1" x14ac:dyDescent="0.25">
      <c r="A1257" s="20"/>
      <c r="B1257" s="515"/>
      <c r="C1257" s="11"/>
      <c r="D1257" s="11"/>
      <c r="E1257" s="11"/>
      <c r="F1257" s="21"/>
      <c r="G1257" s="11"/>
      <c r="H1257" s="50"/>
      <c r="I1257" s="50"/>
      <c r="J1257" s="50"/>
      <c r="K1257" s="11"/>
      <c r="L1257" s="50"/>
      <c r="M1257" s="50"/>
      <c r="N1257" s="50"/>
      <c r="O1257" s="50"/>
      <c r="P1257" s="50"/>
      <c r="Q1257" s="11"/>
      <c r="R1257" s="50"/>
      <c r="S1257" s="50"/>
      <c r="T1257" s="50"/>
      <c r="U1257" s="11"/>
      <c r="V1257" s="50"/>
      <c r="W1257" s="50"/>
      <c r="X1257" s="50"/>
      <c r="Y1257" s="50"/>
      <c r="Z1257" s="50"/>
      <c r="AA1257" s="11"/>
      <c r="AB1257" s="50"/>
      <c r="AC1257" s="50"/>
      <c r="AD1257" s="50"/>
      <c r="AE1257" s="11"/>
      <c r="AF1257" s="50"/>
      <c r="AG1257" s="50"/>
      <c r="AH1257" s="50"/>
      <c r="AI1257" s="11"/>
      <c r="AJ1257" s="50"/>
      <c r="AK1257" s="50"/>
      <c r="AL1257" s="50"/>
      <c r="AM1257" s="11"/>
      <c r="AN1257" s="50"/>
      <c r="AO1257" s="50"/>
      <c r="AP1257" s="50"/>
      <c r="AQ1257" s="11"/>
      <c r="AR1257" s="50"/>
      <c r="AS1257" s="50"/>
      <c r="AT1257" s="50"/>
      <c r="AU1257" s="11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20"/>
      <c r="BF1257" s="518"/>
      <c r="BG1257" s="484"/>
      <c r="BH1257" s="484"/>
      <c r="BI1257" s="527"/>
      <c r="BJ1257" s="484"/>
      <c r="BK1257" s="484"/>
      <c r="BL1257" s="484"/>
      <c r="BM1257" s="484"/>
    </row>
    <row r="1258" spans="1:65" s="22" customFormat="1" x14ac:dyDescent="0.25">
      <c r="A1258" s="20"/>
      <c r="B1258" s="515"/>
      <c r="C1258" s="11"/>
      <c r="D1258" s="11"/>
      <c r="E1258" s="11"/>
      <c r="F1258" s="21"/>
      <c r="G1258" s="11"/>
      <c r="H1258" s="50"/>
      <c r="I1258" s="50"/>
      <c r="J1258" s="50"/>
      <c r="K1258" s="11"/>
      <c r="L1258" s="50"/>
      <c r="M1258" s="50"/>
      <c r="N1258" s="50"/>
      <c r="O1258" s="50"/>
      <c r="P1258" s="50"/>
      <c r="Q1258" s="11"/>
      <c r="R1258" s="50"/>
      <c r="S1258" s="50"/>
      <c r="T1258" s="50"/>
      <c r="U1258" s="11"/>
      <c r="V1258" s="50"/>
      <c r="W1258" s="50"/>
      <c r="X1258" s="50"/>
      <c r="Y1258" s="50"/>
      <c r="Z1258" s="50"/>
      <c r="AA1258" s="11"/>
      <c r="AB1258" s="50"/>
      <c r="AC1258" s="50"/>
      <c r="AD1258" s="50"/>
      <c r="AE1258" s="11"/>
      <c r="AF1258" s="50"/>
      <c r="AG1258" s="50"/>
      <c r="AH1258" s="50"/>
      <c r="AI1258" s="11"/>
      <c r="AJ1258" s="50"/>
      <c r="AK1258" s="50"/>
      <c r="AL1258" s="50"/>
      <c r="AM1258" s="11"/>
      <c r="AN1258" s="50"/>
      <c r="AO1258" s="50"/>
      <c r="AP1258" s="50"/>
      <c r="AQ1258" s="11"/>
      <c r="AR1258" s="50"/>
      <c r="AS1258" s="50"/>
      <c r="AT1258" s="50"/>
      <c r="AU1258" s="11"/>
      <c r="AV1258" s="50"/>
      <c r="AW1258" s="50"/>
      <c r="AX1258" s="50"/>
      <c r="AY1258" s="50"/>
      <c r="AZ1258" s="50"/>
      <c r="BA1258" s="50"/>
      <c r="BB1258" s="50"/>
      <c r="BC1258" s="50"/>
      <c r="BD1258" s="50"/>
      <c r="BE1258" s="20"/>
      <c r="BF1258" s="518"/>
      <c r="BG1258" s="484"/>
      <c r="BH1258" s="484"/>
      <c r="BI1258" s="527"/>
      <c r="BJ1258" s="484"/>
      <c r="BK1258" s="484"/>
      <c r="BL1258" s="484"/>
      <c r="BM1258" s="484"/>
    </row>
    <row r="1259" spans="1:65" s="22" customFormat="1" x14ac:dyDescent="0.25">
      <c r="A1259" s="20"/>
      <c r="B1259" s="515"/>
      <c r="C1259" s="11"/>
      <c r="D1259" s="11"/>
      <c r="E1259" s="11"/>
      <c r="F1259" s="21"/>
      <c r="G1259" s="11"/>
      <c r="H1259" s="50"/>
      <c r="I1259" s="50"/>
      <c r="J1259" s="50"/>
      <c r="K1259" s="11"/>
      <c r="L1259" s="50"/>
      <c r="M1259" s="50"/>
      <c r="N1259" s="50"/>
      <c r="O1259" s="50"/>
      <c r="P1259" s="50"/>
      <c r="Q1259" s="11"/>
      <c r="R1259" s="50"/>
      <c r="S1259" s="50"/>
      <c r="T1259" s="50"/>
      <c r="U1259" s="11"/>
      <c r="V1259" s="50"/>
      <c r="W1259" s="50"/>
      <c r="X1259" s="50"/>
      <c r="Y1259" s="50"/>
      <c r="Z1259" s="50"/>
      <c r="AA1259" s="11"/>
      <c r="AB1259" s="50"/>
      <c r="AC1259" s="50"/>
      <c r="AD1259" s="50"/>
      <c r="AE1259" s="11"/>
      <c r="AF1259" s="50"/>
      <c r="AG1259" s="50"/>
      <c r="AH1259" s="50"/>
      <c r="AI1259" s="11"/>
      <c r="AJ1259" s="50"/>
      <c r="AK1259" s="50"/>
      <c r="AL1259" s="50"/>
      <c r="AM1259" s="11"/>
      <c r="AN1259" s="50"/>
      <c r="AO1259" s="50"/>
      <c r="AP1259" s="50"/>
      <c r="AQ1259" s="11"/>
      <c r="AR1259" s="50"/>
      <c r="AS1259" s="50"/>
      <c r="AT1259" s="50"/>
      <c r="AU1259" s="11"/>
      <c r="AV1259" s="50"/>
      <c r="AW1259" s="50"/>
      <c r="AX1259" s="50"/>
      <c r="AY1259" s="50"/>
      <c r="AZ1259" s="50"/>
      <c r="BA1259" s="50"/>
      <c r="BB1259" s="50"/>
      <c r="BC1259" s="50"/>
      <c r="BD1259" s="50"/>
      <c r="BE1259" s="20"/>
      <c r="BF1259" s="518"/>
      <c r="BG1259" s="484"/>
      <c r="BH1259" s="484"/>
      <c r="BI1259" s="527"/>
      <c r="BJ1259" s="484"/>
      <c r="BK1259" s="484"/>
      <c r="BL1259" s="484"/>
      <c r="BM1259" s="484"/>
    </row>
    <row r="1260" spans="1:65" s="22" customFormat="1" x14ac:dyDescent="0.25">
      <c r="A1260" s="20"/>
      <c r="B1260" s="515"/>
      <c r="C1260" s="11"/>
      <c r="D1260" s="11"/>
      <c r="E1260" s="11"/>
      <c r="F1260" s="21"/>
      <c r="G1260" s="11"/>
      <c r="H1260" s="50"/>
      <c r="I1260" s="50"/>
      <c r="J1260" s="50"/>
      <c r="K1260" s="11"/>
      <c r="L1260" s="50"/>
      <c r="M1260" s="50"/>
      <c r="N1260" s="50"/>
      <c r="O1260" s="50"/>
      <c r="P1260" s="50"/>
      <c r="Q1260" s="11"/>
      <c r="R1260" s="50"/>
      <c r="S1260" s="50"/>
      <c r="T1260" s="50"/>
      <c r="U1260" s="11"/>
      <c r="V1260" s="50"/>
      <c r="W1260" s="50"/>
      <c r="X1260" s="50"/>
      <c r="Y1260" s="50"/>
      <c r="Z1260" s="50"/>
      <c r="AA1260" s="11"/>
      <c r="AB1260" s="50"/>
      <c r="AC1260" s="50"/>
      <c r="AD1260" s="50"/>
      <c r="AE1260" s="11"/>
      <c r="AF1260" s="50"/>
      <c r="AG1260" s="50"/>
      <c r="AH1260" s="50"/>
      <c r="AI1260" s="11"/>
      <c r="AJ1260" s="50"/>
      <c r="AK1260" s="50"/>
      <c r="AL1260" s="50"/>
      <c r="AM1260" s="11"/>
      <c r="AN1260" s="50"/>
      <c r="AO1260" s="50"/>
      <c r="AP1260" s="50"/>
      <c r="AQ1260" s="11"/>
      <c r="AR1260" s="50"/>
      <c r="AS1260" s="50"/>
      <c r="AT1260" s="50"/>
      <c r="AU1260" s="11"/>
      <c r="AV1260" s="50"/>
      <c r="AW1260" s="50"/>
      <c r="AX1260" s="50"/>
      <c r="AY1260" s="50"/>
      <c r="AZ1260" s="50"/>
      <c r="BA1260" s="50"/>
      <c r="BB1260" s="50"/>
      <c r="BC1260" s="50"/>
      <c r="BD1260" s="50"/>
      <c r="BE1260" s="20"/>
      <c r="BF1260" s="518"/>
      <c r="BG1260" s="484"/>
      <c r="BH1260" s="484"/>
      <c r="BI1260" s="527"/>
      <c r="BJ1260" s="484"/>
      <c r="BK1260" s="484"/>
      <c r="BL1260" s="484"/>
      <c r="BM1260" s="484"/>
    </row>
    <row r="1261" spans="1:65" s="22" customFormat="1" x14ac:dyDescent="0.25">
      <c r="A1261" s="20"/>
      <c r="B1261" s="515"/>
      <c r="C1261" s="11"/>
      <c r="D1261" s="11"/>
      <c r="E1261" s="11"/>
      <c r="F1261" s="21"/>
      <c r="G1261" s="11"/>
      <c r="H1261" s="50"/>
      <c r="I1261" s="50"/>
      <c r="J1261" s="50"/>
      <c r="K1261" s="11"/>
      <c r="L1261" s="50"/>
      <c r="M1261" s="50"/>
      <c r="N1261" s="50"/>
      <c r="O1261" s="50"/>
      <c r="P1261" s="50"/>
      <c r="Q1261" s="11"/>
      <c r="R1261" s="50"/>
      <c r="S1261" s="50"/>
      <c r="T1261" s="50"/>
      <c r="U1261" s="11"/>
      <c r="V1261" s="50"/>
      <c r="W1261" s="50"/>
      <c r="X1261" s="50"/>
      <c r="Y1261" s="50"/>
      <c r="Z1261" s="50"/>
      <c r="AA1261" s="11"/>
      <c r="AB1261" s="50"/>
      <c r="AC1261" s="50"/>
      <c r="AD1261" s="50"/>
      <c r="AE1261" s="11"/>
      <c r="AF1261" s="50"/>
      <c r="AG1261" s="50"/>
      <c r="AH1261" s="50"/>
      <c r="AI1261" s="11"/>
      <c r="AJ1261" s="50"/>
      <c r="AK1261" s="50"/>
      <c r="AL1261" s="50"/>
      <c r="AM1261" s="11"/>
      <c r="AN1261" s="50"/>
      <c r="AO1261" s="50"/>
      <c r="AP1261" s="50"/>
      <c r="AQ1261" s="11"/>
      <c r="AR1261" s="50"/>
      <c r="AS1261" s="50"/>
      <c r="AT1261" s="50"/>
      <c r="AU1261" s="11"/>
      <c r="AV1261" s="50"/>
      <c r="AW1261" s="50"/>
      <c r="AX1261" s="50"/>
      <c r="AY1261" s="50"/>
      <c r="AZ1261" s="50"/>
      <c r="BA1261" s="50"/>
      <c r="BB1261" s="50"/>
      <c r="BC1261" s="50"/>
      <c r="BD1261" s="50"/>
      <c r="BE1261" s="20"/>
      <c r="BF1261" s="518"/>
      <c r="BG1261" s="484"/>
      <c r="BH1261" s="484"/>
      <c r="BI1261" s="527"/>
      <c r="BJ1261" s="484"/>
      <c r="BK1261" s="484"/>
      <c r="BL1261" s="484"/>
      <c r="BM1261" s="484"/>
    </row>
    <row r="1262" spans="1:65" s="22" customFormat="1" x14ac:dyDescent="0.25">
      <c r="A1262" s="20"/>
      <c r="B1262" s="515"/>
      <c r="C1262" s="11"/>
      <c r="D1262" s="11"/>
      <c r="E1262" s="11"/>
      <c r="F1262" s="21"/>
      <c r="G1262" s="11"/>
      <c r="H1262" s="50"/>
      <c r="I1262" s="50"/>
      <c r="J1262" s="50"/>
      <c r="K1262" s="11"/>
      <c r="L1262" s="50"/>
      <c r="M1262" s="50"/>
      <c r="N1262" s="50"/>
      <c r="O1262" s="50"/>
      <c r="P1262" s="50"/>
      <c r="Q1262" s="11"/>
      <c r="R1262" s="50"/>
      <c r="S1262" s="50"/>
      <c r="T1262" s="50"/>
      <c r="U1262" s="11"/>
      <c r="V1262" s="50"/>
      <c r="W1262" s="50"/>
      <c r="X1262" s="50"/>
      <c r="Y1262" s="50"/>
      <c r="Z1262" s="50"/>
      <c r="AA1262" s="11"/>
      <c r="AB1262" s="50"/>
      <c r="AC1262" s="50"/>
      <c r="AD1262" s="50"/>
      <c r="AE1262" s="11"/>
      <c r="AF1262" s="50"/>
      <c r="AG1262" s="50"/>
      <c r="AH1262" s="50"/>
      <c r="AI1262" s="11"/>
      <c r="AJ1262" s="50"/>
      <c r="AK1262" s="50"/>
      <c r="AL1262" s="50"/>
      <c r="AM1262" s="11"/>
      <c r="AN1262" s="50"/>
      <c r="AO1262" s="50"/>
      <c r="AP1262" s="50"/>
      <c r="AQ1262" s="11"/>
      <c r="AR1262" s="50"/>
      <c r="AS1262" s="50"/>
      <c r="AT1262" s="50"/>
      <c r="AU1262" s="11"/>
      <c r="AV1262" s="50"/>
      <c r="AW1262" s="50"/>
      <c r="AX1262" s="50"/>
      <c r="AY1262" s="50"/>
      <c r="AZ1262" s="50"/>
      <c r="BA1262" s="50"/>
      <c r="BB1262" s="50"/>
      <c r="BC1262" s="50"/>
      <c r="BD1262" s="50"/>
      <c r="BE1262" s="20"/>
      <c r="BF1262" s="518"/>
      <c r="BG1262" s="484"/>
      <c r="BH1262" s="484"/>
      <c r="BI1262" s="527"/>
      <c r="BJ1262" s="484"/>
      <c r="BK1262" s="484"/>
      <c r="BL1262" s="484"/>
      <c r="BM1262" s="484"/>
    </row>
    <row r="1263" spans="1:65" s="22" customFormat="1" x14ac:dyDescent="0.25">
      <c r="A1263" s="20"/>
      <c r="B1263" s="515"/>
      <c r="C1263" s="11"/>
      <c r="D1263" s="11"/>
      <c r="E1263" s="11"/>
      <c r="F1263" s="21"/>
      <c r="G1263" s="11"/>
      <c r="H1263" s="50"/>
      <c r="I1263" s="50"/>
      <c r="J1263" s="50"/>
      <c r="K1263" s="11"/>
      <c r="L1263" s="50"/>
      <c r="M1263" s="50"/>
      <c r="N1263" s="50"/>
      <c r="O1263" s="50"/>
      <c r="P1263" s="50"/>
      <c r="Q1263" s="11"/>
      <c r="R1263" s="50"/>
      <c r="S1263" s="50"/>
      <c r="T1263" s="50"/>
      <c r="U1263" s="11"/>
      <c r="V1263" s="50"/>
      <c r="W1263" s="50"/>
      <c r="X1263" s="50"/>
      <c r="Y1263" s="50"/>
      <c r="Z1263" s="50"/>
      <c r="AA1263" s="11"/>
      <c r="AB1263" s="50"/>
      <c r="AC1263" s="50"/>
      <c r="AD1263" s="50"/>
      <c r="AE1263" s="11"/>
      <c r="AF1263" s="50"/>
      <c r="AG1263" s="50"/>
      <c r="AH1263" s="50"/>
      <c r="AI1263" s="11"/>
      <c r="AJ1263" s="50"/>
      <c r="AK1263" s="50"/>
      <c r="AL1263" s="50"/>
      <c r="AM1263" s="11"/>
      <c r="AN1263" s="50"/>
      <c r="AO1263" s="50"/>
      <c r="AP1263" s="50"/>
      <c r="AQ1263" s="11"/>
      <c r="AR1263" s="50"/>
      <c r="AS1263" s="50"/>
      <c r="AT1263" s="50"/>
      <c r="AU1263" s="11"/>
      <c r="AV1263" s="50"/>
      <c r="AW1263" s="50"/>
      <c r="AX1263" s="50"/>
      <c r="AY1263" s="50"/>
      <c r="AZ1263" s="50"/>
      <c r="BA1263" s="50"/>
      <c r="BB1263" s="50"/>
      <c r="BC1263" s="50"/>
      <c r="BD1263" s="50"/>
      <c r="BE1263" s="20"/>
      <c r="BF1263" s="518"/>
      <c r="BG1263" s="484"/>
      <c r="BH1263" s="484"/>
      <c r="BI1263" s="527"/>
      <c r="BJ1263" s="484"/>
      <c r="BK1263" s="484"/>
      <c r="BL1263" s="484"/>
      <c r="BM1263" s="484"/>
    </row>
    <row r="1264" spans="1:65" s="22" customFormat="1" x14ac:dyDescent="0.25">
      <c r="A1264" s="20"/>
      <c r="B1264" s="515"/>
      <c r="C1264" s="11"/>
      <c r="D1264" s="11"/>
      <c r="E1264" s="11"/>
      <c r="F1264" s="21"/>
      <c r="G1264" s="11"/>
      <c r="H1264" s="50"/>
      <c r="I1264" s="50"/>
      <c r="J1264" s="50"/>
      <c r="K1264" s="11"/>
      <c r="L1264" s="50"/>
      <c r="M1264" s="50"/>
      <c r="N1264" s="50"/>
      <c r="O1264" s="50"/>
      <c r="P1264" s="50"/>
      <c r="Q1264" s="11"/>
      <c r="R1264" s="50"/>
      <c r="S1264" s="50"/>
      <c r="T1264" s="50"/>
      <c r="U1264" s="11"/>
      <c r="V1264" s="50"/>
      <c r="W1264" s="50"/>
      <c r="X1264" s="50"/>
      <c r="Y1264" s="50"/>
      <c r="Z1264" s="50"/>
      <c r="AA1264" s="11"/>
      <c r="AB1264" s="50"/>
      <c r="AC1264" s="50"/>
      <c r="AD1264" s="50"/>
      <c r="AE1264" s="11"/>
      <c r="AF1264" s="50"/>
      <c r="AG1264" s="50"/>
      <c r="AH1264" s="50"/>
      <c r="AI1264" s="11"/>
      <c r="AJ1264" s="50"/>
      <c r="AK1264" s="50"/>
      <c r="AL1264" s="50"/>
      <c r="AM1264" s="11"/>
      <c r="AN1264" s="50"/>
      <c r="AO1264" s="50"/>
      <c r="AP1264" s="50"/>
      <c r="AQ1264" s="11"/>
      <c r="AR1264" s="50"/>
      <c r="AS1264" s="50"/>
      <c r="AT1264" s="50"/>
      <c r="AU1264" s="11"/>
      <c r="AV1264" s="50"/>
      <c r="AW1264" s="50"/>
      <c r="AX1264" s="50"/>
      <c r="AY1264" s="50"/>
      <c r="AZ1264" s="50"/>
      <c r="BA1264" s="50"/>
      <c r="BB1264" s="50"/>
      <c r="BC1264" s="50"/>
      <c r="BD1264" s="50"/>
      <c r="BE1264" s="20"/>
      <c r="BF1264" s="518"/>
      <c r="BG1264" s="484"/>
      <c r="BH1264" s="484"/>
      <c r="BI1264" s="527"/>
      <c r="BJ1264" s="484"/>
      <c r="BK1264" s="484"/>
      <c r="BL1264" s="484"/>
      <c r="BM1264" s="484"/>
    </row>
    <row r="1265" spans="1:65" s="22" customFormat="1" x14ac:dyDescent="0.25">
      <c r="A1265" s="20"/>
      <c r="B1265" s="515"/>
      <c r="C1265" s="11"/>
      <c r="D1265" s="11"/>
      <c r="E1265" s="11"/>
      <c r="F1265" s="21"/>
      <c r="G1265" s="11"/>
      <c r="H1265" s="50"/>
      <c r="I1265" s="50"/>
      <c r="J1265" s="50"/>
      <c r="K1265" s="11"/>
      <c r="L1265" s="50"/>
      <c r="M1265" s="50"/>
      <c r="N1265" s="50"/>
      <c r="O1265" s="50"/>
      <c r="P1265" s="50"/>
      <c r="Q1265" s="11"/>
      <c r="R1265" s="50"/>
      <c r="S1265" s="50"/>
      <c r="T1265" s="50"/>
      <c r="U1265" s="11"/>
      <c r="V1265" s="50"/>
      <c r="W1265" s="50"/>
      <c r="X1265" s="50"/>
      <c r="Y1265" s="50"/>
      <c r="Z1265" s="50"/>
      <c r="AA1265" s="11"/>
      <c r="AB1265" s="50"/>
      <c r="AC1265" s="50"/>
      <c r="AD1265" s="50"/>
      <c r="AE1265" s="11"/>
      <c r="AF1265" s="50"/>
      <c r="AG1265" s="50"/>
      <c r="AH1265" s="50"/>
      <c r="AI1265" s="11"/>
      <c r="AJ1265" s="50"/>
      <c r="AK1265" s="50"/>
      <c r="AL1265" s="50"/>
      <c r="AM1265" s="11"/>
      <c r="AN1265" s="50"/>
      <c r="AO1265" s="50"/>
      <c r="AP1265" s="50"/>
      <c r="AQ1265" s="11"/>
      <c r="AR1265" s="50"/>
      <c r="AS1265" s="50"/>
      <c r="AT1265" s="50"/>
      <c r="AU1265" s="11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20"/>
      <c r="BF1265" s="518"/>
      <c r="BG1265" s="484"/>
      <c r="BH1265" s="484"/>
      <c r="BI1265" s="527"/>
      <c r="BJ1265" s="484"/>
      <c r="BK1265" s="484"/>
      <c r="BL1265" s="484"/>
      <c r="BM1265" s="484"/>
    </row>
    <row r="1266" spans="1:65" s="22" customFormat="1" x14ac:dyDescent="0.25">
      <c r="A1266" s="20"/>
      <c r="B1266" s="515"/>
      <c r="C1266" s="11"/>
      <c r="D1266" s="11"/>
      <c r="E1266" s="11"/>
      <c r="F1266" s="21"/>
      <c r="G1266" s="11"/>
      <c r="H1266" s="50"/>
      <c r="I1266" s="50"/>
      <c r="J1266" s="50"/>
      <c r="K1266" s="11"/>
      <c r="L1266" s="50"/>
      <c r="M1266" s="50"/>
      <c r="N1266" s="50"/>
      <c r="O1266" s="50"/>
      <c r="P1266" s="50"/>
      <c r="Q1266" s="11"/>
      <c r="R1266" s="50"/>
      <c r="S1266" s="50"/>
      <c r="T1266" s="50"/>
      <c r="U1266" s="11"/>
      <c r="V1266" s="50"/>
      <c r="W1266" s="50"/>
      <c r="X1266" s="50"/>
      <c r="Y1266" s="50"/>
      <c r="Z1266" s="50"/>
      <c r="AA1266" s="11"/>
      <c r="AB1266" s="50"/>
      <c r="AC1266" s="50"/>
      <c r="AD1266" s="50"/>
      <c r="AE1266" s="11"/>
      <c r="AF1266" s="50"/>
      <c r="AG1266" s="50"/>
      <c r="AH1266" s="50"/>
      <c r="AI1266" s="11"/>
      <c r="AJ1266" s="50"/>
      <c r="AK1266" s="50"/>
      <c r="AL1266" s="50"/>
      <c r="AM1266" s="11"/>
      <c r="AN1266" s="50"/>
      <c r="AO1266" s="50"/>
      <c r="AP1266" s="50"/>
      <c r="AQ1266" s="11"/>
      <c r="AR1266" s="50"/>
      <c r="AS1266" s="50"/>
      <c r="AT1266" s="50"/>
      <c r="AU1266" s="11"/>
      <c r="AV1266" s="50"/>
      <c r="AW1266" s="50"/>
      <c r="AX1266" s="50"/>
      <c r="AY1266" s="50"/>
      <c r="AZ1266" s="50"/>
      <c r="BA1266" s="50"/>
      <c r="BB1266" s="50"/>
      <c r="BC1266" s="50"/>
      <c r="BD1266" s="50"/>
      <c r="BE1266" s="20"/>
      <c r="BF1266" s="518"/>
      <c r="BG1266" s="484"/>
      <c r="BH1266" s="484"/>
      <c r="BI1266" s="527"/>
      <c r="BJ1266" s="484"/>
      <c r="BK1266" s="484"/>
      <c r="BL1266" s="484"/>
      <c r="BM1266" s="484"/>
    </row>
    <row r="1267" spans="1:65" s="22" customFormat="1" x14ac:dyDescent="0.25">
      <c r="A1267" s="20"/>
      <c r="B1267" s="515"/>
      <c r="C1267" s="11"/>
      <c r="D1267" s="11"/>
      <c r="E1267" s="11"/>
      <c r="F1267" s="21"/>
      <c r="G1267" s="11"/>
      <c r="H1267" s="50"/>
      <c r="I1267" s="50"/>
      <c r="J1267" s="50"/>
      <c r="K1267" s="11"/>
      <c r="L1267" s="50"/>
      <c r="M1267" s="50"/>
      <c r="N1267" s="50"/>
      <c r="O1267" s="50"/>
      <c r="P1267" s="50"/>
      <c r="Q1267" s="11"/>
      <c r="R1267" s="50"/>
      <c r="S1267" s="50"/>
      <c r="T1267" s="50"/>
      <c r="U1267" s="11"/>
      <c r="V1267" s="50"/>
      <c r="W1267" s="50"/>
      <c r="X1267" s="50"/>
      <c r="Y1267" s="50"/>
      <c r="Z1267" s="50"/>
      <c r="AA1267" s="11"/>
      <c r="AB1267" s="50"/>
      <c r="AC1267" s="50"/>
      <c r="AD1267" s="50"/>
      <c r="AE1267" s="11"/>
      <c r="AF1267" s="50"/>
      <c r="AG1267" s="50"/>
      <c r="AH1267" s="50"/>
      <c r="AI1267" s="11"/>
      <c r="AJ1267" s="50"/>
      <c r="AK1267" s="50"/>
      <c r="AL1267" s="50"/>
      <c r="AM1267" s="11"/>
      <c r="AN1267" s="50"/>
      <c r="AO1267" s="50"/>
      <c r="AP1267" s="50"/>
      <c r="AQ1267" s="11"/>
      <c r="AR1267" s="50"/>
      <c r="AS1267" s="50"/>
      <c r="AT1267" s="50"/>
      <c r="AU1267" s="11"/>
      <c r="AV1267" s="50"/>
      <c r="AW1267" s="50"/>
      <c r="AX1267" s="50"/>
      <c r="AY1267" s="50"/>
      <c r="AZ1267" s="50"/>
      <c r="BA1267" s="50"/>
      <c r="BB1267" s="50"/>
      <c r="BC1267" s="50"/>
      <c r="BD1267" s="50"/>
      <c r="BE1267" s="20"/>
      <c r="BF1267" s="518"/>
      <c r="BG1267" s="484"/>
      <c r="BH1267" s="484"/>
      <c r="BI1267" s="527"/>
      <c r="BJ1267" s="484"/>
      <c r="BK1267" s="484"/>
      <c r="BL1267" s="484"/>
      <c r="BM1267" s="484"/>
    </row>
    <row r="1268" spans="1:65" s="22" customFormat="1" x14ac:dyDescent="0.25">
      <c r="A1268" s="20"/>
      <c r="B1268" s="515"/>
      <c r="C1268" s="11"/>
      <c r="D1268" s="11"/>
      <c r="E1268" s="11"/>
      <c r="F1268" s="21"/>
      <c r="G1268" s="11"/>
      <c r="H1268" s="50"/>
      <c r="I1268" s="50"/>
      <c r="J1268" s="50"/>
      <c r="K1268" s="11"/>
      <c r="L1268" s="50"/>
      <c r="M1268" s="50"/>
      <c r="N1268" s="50"/>
      <c r="O1268" s="50"/>
      <c r="P1268" s="50"/>
      <c r="Q1268" s="11"/>
      <c r="R1268" s="50"/>
      <c r="S1268" s="50"/>
      <c r="T1268" s="50"/>
      <c r="U1268" s="11"/>
      <c r="V1268" s="50"/>
      <c r="W1268" s="50"/>
      <c r="X1268" s="50"/>
      <c r="Y1268" s="50"/>
      <c r="Z1268" s="50"/>
      <c r="AA1268" s="11"/>
      <c r="AB1268" s="50"/>
      <c r="AC1268" s="50"/>
      <c r="AD1268" s="50"/>
      <c r="AE1268" s="11"/>
      <c r="AF1268" s="50"/>
      <c r="AG1268" s="50"/>
      <c r="AH1268" s="50"/>
      <c r="AI1268" s="11"/>
      <c r="AJ1268" s="50"/>
      <c r="AK1268" s="50"/>
      <c r="AL1268" s="50"/>
      <c r="AM1268" s="11"/>
      <c r="AN1268" s="50"/>
      <c r="AO1268" s="50"/>
      <c r="AP1268" s="50"/>
      <c r="AQ1268" s="11"/>
      <c r="AR1268" s="50"/>
      <c r="AS1268" s="50"/>
      <c r="AT1268" s="50"/>
      <c r="AU1268" s="11"/>
      <c r="AV1268" s="50"/>
      <c r="AW1268" s="50"/>
      <c r="AX1268" s="50"/>
      <c r="AY1268" s="50"/>
      <c r="AZ1268" s="50"/>
      <c r="BA1268" s="50"/>
      <c r="BB1268" s="50"/>
      <c r="BC1268" s="50"/>
      <c r="BD1268" s="50"/>
      <c r="BE1268" s="20"/>
      <c r="BF1268" s="518"/>
      <c r="BG1268" s="484"/>
      <c r="BH1268" s="484"/>
      <c r="BI1268" s="527"/>
      <c r="BJ1268" s="484"/>
      <c r="BK1268" s="484"/>
      <c r="BL1268" s="484"/>
      <c r="BM1268" s="484"/>
    </row>
    <row r="1269" spans="1:65" s="22" customFormat="1" x14ac:dyDescent="0.25">
      <c r="A1269" s="20"/>
      <c r="B1269" s="515"/>
      <c r="C1269" s="11"/>
      <c r="D1269" s="11"/>
      <c r="E1269" s="11"/>
      <c r="F1269" s="21"/>
      <c r="G1269" s="11"/>
      <c r="H1269" s="50"/>
      <c r="I1269" s="50"/>
      <c r="J1269" s="50"/>
      <c r="K1269" s="11"/>
      <c r="L1269" s="50"/>
      <c r="M1269" s="50"/>
      <c r="N1269" s="50"/>
      <c r="O1269" s="50"/>
      <c r="P1269" s="50"/>
      <c r="Q1269" s="11"/>
      <c r="R1269" s="50"/>
      <c r="S1269" s="50"/>
      <c r="T1269" s="50"/>
      <c r="U1269" s="11"/>
      <c r="V1269" s="50"/>
      <c r="W1269" s="50"/>
      <c r="X1269" s="50"/>
      <c r="Y1269" s="50"/>
      <c r="Z1269" s="50"/>
      <c r="AA1269" s="11"/>
      <c r="AB1269" s="50"/>
      <c r="AC1269" s="50"/>
      <c r="AD1269" s="50"/>
      <c r="AE1269" s="11"/>
      <c r="AF1269" s="50"/>
      <c r="AG1269" s="50"/>
      <c r="AH1269" s="50"/>
      <c r="AI1269" s="11"/>
      <c r="AJ1269" s="50"/>
      <c r="AK1269" s="50"/>
      <c r="AL1269" s="50"/>
      <c r="AM1269" s="11"/>
      <c r="AN1269" s="50"/>
      <c r="AO1269" s="50"/>
      <c r="AP1269" s="50"/>
      <c r="AQ1269" s="11"/>
      <c r="AR1269" s="50"/>
      <c r="AS1269" s="50"/>
      <c r="AT1269" s="50"/>
      <c r="AU1269" s="11"/>
      <c r="AV1269" s="50"/>
      <c r="AW1269" s="50"/>
      <c r="AX1269" s="50"/>
      <c r="AY1269" s="50"/>
      <c r="AZ1269" s="50"/>
      <c r="BA1269" s="50"/>
      <c r="BB1269" s="50"/>
      <c r="BC1269" s="50"/>
      <c r="BD1269" s="50"/>
      <c r="BE1269" s="20"/>
      <c r="BF1269" s="518"/>
      <c r="BG1269" s="484"/>
      <c r="BH1269" s="484"/>
      <c r="BI1269" s="527"/>
      <c r="BJ1269" s="484"/>
      <c r="BK1269" s="484"/>
      <c r="BL1269" s="484"/>
      <c r="BM1269" s="484"/>
    </row>
    <row r="1270" spans="1:65" s="22" customFormat="1" x14ac:dyDescent="0.25">
      <c r="A1270" s="20"/>
      <c r="B1270" s="515"/>
      <c r="C1270" s="11"/>
      <c r="D1270" s="11"/>
      <c r="E1270" s="11"/>
      <c r="F1270" s="21"/>
      <c r="G1270" s="11"/>
      <c r="H1270" s="50"/>
      <c r="I1270" s="50"/>
      <c r="J1270" s="50"/>
      <c r="K1270" s="11"/>
      <c r="L1270" s="50"/>
      <c r="M1270" s="50"/>
      <c r="N1270" s="50"/>
      <c r="O1270" s="50"/>
      <c r="P1270" s="50"/>
      <c r="Q1270" s="11"/>
      <c r="R1270" s="50"/>
      <c r="S1270" s="50"/>
      <c r="T1270" s="50"/>
      <c r="U1270" s="11"/>
      <c r="V1270" s="50"/>
      <c r="W1270" s="50"/>
      <c r="X1270" s="50"/>
      <c r="Y1270" s="50"/>
      <c r="Z1270" s="50"/>
      <c r="AA1270" s="11"/>
      <c r="AB1270" s="50"/>
      <c r="AC1270" s="50"/>
      <c r="AD1270" s="50"/>
      <c r="AE1270" s="11"/>
      <c r="AF1270" s="50"/>
      <c r="AG1270" s="50"/>
      <c r="AH1270" s="50"/>
      <c r="AI1270" s="11"/>
      <c r="AJ1270" s="50"/>
      <c r="AK1270" s="50"/>
      <c r="AL1270" s="50"/>
      <c r="AM1270" s="11"/>
      <c r="AN1270" s="50"/>
      <c r="AO1270" s="50"/>
      <c r="AP1270" s="50"/>
      <c r="AQ1270" s="11"/>
      <c r="AR1270" s="50"/>
      <c r="AS1270" s="50"/>
      <c r="AT1270" s="50"/>
      <c r="AU1270" s="11"/>
      <c r="AV1270" s="50"/>
      <c r="AW1270" s="50"/>
      <c r="AX1270" s="50"/>
      <c r="AY1270" s="50"/>
      <c r="AZ1270" s="50"/>
      <c r="BA1270" s="50"/>
      <c r="BB1270" s="50"/>
      <c r="BC1270" s="50"/>
      <c r="BD1270" s="50"/>
      <c r="BE1270" s="20"/>
      <c r="BF1270" s="518"/>
      <c r="BG1270" s="484"/>
      <c r="BH1270" s="484"/>
      <c r="BI1270" s="527"/>
      <c r="BJ1270" s="484"/>
      <c r="BK1270" s="484"/>
      <c r="BL1270" s="484"/>
      <c r="BM1270" s="484"/>
    </row>
    <row r="1271" spans="1:65" s="22" customFormat="1" x14ac:dyDescent="0.25">
      <c r="A1271" s="20"/>
      <c r="B1271" s="515"/>
      <c r="C1271" s="11"/>
      <c r="D1271" s="11"/>
      <c r="E1271" s="11"/>
      <c r="F1271" s="21"/>
      <c r="G1271" s="11"/>
      <c r="H1271" s="50"/>
      <c r="I1271" s="50"/>
      <c r="J1271" s="50"/>
      <c r="K1271" s="11"/>
      <c r="L1271" s="50"/>
      <c r="M1271" s="50"/>
      <c r="N1271" s="50"/>
      <c r="O1271" s="50"/>
      <c r="P1271" s="50"/>
      <c r="Q1271" s="11"/>
      <c r="R1271" s="50"/>
      <c r="S1271" s="50"/>
      <c r="T1271" s="50"/>
      <c r="U1271" s="11"/>
      <c r="V1271" s="50"/>
      <c r="W1271" s="50"/>
      <c r="X1271" s="50"/>
      <c r="Y1271" s="50"/>
      <c r="Z1271" s="50"/>
      <c r="AA1271" s="11"/>
      <c r="AB1271" s="50"/>
      <c r="AC1271" s="50"/>
      <c r="AD1271" s="50"/>
      <c r="AE1271" s="11"/>
      <c r="AF1271" s="50"/>
      <c r="AG1271" s="50"/>
      <c r="AH1271" s="50"/>
      <c r="AI1271" s="11"/>
      <c r="AJ1271" s="50"/>
      <c r="AK1271" s="50"/>
      <c r="AL1271" s="50"/>
      <c r="AM1271" s="11"/>
      <c r="AN1271" s="50"/>
      <c r="AO1271" s="50"/>
      <c r="AP1271" s="50"/>
      <c r="AQ1271" s="11"/>
      <c r="AR1271" s="50"/>
      <c r="AS1271" s="50"/>
      <c r="AT1271" s="50"/>
      <c r="AU1271" s="11"/>
      <c r="AV1271" s="50"/>
      <c r="AW1271" s="50"/>
      <c r="AX1271" s="50"/>
      <c r="AY1271" s="50"/>
      <c r="AZ1271" s="50"/>
      <c r="BA1271" s="50"/>
      <c r="BB1271" s="50"/>
      <c r="BC1271" s="50"/>
      <c r="BD1271" s="50"/>
      <c r="BE1271" s="20"/>
      <c r="BF1271" s="518"/>
      <c r="BG1271" s="484"/>
      <c r="BH1271" s="484"/>
      <c r="BI1271" s="527"/>
      <c r="BJ1271" s="484"/>
      <c r="BK1271" s="484"/>
      <c r="BL1271" s="484"/>
      <c r="BM1271" s="484"/>
    </row>
    <row r="1272" spans="1:65" s="22" customFormat="1" x14ac:dyDescent="0.25">
      <c r="A1272" s="20"/>
      <c r="B1272" s="515"/>
      <c r="C1272" s="11"/>
      <c r="D1272" s="11"/>
      <c r="E1272" s="11"/>
      <c r="F1272" s="21"/>
      <c r="G1272" s="11"/>
      <c r="H1272" s="50"/>
      <c r="I1272" s="50"/>
      <c r="J1272" s="50"/>
      <c r="K1272" s="11"/>
      <c r="L1272" s="50"/>
      <c r="M1272" s="50"/>
      <c r="N1272" s="50"/>
      <c r="O1272" s="50"/>
      <c r="P1272" s="50"/>
      <c r="Q1272" s="11"/>
      <c r="R1272" s="50"/>
      <c r="S1272" s="50"/>
      <c r="T1272" s="50"/>
      <c r="U1272" s="11"/>
      <c r="V1272" s="50"/>
      <c r="W1272" s="50"/>
      <c r="X1272" s="50"/>
      <c r="Y1272" s="50"/>
      <c r="Z1272" s="50"/>
      <c r="AA1272" s="11"/>
      <c r="AB1272" s="50"/>
      <c r="AC1272" s="50"/>
      <c r="AD1272" s="50"/>
      <c r="AE1272" s="11"/>
      <c r="AF1272" s="50"/>
      <c r="AG1272" s="50"/>
      <c r="AH1272" s="50"/>
      <c r="AI1272" s="11"/>
      <c r="AJ1272" s="50"/>
      <c r="AK1272" s="50"/>
      <c r="AL1272" s="50"/>
      <c r="AM1272" s="11"/>
      <c r="AN1272" s="50"/>
      <c r="AO1272" s="50"/>
      <c r="AP1272" s="50"/>
      <c r="AQ1272" s="11"/>
      <c r="AR1272" s="50"/>
      <c r="AS1272" s="50"/>
      <c r="AT1272" s="50"/>
      <c r="AU1272" s="11"/>
      <c r="AV1272" s="50"/>
      <c r="AW1272" s="50"/>
      <c r="AX1272" s="50"/>
      <c r="AY1272" s="50"/>
      <c r="AZ1272" s="50"/>
      <c r="BA1272" s="50"/>
      <c r="BB1272" s="50"/>
      <c r="BC1272" s="50"/>
      <c r="BD1272" s="50"/>
      <c r="BE1272" s="20"/>
      <c r="BF1272" s="518"/>
      <c r="BG1272" s="484"/>
      <c r="BH1272" s="484"/>
      <c r="BI1272" s="527"/>
      <c r="BJ1272" s="484"/>
      <c r="BK1272" s="484"/>
      <c r="BL1272" s="484"/>
      <c r="BM1272" s="484"/>
    </row>
    <row r="1273" spans="1:65" s="22" customFormat="1" x14ac:dyDescent="0.25">
      <c r="A1273" s="20"/>
      <c r="B1273" s="515"/>
      <c r="C1273" s="11"/>
      <c r="D1273" s="11"/>
      <c r="E1273" s="11"/>
      <c r="F1273" s="21"/>
      <c r="G1273" s="11"/>
      <c r="H1273" s="50"/>
      <c r="I1273" s="50"/>
      <c r="J1273" s="50"/>
      <c r="K1273" s="11"/>
      <c r="L1273" s="50"/>
      <c r="M1273" s="50"/>
      <c r="N1273" s="50"/>
      <c r="O1273" s="50"/>
      <c r="P1273" s="50"/>
      <c r="Q1273" s="11"/>
      <c r="R1273" s="50"/>
      <c r="S1273" s="50"/>
      <c r="T1273" s="50"/>
      <c r="U1273" s="11"/>
      <c r="V1273" s="50"/>
      <c r="W1273" s="50"/>
      <c r="X1273" s="50"/>
      <c r="Y1273" s="50"/>
      <c r="Z1273" s="50"/>
      <c r="AA1273" s="11"/>
      <c r="AB1273" s="50"/>
      <c r="AC1273" s="50"/>
      <c r="AD1273" s="50"/>
      <c r="AE1273" s="11"/>
      <c r="AF1273" s="50"/>
      <c r="AG1273" s="50"/>
      <c r="AH1273" s="50"/>
      <c r="AI1273" s="11"/>
      <c r="AJ1273" s="50"/>
      <c r="AK1273" s="50"/>
      <c r="AL1273" s="50"/>
      <c r="AM1273" s="11"/>
      <c r="AN1273" s="50"/>
      <c r="AO1273" s="50"/>
      <c r="AP1273" s="50"/>
      <c r="AQ1273" s="11"/>
      <c r="AR1273" s="50"/>
      <c r="AS1273" s="50"/>
      <c r="AT1273" s="50"/>
      <c r="AU1273" s="11"/>
      <c r="AV1273" s="50"/>
      <c r="AW1273" s="50"/>
      <c r="AX1273" s="50"/>
      <c r="AY1273" s="50"/>
      <c r="AZ1273" s="50"/>
      <c r="BA1273" s="50"/>
      <c r="BB1273" s="50"/>
      <c r="BC1273" s="50"/>
      <c r="BD1273" s="50"/>
      <c r="BE1273" s="20"/>
      <c r="BF1273" s="518"/>
      <c r="BG1273" s="484"/>
      <c r="BH1273" s="484"/>
      <c r="BI1273" s="527"/>
      <c r="BJ1273" s="484"/>
      <c r="BK1273" s="484"/>
      <c r="BL1273" s="484"/>
      <c r="BM1273" s="484"/>
    </row>
    <row r="1274" spans="1:65" s="22" customFormat="1" x14ac:dyDescent="0.25">
      <c r="A1274" s="20"/>
      <c r="B1274" s="515"/>
      <c r="C1274" s="11"/>
      <c r="D1274" s="11"/>
      <c r="E1274" s="11"/>
      <c r="F1274" s="21"/>
      <c r="G1274" s="11"/>
      <c r="H1274" s="50"/>
      <c r="I1274" s="50"/>
      <c r="J1274" s="50"/>
      <c r="K1274" s="11"/>
      <c r="L1274" s="50"/>
      <c r="M1274" s="50"/>
      <c r="N1274" s="50"/>
      <c r="O1274" s="50"/>
      <c r="P1274" s="50"/>
      <c r="Q1274" s="11"/>
      <c r="R1274" s="50"/>
      <c r="S1274" s="50"/>
      <c r="T1274" s="50"/>
      <c r="U1274" s="11"/>
      <c r="V1274" s="50"/>
      <c r="W1274" s="50"/>
      <c r="X1274" s="50"/>
      <c r="Y1274" s="50"/>
      <c r="Z1274" s="50"/>
      <c r="AA1274" s="11"/>
      <c r="AB1274" s="50"/>
      <c r="AC1274" s="50"/>
      <c r="AD1274" s="50"/>
      <c r="AE1274" s="11"/>
      <c r="AF1274" s="50"/>
      <c r="AG1274" s="50"/>
      <c r="AH1274" s="50"/>
      <c r="AI1274" s="11"/>
      <c r="AJ1274" s="50"/>
      <c r="AK1274" s="50"/>
      <c r="AL1274" s="50"/>
      <c r="AM1274" s="11"/>
      <c r="AN1274" s="50"/>
      <c r="AO1274" s="50"/>
      <c r="AP1274" s="50"/>
      <c r="AQ1274" s="11"/>
      <c r="AR1274" s="50"/>
      <c r="AS1274" s="50"/>
      <c r="AT1274" s="50"/>
      <c r="AU1274" s="11"/>
      <c r="AV1274" s="50"/>
      <c r="AW1274" s="50"/>
      <c r="AX1274" s="50"/>
      <c r="AY1274" s="50"/>
      <c r="AZ1274" s="50"/>
      <c r="BA1274" s="50"/>
      <c r="BB1274" s="50"/>
      <c r="BC1274" s="50"/>
      <c r="BD1274" s="50"/>
      <c r="BE1274" s="20"/>
      <c r="BF1274" s="518"/>
      <c r="BG1274" s="484"/>
      <c r="BH1274" s="484"/>
      <c r="BI1274" s="527"/>
      <c r="BJ1274" s="484"/>
      <c r="BK1274" s="484"/>
      <c r="BL1274" s="484"/>
      <c r="BM1274" s="484"/>
    </row>
    <row r="1275" spans="1:65" s="22" customFormat="1" x14ac:dyDescent="0.25">
      <c r="A1275" s="20"/>
      <c r="B1275" s="515"/>
      <c r="C1275" s="11"/>
      <c r="D1275" s="11"/>
      <c r="E1275" s="11"/>
      <c r="F1275" s="21"/>
      <c r="G1275" s="11"/>
      <c r="H1275" s="50"/>
      <c r="I1275" s="50"/>
      <c r="J1275" s="50"/>
      <c r="K1275" s="11"/>
      <c r="L1275" s="50"/>
      <c r="M1275" s="50"/>
      <c r="N1275" s="50"/>
      <c r="O1275" s="50"/>
      <c r="P1275" s="50"/>
      <c r="Q1275" s="11"/>
      <c r="R1275" s="50"/>
      <c r="S1275" s="50"/>
      <c r="T1275" s="50"/>
      <c r="U1275" s="11"/>
      <c r="V1275" s="50"/>
      <c r="W1275" s="50"/>
      <c r="X1275" s="50"/>
      <c r="Y1275" s="50"/>
      <c r="Z1275" s="50"/>
      <c r="AA1275" s="11"/>
      <c r="AB1275" s="50"/>
      <c r="AC1275" s="50"/>
      <c r="AD1275" s="50"/>
      <c r="AE1275" s="11"/>
      <c r="AF1275" s="50"/>
      <c r="AG1275" s="50"/>
      <c r="AH1275" s="50"/>
      <c r="AI1275" s="11"/>
      <c r="AJ1275" s="50"/>
      <c r="AK1275" s="50"/>
      <c r="AL1275" s="50"/>
      <c r="AM1275" s="11"/>
      <c r="AN1275" s="50"/>
      <c r="AO1275" s="50"/>
      <c r="AP1275" s="50"/>
      <c r="AQ1275" s="11"/>
      <c r="AR1275" s="50"/>
      <c r="AS1275" s="50"/>
      <c r="AT1275" s="50"/>
      <c r="AU1275" s="11"/>
      <c r="AV1275" s="50"/>
      <c r="AW1275" s="50"/>
      <c r="AX1275" s="50"/>
      <c r="AY1275" s="50"/>
      <c r="AZ1275" s="50"/>
      <c r="BA1275" s="50"/>
      <c r="BB1275" s="50"/>
      <c r="BC1275" s="50"/>
      <c r="BD1275" s="50"/>
      <c r="BE1275" s="20"/>
      <c r="BF1275" s="518"/>
      <c r="BG1275" s="484"/>
      <c r="BH1275" s="484"/>
      <c r="BI1275" s="527"/>
      <c r="BJ1275" s="484"/>
      <c r="BK1275" s="484"/>
      <c r="BL1275" s="484"/>
      <c r="BM1275" s="484"/>
    </row>
    <row r="1276" spans="1:65" s="22" customFormat="1" x14ac:dyDescent="0.25">
      <c r="A1276" s="20"/>
      <c r="B1276" s="515"/>
      <c r="C1276" s="11"/>
      <c r="D1276" s="11"/>
      <c r="E1276" s="11"/>
      <c r="F1276" s="21"/>
      <c r="G1276" s="11"/>
      <c r="H1276" s="50"/>
      <c r="I1276" s="50"/>
      <c r="J1276" s="50"/>
      <c r="K1276" s="11"/>
      <c r="L1276" s="50"/>
      <c r="M1276" s="50"/>
      <c r="N1276" s="50"/>
      <c r="O1276" s="50"/>
      <c r="P1276" s="50"/>
      <c r="Q1276" s="11"/>
      <c r="R1276" s="50"/>
      <c r="S1276" s="50"/>
      <c r="T1276" s="50"/>
      <c r="U1276" s="11"/>
      <c r="V1276" s="50"/>
      <c r="W1276" s="50"/>
      <c r="X1276" s="50"/>
      <c r="Y1276" s="50"/>
      <c r="Z1276" s="50"/>
      <c r="AA1276" s="11"/>
      <c r="AB1276" s="50"/>
      <c r="AC1276" s="50"/>
      <c r="AD1276" s="50"/>
      <c r="AE1276" s="11"/>
      <c r="AF1276" s="50"/>
      <c r="AG1276" s="50"/>
      <c r="AH1276" s="50"/>
      <c r="AI1276" s="11"/>
      <c r="AJ1276" s="50"/>
      <c r="AK1276" s="50"/>
      <c r="AL1276" s="50"/>
      <c r="AM1276" s="11"/>
      <c r="AN1276" s="50"/>
      <c r="AO1276" s="50"/>
      <c r="AP1276" s="50"/>
      <c r="AQ1276" s="11"/>
      <c r="AR1276" s="50"/>
      <c r="AS1276" s="50"/>
      <c r="AT1276" s="50"/>
      <c r="AU1276" s="11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20"/>
      <c r="BF1276" s="518"/>
      <c r="BG1276" s="484"/>
      <c r="BH1276" s="484"/>
      <c r="BI1276" s="527"/>
      <c r="BJ1276" s="484"/>
      <c r="BK1276" s="484"/>
      <c r="BL1276" s="484"/>
      <c r="BM1276" s="484"/>
    </row>
    <row r="1277" spans="1:65" s="22" customFormat="1" x14ac:dyDescent="0.25">
      <c r="A1277" s="20"/>
      <c r="B1277" s="515"/>
      <c r="C1277" s="11"/>
      <c r="D1277" s="11"/>
      <c r="E1277" s="11"/>
      <c r="F1277" s="21"/>
      <c r="G1277" s="11"/>
      <c r="H1277" s="50"/>
      <c r="I1277" s="50"/>
      <c r="J1277" s="50"/>
      <c r="K1277" s="11"/>
      <c r="L1277" s="50"/>
      <c r="M1277" s="50"/>
      <c r="N1277" s="50"/>
      <c r="O1277" s="50"/>
      <c r="P1277" s="50"/>
      <c r="Q1277" s="11"/>
      <c r="R1277" s="50"/>
      <c r="S1277" s="50"/>
      <c r="T1277" s="50"/>
      <c r="U1277" s="11"/>
      <c r="V1277" s="50"/>
      <c r="W1277" s="50"/>
      <c r="X1277" s="50"/>
      <c r="Y1277" s="50"/>
      <c r="Z1277" s="50"/>
      <c r="AA1277" s="11"/>
      <c r="AB1277" s="50"/>
      <c r="AC1277" s="50"/>
      <c r="AD1277" s="50"/>
      <c r="AE1277" s="11"/>
      <c r="AF1277" s="50"/>
      <c r="AG1277" s="50"/>
      <c r="AH1277" s="50"/>
      <c r="AI1277" s="11"/>
      <c r="AJ1277" s="50"/>
      <c r="AK1277" s="50"/>
      <c r="AL1277" s="50"/>
      <c r="AM1277" s="11"/>
      <c r="AN1277" s="50"/>
      <c r="AO1277" s="50"/>
      <c r="AP1277" s="50"/>
      <c r="AQ1277" s="11"/>
      <c r="AR1277" s="50"/>
      <c r="AS1277" s="50"/>
      <c r="AT1277" s="50"/>
      <c r="AU1277" s="11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20"/>
      <c r="BF1277" s="518"/>
      <c r="BG1277" s="484"/>
      <c r="BH1277" s="484"/>
      <c r="BI1277" s="527"/>
      <c r="BJ1277" s="484"/>
      <c r="BK1277" s="484"/>
      <c r="BL1277" s="484"/>
      <c r="BM1277" s="484"/>
    </row>
    <row r="1278" spans="1:65" s="22" customFormat="1" x14ac:dyDescent="0.25">
      <c r="A1278" s="20"/>
      <c r="B1278" s="515"/>
      <c r="C1278" s="11"/>
      <c r="D1278" s="11"/>
      <c r="E1278" s="11"/>
      <c r="F1278" s="21"/>
      <c r="G1278" s="11"/>
      <c r="H1278" s="50"/>
      <c r="I1278" s="50"/>
      <c r="J1278" s="50"/>
      <c r="K1278" s="11"/>
      <c r="L1278" s="50"/>
      <c r="M1278" s="50"/>
      <c r="N1278" s="50"/>
      <c r="O1278" s="50"/>
      <c r="P1278" s="50"/>
      <c r="Q1278" s="11"/>
      <c r="R1278" s="50"/>
      <c r="S1278" s="50"/>
      <c r="T1278" s="50"/>
      <c r="U1278" s="11"/>
      <c r="V1278" s="50"/>
      <c r="W1278" s="50"/>
      <c r="X1278" s="50"/>
      <c r="Y1278" s="50"/>
      <c r="Z1278" s="50"/>
      <c r="AA1278" s="11"/>
      <c r="AB1278" s="50"/>
      <c r="AC1278" s="50"/>
      <c r="AD1278" s="50"/>
      <c r="AE1278" s="11"/>
      <c r="AF1278" s="50"/>
      <c r="AG1278" s="50"/>
      <c r="AH1278" s="50"/>
      <c r="AI1278" s="11"/>
      <c r="AJ1278" s="50"/>
      <c r="AK1278" s="50"/>
      <c r="AL1278" s="50"/>
      <c r="AM1278" s="11"/>
      <c r="AN1278" s="50"/>
      <c r="AO1278" s="50"/>
      <c r="AP1278" s="50"/>
      <c r="AQ1278" s="11"/>
      <c r="AR1278" s="50"/>
      <c r="AS1278" s="50"/>
      <c r="AT1278" s="50"/>
      <c r="AU1278" s="11"/>
      <c r="AV1278" s="50"/>
      <c r="AW1278" s="50"/>
      <c r="AX1278" s="50"/>
      <c r="AY1278" s="50"/>
      <c r="AZ1278" s="50"/>
      <c r="BA1278" s="50"/>
      <c r="BB1278" s="50"/>
      <c r="BC1278" s="50"/>
      <c r="BD1278" s="50"/>
      <c r="BE1278" s="20"/>
      <c r="BF1278" s="518"/>
      <c r="BG1278" s="484"/>
      <c r="BH1278" s="484"/>
      <c r="BI1278" s="527"/>
      <c r="BJ1278" s="484"/>
      <c r="BK1278" s="484"/>
      <c r="BL1278" s="484"/>
      <c r="BM1278" s="484"/>
    </row>
    <row r="1279" spans="1:65" s="22" customFormat="1" x14ac:dyDescent="0.25">
      <c r="A1279" s="20"/>
      <c r="B1279" s="515"/>
      <c r="C1279" s="11"/>
      <c r="D1279" s="11"/>
      <c r="E1279" s="11"/>
      <c r="F1279" s="21"/>
      <c r="G1279" s="11"/>
      <c r="H1279" s="50"/>
      <c r="I1279" s="50"/>
      <c r="J1279" s="50"/>
      <c r="K1279" s="11"/>
      <c r="L1279" s="50"/>
      <c r="M1279" s="50"/>
      <c r="N1279" s="50"/>
      <c r="O1279" s="50"/>
      <c r="P1279" s="50"/>
      <c r="Q1279" s="11"/>
      <c r="R1279" s="50"/>
      <c r="S1279" s="50"/>
      <c r="T1279" s="50"/>
      <c r="U1279" s="11"/>
      <c r="V1279" s="50"/>
      <c r="W1279" s="50"/>
      <c r="X1279" s="50"/>
      <c r="Y1279" s="50"/>
      <c r="Z1279" s="50"/>
      <c r="AA1279" s="11"/>
      <c r="AB1279" s="50"/>
      <c r="AC1279" s="50"/>
      <c r="AD1279" s="50"/>
      <c r="AE1279" s="11"/>
      <c r="AF1279" s="50"/>
      <c r="AG1279" s="50"/>
      <c r="AH1279" s="50"/>
      <c r="AI1279" s="11"/>
      <c r="AJ1279" s="50"/>
      <c r="AK1279" s="50"/>
      <c r="AL1279" s="50"/>
      <c r="AM1279" s="11"/>
      <c r="AN1279" s="50"/>
      <c r="AO1279" s="50"/>
      <c r="AP1279" s="50"/>
      <c r="AQ1279" s="11"/>
      <c r="AR1279" s="50"/>
      <c r="AS1279" s="50"/>
      <c r="AT1279" s="50"/>
      <c r="AU1279" s="11"/>
      <c r="AV1279" s="50"/>
      <c r="AW1279" s="50"/>
      <c r="AX1279" s="50"/>
      <c r="AY1279" s="50"/>
      <c r="AZ1279" s="50"/>
      <c r="BA1279" s="50"/>
      <c r="BB1279" s="50"/>
      <c r="BC1279" s="50"/>
      <c r="BD1279" s="50"/>
      <c r="BE1279" s="20"/>
      <c r="BF1279" s="518"/>
      <c r="BG1279" s="484"/>
      <c r="BH1279" s="484"/>
      <c r="BI1279" s="527"/>
      <c r="BJ1279" s="484"/>
      <c r="BK1279" s="484"/>
      <c r="BL1279" s="484"/>
      <c r="BM1279" s="484"/>
    </row>
    <row r="1280" spans="1:65" s="22" customFormat="1" x14ac:dyDescent="0.25">
      <c r="A1280" s="20"/>
      <c r="B1280" s="515"/>
      <c r="C1280" s="11"/>
      <c r="D1280" s="11"/>
      <c r="E1280" s="11"/>
      <c r="F1280" s="21"/>
      <c r="G1280" s="11"/>
      <c r="H1280" s="50"/>
      <c r="I1280" s="50"/>
      <c r="J1280" s="50"/>
      <c r="K1280" s="11"/>
      <c r="L1280" s="50"/>
      <c r="M1280" s="50"/>
      <c r="N1280" s="50"/>
      <c r="O1280" s="50"/>
      <c r="P1280" s="50"/>
      <c r="Q1280" s="11"/>
      <c r="R1280" s="50"/>
      <c r="S1280" s="50"/>
      <c r="T1280" s="50"/>
      <c r="U1280" s="11"/>
      <c r="V1280" s="50"/>
      <c r="W1280" s="50"/>
      <c r="X1280" s="50"/>
      <c r="Y1280" s="50"/>
      <c r="Z1280" s="50"/>
      <c r="AA1280" s="11"/>
      <c r="AB1280" s="50"/>
      <c r="AC1280" s="50"/>
      <c r="AD1280" s="50"/>
      <c r="AE1280" s="11"/>
      <c r="AF1280" s="50"/>
      <c r="AG1280" s="50"/>
      <c r="AH1280" s="50"/>
      <c r="AI1280" s="11"/>
      <c r="AJ1280" s="50"/>
      <c r="AK1280" s="50"/>
      <c r="AL1280" s="50"/>
      <c r="AM1280" s="11"/>
      <c r="AN1280" s="50"/>
      <c r="AO1280" s="50"/>
      <c r="AP1280" s="50"/>
      <c r="AQ1280" s="11"/>
      <c r="AR1280" s="50"/>
      <c r="AS1280" s="50"/>
      <c r="AT1280" s="50"/>
      <c r="AU1280" s="11"/>
      <c r="AV1280" s="50"/>
      <c r="AW1280" s="50"/>
      <c r="AX1280" s="50"/>
      <c r="AY1280" s="50"/>
      <c r="AZ1280" s="50"/>
      <c r="BA1280" s="50"/>
      <c r="BB1280" s="50"/>
      <c r="BC1280" s="50"/>
      <c r="BD1280" s="50"/>
      <c r="BE1280" s="20"/>
      <c r="BF1280" s="518"/>
      <c r="BG1280" s="484"/>
      <c r="BH1280" s="484"/>
      <c r="BI1280" s="527"/>
      <c r="BJ1280" s="484"/>
      <c r="BK1280" s="484"/>
      <c r="BL1280" s="484"/>
      <c r="BM1280" s="484"/>
    </row>
    <row r="1281" spans="1:65" s="22" customFormat="1" x14ac:dyDescent="0.25">
      <c r="A1281" s="20"/>
      <c r="B1281" s="515"/>
      <c r="C1281" s="11"/>
      <c r="D1281" s="11"/>
      <c r="E1281" s="11"/>
      <c r="F1281" s="21"/>
      <c r="G1281" s="11"/>
      <c r="H1281" s="50"/>
      <c r="I1281" s="50"/>
      <c r="J1281" s="50"/>
      <c r="K1281" s="11"/>
      <c r="L1281" s="50"/>
      <c r="M1281" s="50"/>
      <c r="N1281" s="50"/>
      <c r="O1281" s="50"/>
      <c r="P1281" s="50"/>
      <c r="Q1281" s="11"/>
      <c r="R1281" s="50"/>
      <c r="S1281" s="50"/>
      <c r="T1281" s="50"/>
      <c r="U1281" s="11"/>
      <c r="V1281" s="50"/>
      <c r="W1281" s="50"/>
      <c r="X1281" s="50"/>
      <c r="Y1281" s="50"/>
      <c r="Z1281" s="50"/>
      <c r="AA1281" s="11"/>
      <c r="AB1281" s="50"/>
      <c r="AC1281" s="50"/>
      <c r="AD1281" s="50"/>
      <c r="AE1281" s="11"/>
      <c r="AF1281" s="50"/>
      <c r="AG1281" s="50"/>
      <c r="AH1281" s="50"/>
      <c r="AI1281" s="11"/>
      <c r="AJ1281" s="50"/>
      <c r="AK1281" s="50"/>
      <c r="AL1281" s="50"/>
      <c r="AM1281" s="11"/>
      <c r="AN1281" s="50"/>
      <c r="AO1281" s="50"/>
      <c r="AP1281" s="50"/>
      <c r="AQ1281" s="11"/>
      <c r="AR1281" s="50"/>
      <c r="AS1281" s="50"/>
      <c r="AT1281" s="50"/>
      <c r="AU1281" s="11"/>
      <c r="AV1281" s="50"/>
      <c r="AW1281" s="50"/>
      <c r="AX1281" s="50"/>
      <c r="AY1281" s="50"/>
      <c r="AZ1281" s="50"/>
      <c r="BA1281" s="50"/>
      <c r="BB1281" s="50"/>
      <c r="BC1281" s="50"/>
      <c r="BD1281" s="50"/>
      <c r="BE1281" s="20"/>
      <c r="BF1281" s="518"/>
      <c r="BG1281" s="484"/>
      <c r="BH1281" s="484"/>
      <c r="BI1281" s="527"/>
      <c r="BJ1281" s="484"/>
      <c r="BK1281" s="484"/>
      <c r="BL1281" s="484"/>
      <c r="BM1281" s="484"/>
    </row>
    <row r="1282" spans="1:65" s="22" customFormat="1" x14ac:dyDescent="0.25">
      <c r="A1282" s="20"/>
      <c r="B1282" s="515"/>
      <c r="C1282" s="11"/>
      <c r="D1282" s="11"/>
      <c r="E1282" s="11"/>
      <c r="F1282" s="21"/>
      <c r="G1282" s="11"/>
      <c r="H1282" s="50"/>
      <c r="I1282" s="50"/>
      <c r="J1282" s="50"/>
      <c r="K1282" s="11"/>
      <c r="L1282" s="50"/>
      <c r="M1282" s="50"/>
      <c r="N1282" s="50"/>
      <c r="O1282" s="50"/>
      <c r="P1282" s="50"/>
      <c r="Q1282" s="11"/>
      <c r="R1282" s="50"/>
      <c r="S1282" s="50"/>
      <c r="T1282" s="50"/>
      <c r="U1282" s="11"/>
      <c r="V1282" s="50"/>
      <c r="W1282" s="50"/>
      <c r="X1282" s="50"/>
      <c r="Y1282" s="50"/>
      <c r="Z1282" s="50"/>
      <c r="AA1282" s="11"/>
      <c r="AB1282" s="50"/>
      <c r="AC1282" s="50"/>
      <c r="AD1282" s="50"/>
      <c r="AE1282" s="11"/>
      <c r="AF1282" s="50"/>
      <c r="AG1282" s="50"/>
      <c r="AH1282" s="50"/>
      <c r="AI1282" s="11"/>
      <c r="AJ1282" s="50"/>
      <c r="AK1282" s="50"/>
      <c r="AL1282" s="50"/>
      <c r="AM1282" s="11"/>
      <c r="AN1282" s="50"/>
      <c r="AO1282" s="50"/>
      <c r="AP1282" s="50"/>
      <c r="AQ1282" s="11"/>
      <c r="AR1282" s="50"/>
      <c r="AS1282" s="50"/>
      <c r="AT1282" s="50"/>
      <c r="AU1282" s="11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20"/>
      <c r="BF1282" s="518"/>
      <c r="BG1282" s="484"/>
      <c r="BH1282" s="484"/>
      <c r="BI1282" s="527"/>
      <c r="BJ1282" s="484"/>
      <c r="BK1282" s="484"/>
      <c r="BL1282" s="484"/>
      <c r="BM1282" s="484"/>
    </row>
    <row r="1283" spans="1:65" s="22" customFormat="1" x14ac:dyDescent="0.25">
      <c r="A1283" s="20"/>
      <c r="B1283" s="515"/>
      <c r="C1283" s="11"/>
      <c r="D1283" s="11"/>
      <c r="E1283" s="11"/>
      <c r="F1283" s="21"/>
      <c r="G1283" s="11"/>
      <c r="H1283" s="50"/>
      <c r="I1283" s="50"/>
      <c r="J1283" s="50"/>
      <c r="K1283" s="11"/>
      <c r="L1283" s="50"/>
      <c r="M1283" s="50"/>
      <c r="N1283" s="50"/>
      <c r="O1283" s="50"/>
      <c r="P1283" s="50"/>
      <c r="Q1283" s="11"/>
      <c r="R1283" s="50"/>
      <c r="S1283" s="50"/>
      <c r="T1283" s="50"/>
      <c r="U1283" s="11"/>
      <c r="V1283" s="50"/>
      <c r="W1283" s="50"/>
      <c r="X1283" s="50"/>
      <c r="Y1283" s="50"/>
      <c r="Z1283" s="50"/>
      <c r="AA1283" s="11"/>
      <c r="AB1283" s="50"/>
      <c r="AC1283" s="50"/>
      <c r="AD1283" s="50"/>
      <c r="AE1283" s="11"/>
      <c r="AF1283" s="50"/>
      <c r="AG1283" s="50"/>
      <c r="AH1283" s="50"/>
      <c r="AI1283" s="11"/>
      <c r="AJ1283" s="50"/>
      <c r="AK1283" s="50"/>
      <c r="AL1283" s="50"/>
      <c r="AM1283" s="11"/>
      <c r="AN1283" s="50"/>
      <c r="AO1283" s="50"/>
      <c r="AP1283" s="50"/>
      <c r="AQ1283" s="11"/>
      <c r="AR1283" s="50"/>
      <c r="AS1283" s="50"/>
      <c r="AT1283" s="50"/>
      <c r="AU1283" s="11"/>
      <c r="AV1283" s="50"/>
      <c r="AW1283" s="50"/>
      <c r="AX1283" s="50"/>
      <c r="AY1283" s="50"/>
      <c r="AZ1283" s="50"/>
      <c r="BA1283" s="50"/>
      <c r="BB1283" s="50"/>
      <c r="BC1283" s="50"/>
      <c r="BD1283" s="50"/>
      <c r="BE1283" s="20"/>
      <c r="BF1283" s="518"/>
      <c r="BG1283" s="484"/>
      <c r="BH1283" s="484"/>
      <c r="BI1283" s="527"/>
      <c r="BJ1283" s="484"/>
      <c r="BK1283" s="484"/>
      <c r="BL1283" s="484"/>
      <c r="BM1283" s="484"/>
    </row>
    <row r="1284" spans="1:65" s="22" customFormat="1" x14ac:dyDescent="0.25">
      <c r="A1284" s="20"/>
      <c r="B1284" s="515"/>
      <c r="C1284" s="11"/>
      <c r="D1284" s="11"/>
      <c r="E1284" s="11"/>
      <c r="F1284" s="21"/>
      <c r="G1284" s="11"/>
      <c r="H1284" s="50"/>
      <c r="I1284" s="50"/>
      <c r="J1284" s="50"/>
      <c r="K1284" s="11"/>
      <c r="L1284" s="50"/>
      <c r="M1284" s="50"/>
      <c r="N1284" s="50"/>
      <c r="O1284" s="50"/>
      <c r="P1284" s="50"/>
      <c r="Q1284" s="11"/>
      <c r="R1284" s="50"/>
      <c r="S1284" s="50"/>
      <c r="T1284" s="50"/>
      <c r="U1284" s="11"/>
      <c r="V1284" s="50"/>
      <c r="W1284" s="50"/>
      <c r="X1284" s="50"/>
      <c r="Y1284" s="50"/>
      <c r="Z1284" s="50"/>
      <c r="AA1284" s="11"/>
      <c r="AB1284" s="50"/>
      <c r="AC1284" s="50"/>
      <c r="AD1284" s="50"/>
      <c r="AE1284" s="11"/>
      <c r="AF1284" s="50"/>
      <c r="AG1284" s="50"/>
      <c r="AH1284" s="50"/>
      <c r="AI1284" s="11"/>
      <c r="AJ1284" s="50"/>
      <c r="AK1284" s="50"/>
      <c r="AL1284" s="50"/>
      <c r="AM1284" s="11"/>
      <c r="AN1284" s="50"/>
      <c r="AO1284" s="50"/>
      <c r="AP1284" s="50"/>
      <c r="AQ1284" s="11"/>
      <c r="AR1284" s="50"/>
      <c r="AS1284" s="50"/>
      <c r="AT1284" s="50"/>
      <c r="AU1284" s="11"/>
      <c r="AV1284" s="50"/>
      <c r="AW1284" s="50"/>
      <c r="AX1284" s="50"/>
      <c r="AY1284" s="50"/>
      <c r="AZ1284" s="50"/>
      <c r="BA1284" s="50"/>
      <c r="BB1284" s="50"/>
      <c r="BC1284" s="50"/>
      <c r="BD1284" s="50"/>
      <c r="BE1284" s="20"/>
      <c r="BF1284" s="518"/>
      <c r="BG1284" s="484"/>
      <c r="BH1284" s="484"/>
      <c r="BI1284" s="527"/>
      <c r="BJ1284" s="484"/>
      <c r="BK1284" s="484"/>
      <c r="BL1284" s="484"/>
      <c r="BM1284" s="484"/>
    </row>
    <row r="1285" spans="1:65" s="22" customFormat="1" x14ac:dyDescent="0.25">
      <c r="A1285" s="20"/>
      <c r="B1285" s="515"/>
      <c r="C1285" s="11"/>
      <c r="D1285" s="11"/>
      <c r="E1285" s="11"/>
      <c r="F1285" s="21"/>
      <c r="G1285" s="11"/>
      <c r="H1285" s="50"/>
      <c r="I1285" s="50"/>
      <c r="J1285" s="50"/>
      <c r="K1285" s="11"/>
      <c r="L1285" s="50"/>
      <c r="M1285" s="50"/>
      <c r="N1285" s="50"/>
      <c r="O1285" s="50"/>
      <c r="P1285" s="50"/>
      <c r="Q1285" s="11"/>
      <c r="R1285" s="50"/>
      <c r="S1285" s="50"/>
      <c r="T1285" s="50"/>
      <c r="U1285" s="11"/>
      <c r="V1285" s="50"/>
      <c r="W1285" s="50"/>
      <c r="X1285" s="50"/>
      <c r="Y1285" s="50"/>
      <c r="Z1285" s="50"/>
      <c r="AA1285" s="11"/>
      <c r="AB1285" s="50"/>
      <c r="AC1285" s="50"/>
      <c r="AD1285" s="50"/>
      <c r="AE1285" s="11"/>
      <c r="AF1285" s="50"/>
      <c r="AG1285" s="50"/>
      <c r="AH1285" s="50"/>
      <c r="AI1285" s="11"/>
      <c r="AJ1285" s="50"/>
      <c r="AK1285" s="50"/>
      <c r="AL1285" s="50"/>
      <c r="AM1285" s="11"/>
      <c r="AN1285" s="50"/>
      <c r="AO1285" s="50"/>
      <c r="AP1285" s="50"/>
      <c r="AQ1285" s="11"/>
      <c r="AR1285" s="50"/>
      <c r="AS1285" s="50"/>
      <c r="AT1285" s="50"/>
      <c r="AU1285" s="11"/>
      <c r="AV1285" s="50"/>
      <c r="AW1285" s="50"/>
      <c r="AX1285" s="50"/>
      <c r="AY1285" s="50"/>
      <c r="AZ1285" s="50"/>
      <c r="BA1285" s="50"/>
      <c r="BB1285" s="50"/>
      <c r="BC1285" s="50"/>
      <c r="BD1285" s="50"/>
      <c r="BE1285" s="20"/>
      <c r="BF1285" s="518"/>
      <c r="BG1285" s="484"/>
      <c r="BH1285" s="484"/>
      <c r="BI1285" s="527"/>
      <c r="BJ1285" s="484"/>
      <c r="BK1285" s="484"/>
      <c r="BL1285" s="484"/>
      <c r="BM1285" s="484"/>
    </row>
    <row r="1286" spans="1:65" s="22" customFormat="1" x14ac:dyDescent="0.25">
      <c r="A1286" s="20"/>
      <c r="B1286" s="515"/>
      <c r="C1286" s="11"/>
      <c r="D1286" s="11"/>
      <c r="E1286" s="11"/>
      <c r="F1286" s="21"/>
      <c r="G1286" s="11"/>
      <c r="H1286" s="50"/>
      <c r="I1286" s="50"/>
      <c r="J1286" s="50"/>
      <c r="K1286" s="11"/>
      <c r="L1286" s="50"/>
      <c r="M1286" s="50"/>
      <c r="N1286" s="50"/>
      <c r="O1286" s="50"/>
      <c r="P1286" s="50"/>
      <c r="Q1286" s="11"/>
      <c r="R1286" s="50"/>
      <c r="S1286" s="50"/>
      <c r="T1286" s="50"/>
      <c r="U1286" s="11"/>
      <c r="V1286" s="50"/>
      <c r="W1286" s="50"/>
      <c r="X1286" s="50"/>
      <c r="Y1286" s="50"/>
      <c r="Z1286" s="50"/>
      <c r="AA1286" s="11"/>
      <c r="AB1286" s="50"/>
      <c r="AC1286" s="50"/>
      <c r="AD1286" s="50"/>
      <c r="AE1286" s="11"/>
      <c r="AF1286" s="50"/>
      <c r="AG1286" s="50"/>
      <c r="AH1286" s="50"/>
      <c r="AI1286" s="11"/>
      <c r="AJ1286" s="50"/>
      <c r="AK1286" s="50"/>
      <c r="AL1286" s="50"/>
      <c r="AM1286" s="11"/>
      <c r="AN1286" s="50"/>
      <c r="AO1286" s="50"/>
      <c r="AP1286" s="50"/>
      <c r="AQ1286" s="11"/>
      <c r="AR1286" s="50"/>
      <c r="AS1286" s="50"/>
      <c r="AT1286" s="50"/>
      <c r="AU1286" s="11"/>
      <c r="AV1286" s="50"/>
      <c r="AW1286" s="50"/>
      <c r="AX1286" s="50"/>
      <c r="AY1286" s="50"/>
      <c r="AZ1286" s="50"/>
      <c r="BA1286" s="50"/>
      <c r="BB1286" s="50"/>
      <c r="BC1286" s="50"/>
      <c r="BD1286" s="50"/>
      <c r="BE1286" s="20"/>
      <c r="BF1286" s="518"/>
      <c r="BG1286" s="484"/>
      <c r="BH1286" s="484"/>
      <c r="BI1286" s="527"/>
      <c r="BJ1286" s="484"/>
      <c r="BK1286" s="484"/>
      <c r="BL1286" s="484"/>
      <c r="BM1286" s="484"/>
    </row>
    <row r="1287" spans="1:65" s="22" customFormat="1" x14ac:dyDescent="0.25">
      <c r="A1287" s="20"/>
      <c r="B1287" s="515"/>
      <c r="C1287" s="11"/>
      <c r="D1287" s="11"/>
      <c r="E1287" s="11"/>
      <c r="F1287" s="21"/>
      <c r="G1287" s="11"/>
      <c r="H1287" s="50"/>
      <c r="I1287" s="50"/>
      <c r="J1287" s="50"/>
      <c r="K1287" s="11"/>
      <c r="L1287" s="50"/>
      <c r="M1287" s="50"/>
      <c r="N1287" s="50"/>
      <c r="O1287" s="50"/>
      <c r="P1287" s="50"/>
      <c r="Q1287" s="11"/>
      <c r="R1287" s="50"/>
      <c r="S1287" s="50"/>
      <c r="T1287" s="50"/>
      <c r="U1287" s="11"/>
      <c r="V1287" s="50"/>
      <c r="W1287" s="50"/>
      <c r="X1287" s="50"/>
      <c r="Y1287" s="50"/>
      <c r="Z1287" s="50"/>
      <c r="AA1287" s="11"/>
      <c r="AB1287" s="50"/>
      <c r="AC1287" s="50"/>
      <c r="AD1287" s="50"/>
      <c r="AE1287" s="11"/>
      <c r="AF1287" s="50"/>
      <c r="AG1287" s="50"/>
      <c r="AH1287" s="50"/>
      <c r="AI1287" s="11"/>
      <c r="AJ1287" s="50"/>
      <c r="AK1287" s="50"/>
      <c r="AL1287" s="50"/>
      <c r="AM1287" s="11"/>
      <c r="AN1287" s="50"/>
      <c r="AO1287" s="50"/>
      <c r="AP1287" s="50"/>
      <c r="AQ1287" s="11"/>
      <c r="AR1287" s="50"/>
      <c r="AS1287" s="50"/>
      <c r="AT1287" s="50"/>
      <c r="AU1287" s="11"/>
      <c r="AV1287" s="50"/>
      <c r="AW1287" s="50"/>
      <c r="AX1287" s="50"/>
      <c r="AY1287" s="50"/>
      <c r="AZ1287" s="50"/>
      <c r="BA1287" s="50"/>
      <c r="BB1287" s="50"/>
      <c r="BC1287" s="50"/>
      <c r="BD1287" s="50"/>
      <c r="BE1287" s="20"/>
      <c r="BF1287" s="518"/>
      <c r="BG1287" s="484"/>
      <c r="BH1287" s="484"/>
      <c r="BI1287" s="527"/>
      <c r="BJ1287" s="484"/>
      <c r="BK1287" s="484"/>
      <c r="BL1287" s="484"/>
      <c r="BM1287" s="484"/>
    </row>
    <row r="1288" spans="1:65" s="22" customFormat="1" x14ac:dyDescent="0.25">
      <c r="A1288" s="20"/>
      <c r="B1288" s="515"/>
      <c r="C1288" s="11"/>
      <c r="D1288" s="11"/>
      <c r="E1288" s="11"/>
      <c r="F1288" s="21"/>
      <c r="G1288" s="11"/>
      <c r="H1288" s="50"/>
      <c r="I1288" s="50"/>
      <c r="J1288" s="50"/>
      <c r="K1288" s="11"/>
      <c r="L1288" s="50"/>
      <c r="M1288" s="50"/>
      <c r="N1288" s="50"/>
      <c r="O1288" s="50"/>
      <c r="P1288" s="50"/>
      <c r="Q1288" s="11"/>
      <c r="R1288" s="50"/>
      <c r="S1288" s="50"/>
      <c r="T1288" s="50"/>
      <c r="U1288" s="11"/>
      <c r="V1288" s="50"/>
      <c r="W1288" s="50"/>
      <c r="X1288" s="50"/>
      <c r="Y1288" s="50"/>
      <c r="Z1288" s="50"/>
      <c r="AA1288" s="11"/>
      <c r="AB1288" s="50"/>
      <c r="AC1288" s="50"/>
      <c r="AD1288" s="50"/>
      <c r="AE1288" s="11"/>
      <c r="AF1288" s="50"/>
      <c r="AG1288" s="50"/>
      <c r="AH1288" s="50"/>
      <c r="AI1288" s="11"/>
      <c r="AJ1288" s="50"/>
      <c r="AK1288" s="50"/>
      <c r="AL1288" s="50"/>
      <c r="AM1288" s="11"/>
      <c r="AN1288" s="50"/>
      <c r="AO1288" s="50"/>
      <c r="AP1288" s="50"/>
      <c r="AQ1288" s="11"/>
      <c r="AR1288" s="50"/>
      <c r="AS1288" s="50"/>
      <c r="AT1288" s="50"/>
      <c r="AU1288" s="11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20"/>
      <c r="BF1288" s="518"/>
      <c r="BG1288" s="484"/>
      <c r="BH1288" s="484"/>
      <c r="BI1288" s="527"/>
      <c r="BJ1288" s="484"/>
      <c r="BK1288" s="484"/>
      <c r="BL1288" s="484"/>
      <c r="BM1288" s="484"/>
    </row>
    <row r="1289" spans="1:65" s="22" customFormat="1" x14ac:dyDescent="0.25">
      <c r="A1289" s="20"/>
      <c r="B1289" s="515"/>
      <c r="C1289" s="11"/>
      <c r="D1289" s="11"/>
      <c r="E1289" s="11"/>
      <c r="F1289" s="21"/>
      <c r="G1289" s="11"/>
      <c r="H1289" s="50"/>
      <c r="I1289" s="50"/>
      <c r="J1289" s="50"/>
      <c r="K1289" s="11"/>
      <c r="L1289" s="50"/>
      <c r="M1289" s="50"/>
      <c r="N1289" s="50"/>
      <c r="O1289" s="50"/>
      <c r="P1289" s="50"/>
      <c r="Q1289" s="11"/>
      <c r="R1289" s="50"/>
      <c r="S1289" s="50"/>
      <c r="T1289" s="50"/>
      <c r="U1289" s="11"/>
      <c r="V1289" s="50"/>
      <c r="W1289" s="50"/>
      <c r="X1289" s="50"/>
      <c r="Y1289" s="50"/>
      <c r="Z1289" s="50"/>
      <c r="AA1289" s="11"/>
      <c r="AB1289" s="50"/>
      <c r="AC1289" s="50"/>
      <c r="AD1289" s="50"/>
      <c r="AE1289" s="11"/>
      <c r="AF1289" s="50"/>
      <c r="AG1289" s="50"/>
      <c r="AH1289" s="50"/>
      <c r="AI1289" s="11"/>
      <c r="AJ1289" s="50"/>
      <c r="AK1289" s="50"/>
      <c r="AL1289" s="50"/>
      <c r="AM1289" s="11"/>
      <c r="AN1289" s="50"/>
      <c r="AO1289" s="50"/>
      <c r="AP1289" s="50"/>
      <c r="AQ1289" s="11"/>
      <c r="AR1289" s="50"/>
      <c r="AS1289" s="50"/>
      <c r="AT1289" s="50"/>
      <c r="AU1289" s="11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20"/>
      <c r="BF1289" s="518"/>
      <c r="BG1289" s="484"/>
      <c r="BH1289" s="484"/>
      <c r="BI1289" s="527"/>
      <c r="BJ1289" s="484"/>
      <c r="BK1289" s="484"/>
      <c r="BL1289" s="484"/>
      <c r="BM1289" s="484"/>
    </row>
    <row r="1290" spans="1:65" s="22" customFormat="1" x14ac:dyDescent="0.25">
      <c r="A1290" s="20"/>
      <c r="B1290" s="515"/>
      <c r="C1290" s="11"/>
      <c r="D1290" s="11"/>
      <c r="E1290" s="11"/>
      <c r="F1290" s="21"/>
      <c r="G1290" s="11"/>
      <c r="H1290" s="50"/>
      <c r="I1290" s="50"/>
      <c r="J1290" s="50"/>
      <c r="K1290" s="11"/>
      <c r="L1290" s="50"/>
      <c r="M1290" s="50"/>
      <c r="N1290" s="50"/>
      <c r="O1290" s="50"/>
      <c r="P1290" s="50"/>
      <c r="Q1290" s="11"/>
      <c r="R1290" s="50"/>
      <c r="S1290" s="50"/>
      <c r="T1290" s="50"/>
      <c r="U1290" s="11"/>
      <c r="V1290" s="50"/>
      <c r="W1290" s="50"/>
      <c r="X1290" s="50"/>
      <c r="Y1290" s="50"/>
      <c r="Z1290" s="50"/>
      <c r="AA1290" s="11"/>
      <c r="AB1290" s="50"/>
      <c r="AC1290" s="50"/>
      <c r="AD1290" s="50"/>
      <c r="AE1290" s="11"/>
      <c r="AF1290" s="50"/>
      <c r="AG1290" s="50"/>
      <c r="AH1290" s="50"/>
      <c r="AI1290" s="11"/>
      <c r="AJ1290" s="50"/>
      <c r="AK1290" s="50"/>
      <c r="AL1290" s="50"/>
      <c r="AM1290" s="11"/>
      <c r="AN1290" s="50"/>
      <c r="AO1290" s="50"/>
      <c r="AP1290" s="50"/>
      <c r="AQ1290" s="11"/>
      <c r="AR1290" s="50"/>
      <c r="AS1290" s="50"/>
      <c r="AT1290" s="50"/>
      <c r="AU1290" s="11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20"/>
      <c r="BF1290" s="518"/>
      <c r="BG1290" s="484"/>
      <c r="BH1290" s="484"/>
      <c r="BI1290" s="527"/>
      <c r="BJ1290" s="484"/>
      <c r="BK1290" s="484"/>
      <c r="BL1290" s="484"/>
      <c r="BM1290" s="484"/>
    </row>
    <row r="1291" spans="1:65" s="22" customFormat="1" x14ac:dyDescent="0.25">
      <c r="A1291" s="20"/>
      <c r="B1291" s="515"/>
      <c r="C1291" s="11"/>
      <c r="D1291" s="11"/>
      <c r="E1291" s="11"/>
      <c r="F1291" s="21"/>
      <c r="G1291" s="11"/>
      <c r="H1291" s="50"/>
      <c r="I1291" s="50"/>
      <c r="J1291" s="50"/>
      <c r="K1291" s="11"/>
      <c r="L1291" s="50"/>
      <c r="M1291" s="50"/>
      <c r="N1291" s="50"/>
      <c r="O1291" s="50"/>
      <c r="P1291" s="50"/>
      <c r="Q1291" s="11"/>
      <c r="R1291" s="50"/>
      <c r="S1291" s="50"/>
      <c r="T1291" s="50"/>
      <c r="U1291" s="11"/>
      <c r="V1291" s="50"/>
      <c r="W1291" s="50"/>
      <c r="X1291" s="50"/>
      <c r="Y1291" s="50"/>
      <c r="Z1291" s="50"/>
      <c r="AA1291" s="11"/>
      <c r="AB1291" s="50"/>
      <c r="AC1291" s="50"/>
      <c r="AD1291" s="50"/>
      <c r="AE1291" s="11"/>
      <c r="AF1291" s="50"/>
      <c r="AG1291" s="50"/>
      <c r="AH1291" s="50"/>
      <c r="AI1291" s="11"/>
      <c r="AJ1291" s="50"/>
      <c r="AK1291" s="50"/>
      <c r="AL1291" s="50"/>
      <c r="AM1291" s="11"/>
      <c r="AN1291" s="50"/>
      <c r="AO1291" s="50"/>
      <c r="AP1291" s="50"/>
      <c r="AQ1291" s="11"/>
      <c r="AR1291" s="50"/>
      <c r="AS1291" s="50"/>
      <c r="AT1291" s="50"/>
      <c r="AU1291" s="11"/>
      <c r="AV1291" s="50"/>
      <c r="AW1291" s="50"/>
      <c r="AX1291" s="50"/>
      <c r="AY1291" s="50"/>
      <c r="AZ1291" s="50"/>
      <c r="BA1291" s="50"/>
      <c r="BB1291" s="50"/>
      <c r="BC1291" s="50"/>
      <c r="BD1291" s="50"/>
      <c r="BE1291" s="20"/>
      <c r="BF1291" s="518"/>
      <c r="BG1291" s="484"/>
      <c r="BH1291" s="484"/>
      <c r="BI1291" s="527"/>
      <c r="BJ1291" s="484"/>
      <c r="BK1291" s="484"/>
      <c r="BL1291" s="484"/>
      <c r="BM1291" s="484"/>
    </row>
    <row r="1292" spans="1:65" s="22" customFormat="1" x14ac:dyDescent="0.25">
      <c r="A1292" s="20"/>
      <c r="B1292" s="515"/>
      <c r="C1292" s="11"/>
      <c r="D1292" s="11"/>
      <c r="E1292" s="11"/>
      <c r="F1292" s="21"/>
      <c r="G1292" s="11"/>
      <c r="H1292" s="50"/>
      <c r="I1292" s="50"/>
      <c r="J1292" s="50"/>
      <c r="K1292" s="11"/>
      <c r="L1292" s="50"/>
      <c r="M1292" s="50"/>
      <c r="N1292" s="50"/>
      <c r="O1292" s="50"/>
      <c r="P1292" s="50"/>
      <c r="Q1292" s="11"/>
      <c r="R1292" s="50"/>
      <c r="S1292" s="50"/>
      <c r="T1292" s="50"/>
      <c r="U1292" s="11"/>
      <c r="V1292" s="50"/>
      <c r="W1292" s="50"/>
      <c r="X1292" s="50"/>
      <c r="Y1292" s="50"/>
      <c r="Z1292" s="50"/>
      <c r="AA1292" s="11"/>
      <c r="AB1292" s="50"/>
      <c r="AC1292" s="50"/>
      <c r="AD1292" s="50"/>
      <c r="AE1292" s="11"/>
      <c r="AF1292" s="50"/>
      <c r="AG1292" s="50"/>
      <c r="AH1292" s="50"/>
      <c r="AI1292" s="11"/>
      <c r="AJ1292" s="50"/>
      <c r="AK1292" s="50"/>
      <c r="AL1292" s="50"/>
      <c r="AM1292" s="11"/>
      <c r="AN1292" s="50"/>
      <c r="AO1292" s="50"/>
      <c r="AP1292" s="50"/>
      <c r="AQ1292" s="11"/>
      <c r="AR1292" s="50"/>
      <c r="AS1292" s="50"/>
      <c r="AT1292" s="50"/>
      <c r="AU1292" s="11"/>
      <c r="AV1292" s="50"/>
      <c r="AW1292" s="50"/>
      <c r="AX1292" s="50"/>
      <c r="AY1292" s="50"/>
      <c r="AZ1292" s="50"/>
      <c r="BA1292" s="50"/>
      <c r="BB1292" s="50"/>
      <c r="BC1292" s="50"/>
      <c r="BD1292" s="50"/>
      <c r="BE1292" s="20"/>
      <c r="BF1292" s="518"/>
      <c r="BG1292" s="484"/>
      <c r="BH1292" s="484"/>
      <c r="BI1292" s="527"/>
      <c r="BJ1292" s="484"/>
      <c r="BK1292" s="484"/>
      <c r="BL1292" s="484"/>
      <c r="BM1292" s="484"/>
    </row>
    <row r="1293" spans="1:65" s="22" customFormat="1" x14ac:dyDescent="0.25">
      <c r="A1293" s="20"/>
      <c r="B1293" s="515"/>
      <c r="C1293" s="11"/>
      <c r="D1293" s="11"/>
      <c r="E1293" s="11"/>
      <c r="F1293" s="21"/>
      <c r="G1293" s="11"/>
      <c r="H1293" s="50"/>
      <c r="I1293" s="50"/>
      <c r="J1293" s="50"/>
      <c r="K1293" s="11"/>
      <c r="L1293" s="50"/>
      <c r="M1293" s="50"/>
      <c r="N1293" s="50"/>
      <c r="O1293" s="50"/>
      <c r="P1293" s="50"/>
      <c r="Q1293" s="11"/>
      <c r="R1293" s="50"/>
      <c r="S1293" s="50"/>
      <c r="T1293" s="50"/>
      <c r="U1293" s="11"/>
      <c r="V1293" s="50"/>
      <c r="W1293" s="50"/>
      <c r="X1293" s="50"/>
      <c r="Y1293" s="50"/>
      <c r="Z1293" s="50"/>
      <c r="AA1293" s="11"/>
      <c r="AB1293" s="50"/>
      <c r="AC1293" s="50"/>
      <c r="AD1293" s="50"/>
      <c r="AE1293" s="11"/>
      <c r="AF1293" s="50"/>
      <c r="AG1293" s="50"/>
      <c r="AH1293" s="50"/>
      <c r="AI1293" s="11"/>
      <c r="AJ1293" s="50"/>
      <c r="AK1293" s="50"/>
      <c r="AL1293" s="50"/>
      <c r="AM1293" s="11"/>
      <c r="AN1293" s="50"/>
      <c r="AO1293" s="50"/>
      <c r="AP1293" s="50"/>
      <c r="AQ1293" s="11"/>
      <c r="AR1293" s="50"/>
      <c r="AS1293" s="50"/>
      <c r="AT1293" s="50"/>
      <c r="AU1293" s="11"/>
      <c r="AV1293" s="50"/>
      <c r="AW1293" s="50"/>
      <c r="AX1293" s="50"/>
      <c r="AY1293" s="50"/>
      <c r="AZ1293" s="50"/>
      <c r="BA1293" s="50"/>
      <c r="BB1293" s="50"/>
      <c r="BC1293" s="50"/>
      <c r="BD1293" s="50"/>
      <c r="BE1293" s="20"/>
      <c r="BF1293" s="518"/>
      <c r="BG1293" s="484"/>
      <c r="BH1293" s="484"/>
      <c r="BI1293" s="527"/>
      <c r="BJ1293" s="484"/>
      <c r="BK1293" s="484"/>
      <c r="BL1293" s="484"/>
      <c r="BM1293" s="484"/>
    </row>
    <row r="1294" spans="1:65" s="22" customFormat="1" x14ac:dyDescent="0.25">
      <c r="A1294" s="20"/>
      <c r="B1294" s="515"/>
      <c r="C1294" s="11"/>
      <c r="D1294" s="11"/>
      <c r="E1294" s="11"/>
      <c r="F1294" s="21"/>
      <c r="G1294" s="11"/>
      <c r="H1294" s="50"/>
      <c r="I1294" s="50"/>
      <c r="J1294" s="50"/>
      <c r="K1294" s="11"/>
      <c r="L1294" s="50"/>
      <c r="M1294" s="50"/>
      <c r="N1294" s="50"/>
      <c r="O1294" s="50"/>
      <c r="P1294" s="50"/>
      <c r="Q1294" s="11"/>
      <c r="R1294" s="50"/>
      <c r="S1294" s="50"/>
      <c r="T1294" s="50"/>
      <c r="U1294" s="11"/>
      <c r="V1294" s="50"/>
      <c r="W1294" s="50"/>
      <c r="X1294" s="50"/>
      <c r="Y1294" s="50"/>
      <c r="Z1294" s="50"/>
      <c r="AA1294" s="11"/>
      <c r="AB1294" s="50"/>
      <c r="AC1294" s="50"/>
      <c r="AD1294" s="50"/>
      <c r="AE1294" s="11"/>
      <c r="AF1294" s="50"/>
      <c r="AG1294" s="50"/>
      <c r="AH1294" s="50"/>
      <c r="AI1294" s="11"/>
      <c r="AJ1294" s="50"/>
      <c r="AK1294" s="50"/>
      <c r="AL1294" s="50"/>
      <c r="AM1294" s="11"/>
      <c r="AN1294" s="50"/>
      <c r="AO1294" s="50"/>
      <c r="AP1294" s="50"/>
      <c r="AQ1294" s="11"/>
      <c r="AR1294" s="50"/>
      <c r="AS1294" s="50"/>
      <c r="AT1294" s="50"/>
      <c r="AU1294" s="11"/>
      <c r="AV1294" s="50"/>
      <c r="AW1294" s="50"/>
      <c r="AX1294" s="50"/>
      <c r="AY1294" s="50"/>
      <c r="AZ1294" s="50"/>
      <c r="BA1294" s="50"/>
      <c r="BB1294" s="50"/>
      <c r="BC1294" s="50"/>
      <c r="BD1294" s="50"/>
      <c r="BE1294" s="20"/>
      <c r="BF1294" s="518"/>
      <c r="BG1294" s="484"/>
      <c r="BH1294" s="484"/>
      <c r="BI1294" s="527"/>
      <c r="BJ1294" s="484"/>
      <c r="BK1294" s="484"/>
      <c r="BL1294" s="484"/>
      <c r="BM1294" s="484"/>
    </row>
    <row r="1295" spans="1:65" s="22" customFormat="1" x14ac:dyDescent="0.25">
      <c r="A1295" s="20"/>
      <c r="B1295" s="515"/>
      <c r="C1295" s="11"/>
      <c r="D1295" s="11"/>
      <c r="E1295" s="11"/>
      <c r="F1295" s="21"/>
      <c r="G1295" s="11"/>
      <c r="H1295" s="50"/>
      <c r="I1295" s="50"/>
      <c r="J1295" s="50"/>
      <c r="K1295" s="11"/>
      <c r="L1295" s="50"/>
      <c r="M1295" s="50"/>
      <c r="N1295" s="50"/>
      <c r="O1295" s="50"/>
      <c r="P1295" s="50"/>
      <c r="Q1295" s="11"/>
      <c r="R1295" s="50"/>
      <c r="S1295" s="50"/>
      <c r="T1295" s="50"/>
      <c r="U1295" s="11"/>
      <c r="V1295" s="50"/>
      <c r="W1295" s="50"/>
      <c r="X1295" s="50"/>
      <c r="Y1295" s="50"/>
      <c r="Z1295" s="50"/>
      <c r="AA1295" s="11"/>
      <c r="AB1295" s="50"/>
      <c r="AC1295" s="50"/>
      <c r="AD1295" s="50"/>
      <c r="AE1295" s="11"/>
      <c r="AF1295" s="50"/>
      <c r="AG1295" s="50"/>
      <c r="AH1295" s="50"/>
      <c r="AI1295" s="11"/>
      <c r="AJ1295" s="50"/>
      <c r="AK1295" s="50"/>
      <c r="AL1295" s="50"/>
      <c r="AM1295" s="11"/>
      <c r="AN1295" s="50"/>
      <c r="AO1295" s="50"/>
      <c r="AP1295" s="50"/>
      <c r="AQ1295" s="11"/>
      <c r="AR1295" s="50"/>
      <c r="AS1295" s="50"/>
      <c r="AT1295" s="50"/>
      <c r="AU1295" s="11"/>
      <c r="AV1295" s="50"/>
      <c r="AW1295" s="50"/>
      <c r="AX1295" s="50"/>
      <c r="AY1295" s="50"/>
      <c r="AZ1295" s="50"/>
      <c r="BA1295" s="50"/>
      <c r="BB1295" s="50"/>
      <c r="BC1295" s="50"/>
      <c r="BD1295" s="50"/>
      <c r="BE1295" s="20"/>
      <c r="BF1295" s="518"/>
      <c r="BG1295" s="484"/>
      <c r="BH1295" s="484"/>
      <c r="BI1295" s="527"/>
      <c r="BJ1295" s="484"/>
      <c r="BK1295" s="484"/>
      <c r="BL1295" s="484"/>
      <c r="BM1295" s="484"/>
    </row>
    <row r="1296" spans="1:65" s="22" customFormat="1" x14ac:dyDescent="0.25">
      <c r="A1296" s="20"/>
      <c r="B1296" s="515"/>
      <c r="C1296" s="11"/>
      <c r="D1296" s="11"/>
      <c r="E1296" s="11"/>
      <c r="F1296" s="21"/>
      <c r="G1296" s="11"/>
      <c r="H1296" s="50"/>
      <c r="I1296" s="50"/>
      <c r="J1296" s="50"/>
      <c r="K1296" s="11"/>
      <c r="L1296" s="50"/>
      <c r="M1296" s="50"/>
      <c r="N1296" s="50"/>
      <c r="O1296" s="50"/>
      <c r="P1296" s="50"/>
      <c r="Q1296" s="11"/>
      <c r="R1296" s="50"/>
      <c r="S1296" s="50"/>
      <c r="T1296" s="50"/>
      <c r="U1296" s="11"/>
      <c r="V1296" s="50"/>
      <c r="W1296" s="50"/>
      <c r="X1296" s="50"/>
      <c r="Y1296" s="50"/>
      <c r="Z1296" s="50"/>
      <c r="AA1296" s="11"/>
      <c r="AB1296" s="50"/>
      <c r="AC1296" s="50"/>
      <c r="AD1296" s="50"/>
      <c r="AE1296" s="11"/>
      <c r="AF1296" s="50"/>
      <c r="AG1296" s="50"/>
      <c r="AH1296" s="50"/>
      <c r="AI1296" s="11"/>
      <c r="AJ1296" s="50"/>
      <c r="AK1296" s="50"/>
      <c r="AL1296" s="50"/>
      <c r="AM1296" s="11"/>
      <c r="AN1296" s="50"/>
      <c r="AO1296" s="50"/>
      <c r="AP1296" s="50"/>
      <c r="AQ1296" s="11"/>
      <c r="AR1296" s="50"/>
      <c r="AS1296" s="50"/>
      <c r="AT1296" s="50"/>
      <c r="AU1296" s="11"/>
      <c r="AV1296" s="50"/>
      <c r="AW1296" s="50"/>
      <c r="AX1296" s="50"/>
      <c r="AY1296" s="50"/>
      <c r="AZ1296" s="50"/>
      <c r="BA1296" s="50"/>
      <c r="BB1296" s="50"/>
      <c r="BC1296" s="50"/>
      <c r="BD1296" s="50"/>
      <c r="BE1296" s="20"/>
      <c r="BF1296" s="518"/>
      <c r="BG1296" s="484"/>
      <c r="BH1296" s="484"/>
      <c r="BI1296" s="527"/>
      <c r="BJ1296" s="484"/>
      <c r="BK1296" s="484"/>
      <c r="BL1296" s="484"/>
      <c r="BM1296" s="484"/>
    </row>
    <row r="1297" spans="1:65" s="22" customFormat="1" x14ac:dyDescent="0.25">
      <c r="A1297" s="20"/>
      <c r="B1297" s="515"/>
      <c r="C1297" s="11"/>
      <c r="D1297" s="11"/>
      <c r="E1297" s="11"/>
      <c r="F1297" s="21"/>
      <c r="G1297" s="11"/>
      <c r="H1297" s="50"/>
      <c r="I1297" s="50"/>
      <c r="J1297" s="50"/>
      <c r="K1297" s="11"/>
      <c r="L1297" s="50"/>
      <c r="M1297" s="50"/>
      <c r="N1297" s="50"/>
      <c r="O1297" s="50"/>
      <c r="P1297" s="50"/>
      <c r="Q1297" s="11"/>
      <c r="R1297" s="50"/>
      <c r="S1297" s="50"/>
      <c r="T1297" s="50"/>
      <c r="U1297" s="11"/>
      <c r="V1297" s="50"/>
      <c r="W1297" s="50"/>
      <c r="X1297" s="50"/>
      <c r="Y1297" s="50"/>
      <c r="Z1297" s="50"/>
      <c r="AA1297" s="11"/>
      <c r="AB1297" s="50"/>
      <c r="AC1297" s="50"/>
      <c r="AD1297" s="50"/>
      <c r="AE1297" s="11"/>
      <c r="AF1297" s="50"/>
      <c r="AG1297" s="50"/>
      <c r="AH1297" s="50"/>
      <c r="AI1297" s="11"/>
      <c r="AJ1297" s="50"/>
      <c r="AK1297" s="50"/>
      <c r="AL1297" s="50"/>
      <c r="AM1297" s="11"/>
      <c r="AN1297" s="50"/>
      <c r="AO1297" s="50"/>
      <c r="AP1297" s="50"/>
      <c r="AQ1297" s="11"/>
      <c r="AR1297" s="50"/>
      <c r="AS1297" s="50"/>
      <c r="AT1297" s="50"/>
      <c r="AU1297" s="11"/>
      <c r="AV1297" s="50"/>
      <c r="AW1297" s="50"/>
      <c r="AX1297" s="50"/>
      <c r="AY1297" s="50"/>
      <c r="AZ1297" s="50"/>
      <c r="BA1297" s="50"/>
      <c r="BB1297" s="50"/>
      <c r="BC1297" s="50"/>
      <c r="BD1297" s="50"/>
      <c r="BE1297" s="20"/>
      <c r="BF1297" s="518"/>
      <c r="BG1297" s="484"/>
      <c r="BH1297" s="484"/>
      <c r="BI1297" s="527"/>
      <c r="BJ1297" s="484"/>
      <c r="BK1297" s="484"/>
      <c r="BL1297" s="484"/>
      <c r="BM1297" s="484"/>
    </row>
    <row r="1298" spans="1:65" s="22" customFormat="1" x14ac:dyDescent="0.25">
      <c r="A1298" s="20"/>
      <c r="B1298" s="515"/>
      <c r="C1298" s="11"/>
      <c r="D1298" s="11"/>
      <c r="E1298" s="11"/>
      <c r="F1298" s="21"/>
      <c r="G1298" s="11"/>
      <c r="H1298" s="50"/>
      <c r="I1298" s="50"/>
      <c r="J1298" s="50"/>
      <c r="K1298" s="11"/>
      <c r="L1298" s="50"/>
      <c r="M1298" s="50"/>
      <c r="N1298" s="50"/>
      <c r="O1298" s="50"/>
      <c r="P1298" s="50"/>
      <c r="Q1298" s="11"/>
      <c r="R1298" s="50"/>
      <c r="S1298" s="50"/>
      <c r="T1298" s="50"/>
      <c r="U1298" s="11"/>
      <c r="V1298" s="50"/>
      <c r="W1298" s="50"/>
      <c r="X1298" s="50"/>
      <c r="Y1298" s="50"/>
      <c r="Z1298" s="50"/>
      <c r="AA1298" s="11"/>
      <c r="AB1298" s="50"/>
      <c r="AC1298" s="50"/>
      <c r="AD1298" s="50"/>
      <c r="AE1298" s="11"/>
      <c r="AF1298" s="50"/>
      <c r="AG1298" s="50"/>
      <c r="AH1298" s="50"/>
      <c r="AI1298" s="11"/>
      <c r="AJ1298" s="50"/>
      <c r="AK1298" s="50"/>
      <c r="AL1298" s="50"/>
      <c r="AM1298" s="11"/>
      <c r="AN1298" s="50"/>
      <c r="AO1298" s="50"/>
      <c r="AP1298" s="50"/>
      <c r="AQ1298" s="11"/>
      <c r="AR1298" s="50"/>
      <c r="AS1298" s="50"/>
      <c r="AT1298" s="50"/>
      <c r="AU1298" s="11"/>
      <c r="AV1298" s="50"/>
      <c r="AW1298" s="50"/>
      <c r="AX1298" s="50"/>
      <c r="AY1298" s="50"/>
      <c r="AZ1298" s="50"/>
      <c r="BA1298" s="50"/>
      <c r="BB1298" s="50"/>
      <c r="BC1298" s="50"/>
      <c r="BD1298" s="50"/>
      <c r="BE1298" s="20"/>
      <c r="BF1298" s="518"/>
      <c r="BG1298" s="484"/>
      <c r="BH1298" s="484"/>
      <c r="BI1298" s="527"/>
      <c r="BJ1298" s="484"/>
      <c r="BK1298" s="484"/>
      <c r="BL1298" s="484"/>
      <c r="BM1298" s="484"/>
    </row>
    <row r="1299" spans="1:65" s="22" customFormat="1" x14ac:dyDescent="0.25">
      <c r="A1299" s="20"/>
      <c r="B1299" s="515"/>
      <c r="C1299" s="11"/>
      <c r="D1299" s="11"/>
      <c r="E1299" s="11"/>
      <c r="F1299" s="21"/>
      <c r="G1299" s="11"/>
      <c r="H1299" s="50"/>
      <c r="I1299" s="50"/>
      <c r="J1299" s="50"/>
      <c r="K1299" s="11"/>
      <c r="L1299" s="50"/>
      <c r="M1299" s="50"/>
      <c r="N1299" s="50"/>
      <c r="O1299" s="50"/>
      <c r="P1299" s="50"/>
      <c r="Q1299" s="11"/>
      <c r="R1299" s="50"/>
      <c r="S1299" s="50"/>
      <c r="T1299" s="50"/>
      <c r="U1299" s="11"/>
      <c r="V1299" s="50"/>
      <c r="W1299" s="50"/>
      <c r="X1299" s="50"/>
      <c r="Y1299" s="50"/>
      <c r="Z1299" s="50"/>
      <c r="AA1299" s="11"/>
      <c r="AB1299" s="50"/>
      <c r="AC1299" s="50"/>
      <c r="AD1299" s="50"/>
      <c r="AE1299" s="11"/>
      <c r="AF1299" s="50"/>
      <c r="AG1299" s="50"/>
      <c r="AH1299" s="50"/>
      <c r="AI1299" s="11"/>
      <c r="AJ1299" s="50"/>
      <c r="AK1299" s="50"/>
      <c r="AL1299" s="50"/>
      <c r="AM1299" s="11"/>
      <c r="AN1299" s="50"/>
      <c r="AO1299" s="50"/>
      <c r="AP1299" s="50"/>
      <c r="AQ1299" s="11"/>
      <c r="AR1299" s="50"/>
      <c r="AS1299" s="50"/>
      <c r="AT1299" s="50"/>
      <c r="AU1299" s="11"/>
      <c r="AV1299" s="50"/>
      <c r="AW1299" s="50"/>
      <c r="AX1299" s="50"/>
      <c r="AY1299" s="50"/>
      <c r="AZ1299" s="50"/>
      <c r="BA1299" s="50"/>
      <c r="BB1299" s="50"/>
      <c r="BC1299" s="50"/>
      <c r="BD1299" s="50"/>
      <c r="BE1299" s="20"/>
      <c r="BF1299" s="518"/>
      <c r="BG1299" s="484"/>
      <c r="BH1299" s="484"/>
      <c r="BI1299" s="527"/>
      <c r="BJ1299" s="484"/>
      <c r="BK1299" s="484"/>
      <c r="BL1299" s="484"/>
      <c r="BM1299" s="484"/>
    </row>
    <row r="1300" spans="1:65" s="22" customFormat="1" x14ac:dyDescent="0.25">
      <c r="A1300" s="20"/>
      <c r="B1300" s="515"/>
      <c r="C1300" s="11"/>
      <c r="D1300" s="11"/>
      <c r="E1300" s="11"/>
      <c r="F1300" s="21"/>
      <c r="G1300" s="11"/>
      <c r="H1300" s="50"/>
      <c r="I1300" s="50"/>
      <c r="J1300" s="50"/>
      <c r="K1300" s="11"/>
      <c r="L1300" s="50"/>
      <c r="M1300" s="50"/>
      <c r="N1300" s="50"/>
      <c r="O1300" s="50"/>
      <c r="P1300" s="50"/>
      <c r="Q1300" s="11"/>
      <c r="R1300" s="50"/>
      <c r="S1300" s="50"/>
      <c r="T1300" s="50"/>
      <c r="U1300" s="11"/>
      <c r="V1300" s="50"/>
      <c r="W1300" s="50"/>
      <c r="X1300" s="50"/>
      <c r="Y1300" s="50"/>
      <c r="Z1300" s="50"/>
      <c r="AA1300" s="11"/>
      <c r="AB1300" s="50"/>
      <c r="AC1300" s="50"/>
      <c r="AD1300" s="50"/>
      <c r="AE1300" s="11"/>
      <c r="AF1300" s="50"/>
      <c r="AG1300" s="50"/>
      <c r="AH1300" s="50"/>
      <c r="AI1300" s="11"/>
      <c r="AJ1300" s="50"/>
      <c r="AK1300" s="50"/>
      <c r="AL1300" s="50"/>
      <c r="AM1300" s="11"/>
      <c r="AN1300" s="50"/>
      <c r="AO1300" s="50"/>
      <c r="AP1300" s="50"/>
      <c r="AQ1300" s="11"/>
      <c r="AR1300" s="50"/>
      <c r="AS1300" s="50"/>
      <c r="AT1300" s="50"/>
      <c r="AU1300" s="11"/>
      <c r="AV1300" s="50"/>
      <c r="AW1300" s="50"/>
      <c r="AX1300" s="50"/>
      <c r="AY1300" s="50"/>
      <c r="AZ1300" s="50"/>
      <c r="BA1300" s="50"/>
      <c r="BB1300" s="50"/>
      <c r="BC1300" s="50"/>
      <c r="BD1300" s="50"/>
      <c r="BE1300" s="20"/>
      <c r="BF1300" s="518"/>
      <c r="BG1300" s="484"/>
      <c r="BH1300" s="484"/>
      <c r="BI1300" s="527"/>
      <c r="BJ1300" s="484"/>
      <c r="BK1300" s="484"/>
      <c r="BL1300" s="484"/>
      <c r="BM1300" s="484"/>
    </row>
    <row r="1301" spans="1:65" s="22" customFormat="1" x14ac:dyDescent="0.25">
      <c r="A1301" s="20"/>
      <c r="B1301" s="515"/>
      <c r="C1301" s="11"/>
      <c r="D1301" s="11"/>
      <c r="E1301" s="11"/>
      <c r="F1301" s="21"/>
      <c r="G1301" s="11"/>
      <c r="H1301" s="50"/>
      <c r="I1301" s="50"/>
      <c r="J1301" s="50"/>
      <c r="K1301" s="11"/>
      <c r="L1301" s="50"/>
      <c r="M1301" s="50"/>
      <c r="N1301" s="50"/>
      <c r="O1301" s="50"/>
      <c r="P1301" s="50"/>
      <c r="Q1301" s="11"/>
      <c r="R1301" s="50"/>
      <c r="S1301" s="50"/>
      <c r="T1301" s="50"/>
      <c r="U1301" s="11"/>
      <c r="V1301" s="50"/>
      <c r="W1301" s="50"/>
      <c r="X1301" s="50"/>
      <c r="Y1301" s="50"/>
      <c r="Z1301" s="50"/>
      <c r="AA1301" s="11"/>
      <c r="AB1301" s="50"/>
      <c r="AC1301" s="50"/>
      <c r="AD1301" s="50"/>
      <c r="AE1301" s="11"/>
      <c r="AF1301" s="50"/>
      <c r="AG1301" s="50"/>
      <c r="AH1301" s="50"/>
      <c r="AI1301" s="11"/>
      <c r="AJ1301" s="50"/>
      <c r="AK1301" s="50"/>
      <c r="AL1301" s="50"/>
      <c r="AM1301" s="11"/>
      <c r="AN1301" s="50"/>
      <c r="AO1301" s="50"/>
      <c r="AP1301" s="50"/>
      <c r="AQ1301" s="11"/>
      <c r="AR1301" s="50"/>
      <c r="AS1301" s="50"/>
      <c r="AT1301" s="50"/>
      <c r="AU1301" s="11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20"/>
      <c r="BF1301" s="518"/>
      <c r="BG1301" s="484"/>
      <c r="BH1301" s="484"/>
      <c r="BI1301" s="527"/>
      <c r="BJ1301" s="484"/>
      <c r="BK1301" s="484"/>
      <c r="BL1301" s="484"/>
      <c r="BM1301" s="484"/>
    </row>
    <row r="1302" spans="1:65" s="22" customFormat="1" x14ac:dyDescent="0.25">
      <c r="A1302" s="20"/>
      <c r="B1302" s="515"/>
      <c r="C1302" s="11"/>
      <c r="D1302" s="11"/>
      <c r="E1302" s="11"/>
      <c r="F1302" s="21"/>
      <c r="G1302" s="11"/>
      <c r="H1302" s="50"/>
      <c r="I1302" s="50"/>
      <c r="J1302" s="50"/>
      <c r="K1302" s="11"/>
      <c r="L1302" s="50"/>
      <c r="M1302" s="50"/>
      <c r="N1302" s="50"/>
      <c r="O1302" s="50"/>
      <c r="P1302" s="50"/>
      <c r="Q1302" s="11"/>
      <c r="R1302" s="50"/>
      <c r="S1302" s="50"/>
      <c r="T1302" s="50"/>
      <c r="U1302" s="11"/>
      <c r="V1302" s="50"/>
      <c r="W1302" s="50"/>
      <c r="X1302" s="50"/>
      <c r="Y1302" s="50"/>
      <c r="Z1302" s="50"/>
      <c r="AA1302" s="11"/>
      <c r="AB1302" s="50"/>
      <c r="AC1302" s="50"/>
      <c r="AD1302" s="50"/>
      <c r="AE1302" s="11"/>
      <c r="AF1302" s="50"/>
      <c r="AG1302" s="50"/>
      <c r="AH1302" s="50"/>
      <c r="AI1302" s="11"/>
      <c r="AJ1302" s="50"/>
      <c r="AK1302" s="50"/>
      <c r="AL1302" s="50"/>
      <c r="AM1302" s="11"/>
      <c r="AN1302" s="50"/>
      <c r="AO1302" s="50"/>
      <c r="AP1302" s="50"/>
      <c r="AQ1302" s="11"/>
      <c r="AR1302" s="50"/>
      <c r="AS1302" s="50"/>
      <c r="AT1302" s="50"/>
      <c r="AU1302" s="11"/>
      <c r="AV1302" s="50"/>
      <c r="AW1302" s="50"/>
      <c r="AX1302" s="50"/>
      <c r="AY1302" s="50"/>
      <c r="AZ1302" s="50"/>
      <c r="BA1302" s="50"/>
      <c r="BB1302" s="50"/>
      <c r="BC1302" s="50"/>
      <c r="BD1302" s="50"/>
      <c r="BE1302" s="20"/>
      <c r="BF1302" s="518"/>
      <c r="BG1302" s="484"/>
      <c r="BH1302" s="484"/>
      <c r="BI1302" s="527"/>
      <c r="BJ1302" s="484"/>
      <c r="BK1302" s="484"/>
      <c r="BL1302" s="484"/>
      <c r="BM1302" s="484"/>
    </row>
    <row r="1303" spans="1:65" s="22" customFormat="1" x14ac:dyDescent="0.25">
      <c r="A1303" s="20"/>
      <c r="B1303" s="515"/>
      <c r="C1303" s="11"/>
      <c r="D1303" s="11"/>
      <c r="E1303" s="11"/>
      <c r="F1303" s="21"/>
      <c r="G1303" s="11"/>
      <c r="H1303" s="50"/>
      <c r="I1303" s="50"/>
      <c r="J1303" s="50"/>
      <c r="K1303" s="11"/>
      <c r="L1303" s="50"/>
      <c r="M1303" s="50"/>
      <c r="N1303" s="50"/>
      <c r="O1303" s="50"/>
      <c r="P1303" s="50"/>
      <c r="Q1303" s="11"/>
      <c r="R1303" s="50"/>
      <c r="S1303" s="50"/>
      <c r="T1303" s="50"/>
      <c r="U1303" s="11"/>
      <c r="V1303" s="50"/>
      <c r="W1303" s="50"/>
      <c r="X1303" s="50"/>
      <c r="Y1303" s="50"/>
      <c r="Z1303" s="50"/>
      <c r="AA1303" s="11"/>
      <c r="AB1303" s="50"/>
      <c r="AC1303" s="50"/>
      <c r="AD1303" s="50"/>
      <c r="AE1303" s="11"/>
      <c r="AF1303" s="50"/>
      <c r="AG1303" s="50"/>
      <c r="AH1303" s="50"/>
      <c r="AI1303" s="11"/>
      <c r="AJ1303" s="50"/>
      <c r="AK1303" s="50"/>
      <c r="AL1303" s="50"/>
      <c r="AM1303" s="11"/>
      <c r="AN1303" s="50"/>
      <c r="AO1303" s="50"/>
      <c r="AP1303" s="50"/>
      <c r="AQ1303" s="11"/>
      <c r="AR1303" s="50"/>
      <c r="AS1303" s="50"/>
      <c r="AT1303" s="50"/>
      <c r="AU1303" s="11"/>
      <c r="AV1303" s="50"/>
      <c r="AW1303" s="50"/>
      <c r="AX1303" s="50"/>
      <c r="AY1303" s="50"/>
      <c r="AZ1303" s="50"/>
      <c r="BA1303" s="50"/>
      <c r="BB1303" s="50"/>
      <c r="BC1303" s="50"/>
      <c r="BD1303" s="50"/>
      <c r="BE1303" s="20"/>
      <c r="BF1303" s="518"/>
      <c r="BG1303" s="484"/>
      <c r="BH1303" s="484"/>
      <c r="BI1303" s="527"/>
      <c r="BJ1303" s="484"/>
      <c r="BK1303" s="484"/>
      <c r="BL1303" s="484"/>
      <c r="BM1303" s="484"/>
    </row>
    <row r="1304" spans="1:65" s="22" customFormat="1" x14ac:dyDescent="0.25">
      <c r="A1304" s="20"/>
      <c r="B1304" s="515"/>
      <c r="C1304" s="11"/>
      <c r="D1304" s="11"/>
      <c r="E1304" s="11"/>
      <c r="F1304" s="21"/>
      <c r="G1304" s="11"/>
      <c r="H1304" s="50"/>
      <c r="I1304" s="50"/>
      <c r="J1304" s="50"/>
      <c r="K1304" s="11"/>
      <c r="L1304" s="50"/>
      <c r="M1304" s="50"/>
      <c r="N1304" s="50"/>
      <c r="O1304" s="50"/>
      <c r="P1304" s="50"/>
      <c r="Q1304" s="11"/>
      <c r="R1304" s="50"/>
      <c r="S1304" s="50"/>
      <c r="T1304" s="50"/>
      <c r="U1304" s="11"/>
      <c r="V1304" s="50"/>
      <c r="W1304" s="50"/>
      <c r="X1304" s="50"/>
      <c r="Y1304" s="50"/>
      <c r="Z1304" s="50"/>
      <c r="AA1304" s="11"/>
      <c r="AB1304" s="50"/>
      <c r="AC1304" s="50"/>
      <c r="AD1304" s="50"/>
      <c r="AE1304" s="11"/>
      <c r="AF1304" s="50"/>
      <c r="AG1304" s="50"/>
      <c r="AH1304" s="50"/>
      <c r="AI1304" s="11"/>
      <c r="AJ1304" s="50"/>
      <c r="AK1304" s="50"/>
      <c r="AL1304" s="50"/>
      <c r="AM1304" s="11"/>
      <c r="AN1304" s="50"/>
      <c r="AO1304" s="50"/>
      <c r="AP1304" s="50"/>
      <c r="AQ1304" s="11"/>
      <c r="AR1304" s="50"/>
      <c r="AS1304" s="50"/>
      <c r="AT1304" s="50"/>
      <c r="AU1304" s="11"/>
      <c r="AV1304" s="50"/>
      <c r="AW1304" s="50"/>
      <c r="AX1304" s="50"/>
      <c r="AY1304" s="50"/>
      <c r="AZ1304" s="50"/>
      <c r="BA1304" s="50"/>
      <c r="BB1304" s="50"/>
      <c r="BC1304" s="50"/>
      <c r="BD1304" s="50"/>
      <c r="BE1304" s="20"/>
      <c r="BF1304" s="518"/>
      <c r="BG1304" s="484"/>
      <c r="BH1304" s="484"/>
      <c r="BI1304" s="527"/>
      <c r="BJ1304" s="484"/>
      <c r="BK1304" s="484"/>
      <c r="BL1304" s="484"/>
      <c r="BM1304" s="484"/>
    </row>
    <row r="1305" spans="1:65" s="22" customFormat="1" x14ac:dyDescent="0.25">
      <c r="A1305" s="20"/>
      <c r="B1305" s="515"/>
      <c r="C1305" s="11"/>
      <c r="D1305" s="11"/>
      <c r="E1305" s="11"/>
      <c r="F1305" s="21"/>
      <c r="G1305" s="11"/>
      <c r="H1305" s="50"/>
      <c r="I1305" s="50"/>
      <c r="J1305" s="50"/>
      <c r="K1305" s="11"/>
      <c r="L1305" s="50"/>
      <c r="M1305" s="50"/>
      <c r="N1305" s="50"/>
      <c r="O1305" s="50"/>
      <c r="P1305" s="50"/>
      <c r="Q1305" s="11"/>
      <c r="R1305" s="50"/>
      <c r="S1305" s="50"/>
      <c r="T1305" s="50"/>
      <c r="U1305" s="11"/>
      <c r="V1305" s="50"/>
      <c r="W1305" s="50"/>
      <c r="X1305" s="50"/>
      <c r="Y1305" s="50"/>
      <c r="Z1305" s="50"/>
      <c r="AA1305" s="11"/>
      <c r="AB1305" s="50"/>
      <c r="AC1305" s="50"/>
      <c r="AD1305" s="50"/>
      <c r="AE1305" s="11"/>
      <c r="AF1305" s="50"/>
      <c r="AG1305" s="50"/>
      <c r="AH1305" s="50"/>
      <c r="AI1305" s="11"/>
      <c r="AJ1305" s="50"/>
      <c r="AK1305" s="50"/>
      <c r="AL1305" s="50"/>
      <c r="AM1305" s="11"/>
      <c r="AN1305" s="50"/>
      <c r="AO1305" s="50"/>
      <c r="AP1305" s="50"/>
      <c r="AQ1305" s="11"/>
      <c r="AR1305" s="50"/>
      <c r="AS1305" s="50"/>
      <c r="AT1305" s="50"/>
      <c r="AU1305" s="11"/>
      <c r="AV1305" s="50"/>
      <c r="AW1305" s="50"/>
      <c r="AX1305" s="50"/>
      <c r="AY1305" s="50"/>
      <c r="AZ1305" s="50"/>
      <c r="BA1305" s="50"/>
      <c r="BB1305" s="50"/>
      <c r="BC1305" s="50"/>
      <c r="BD1305" s="50"/>
      <c r="BE1305" s="20"/>
      <c r="BF1305" s="518"/>
      <c r="BG1305" s="484"/>
      <c r="BH1305" s="484"/>
      <c r="BI1305" s="527"/>
      <c r="BJ1305" s="484"/>
      <c r="BK1305" s="484"/>
      <c r="BL1305" s="484"/>
      <c r="BM1305" s="484"/>
    </row>
    <row r="1306" spans="1:65" s="22" customFormat="1" x14ac:dyDescent="0.25">
      <c r="A1306" s="20"/>
      <c r="B1306" s="515"/>
      <c r="C1306" s="11"/>
      <c r="D1306" s="11"/>
      <c r="E1306" s="11"/>
      <c r="F1306" s="21"/>
      <c r="G1306" s="11"/>
      <c r="H1306" s="50"/>
      <c r="I1306" s="50"/>
      <c r="J1306" s="50"/>
      <c r="K1306" s="11"/>
      <c r="L1306" s="50"/>
      <c r="M1306" s="50"/>
      <c r="N1306" s="50"/>
      <c r="O1306" s="50"/>
      <c r="P1306" s="50"/>
      <c r="Q1306" s="11"/>
      <c r="R1306" s="50"/>
      <c r="S1306" s="50"/>
      <c r="T1306" s="50"/>
      <c r="U1306" s="11"/>
      <c r="V1306" s="50"/>
      <c r="W1306" s="50"/>
      <c r="X1306" s="50"/>
      <c r="Y1306" s="50"/>
      <c r="Z1306" s="50"/>
      <c r="AA1306" s="11"/>
      <c r="AB1306" s="50"/>
      <c r="AC1306" s="50"/>
      <c r="AD1306" s="50"/>
      <c r="AE1306" s="11"/>
      <c r="AF1306" s="50"/>
      <c r="AG1306" s="50"/>
      <c r="AH1306" s="50"/>
      <c r="AI1306" s="11"/>
      <c r="AJ1306" s="50"/>
      <c r="AK1306" s="50"/>
      <c r="AL1306" s="50"/>
      <c r="AM1306" s="11"/>
      <c r="AN1306" s="50"/>
      <c r="AO1306" s="50"/>
      <c r="AP1306" s="50"/>
      <c r="AQ1306" s="11"/>
      <c r="AR1306" s="50"/>
      <c r="AS1306" s="50"/>
      <c r="AT1306" s="50"/>
      <c r="AU1306" s="11"/>
      <c r="AV1306" s="50"/>
      <c r="AW1306" s="50"/>
      <c r="AX1306" s="50"/>
      <c r="AY1306" s="50"/>
      <c r="AZ1306" s="50"/>
      <c r="BA1306" s="50"/>
      <c r="BB1306" s="50"/>
      <c r="BC1306" s="50"/>
      <c r="BD1306" s="50"/>
      <c r="BE1306" s="20"/>
      <c r="BF1306" s="518"/>
      <c r="BG1306" s="484"/>
      <c r="BH1306" s="484"/>
      <c r="BI1306" s="527"/>
      <c r="BJ1306" s="484"/>
      <c r="BK1306" s="484"/>
      <c r="BL1306" s="484"/>
      <c r="BM1306" s="484"/>
    </row>
    <row r="1307" spans="1:65" s="22" customFormat="1" x14ac:dyDescent="0.25">
      <c r="A1307" s="20"/>
      <c r="B1307" s="515"/>
      <c r="C1307" s="11"/>
      <c r="D1307" s="11"/>
      <c r="E1307" s="11"/>
      <c r="F1307" s="21"/>
      <c r="G1307" s="11"/>
      <c r="H1307" s="50"/>
      <c r="I1307" s="50"/>
      <c r="J1307" s="50"/>
      <c r="K1307" s="11"/>
      <c r="L1307" s="50"/>
      <c r="M1307" s="50"/>
      <c r="N1307" s="50"/>
      <c r="O1307" s="50"/>
      <c r="P1307" s="50"/>
      <c r="Q1307" s="11"/>
      <c r="R1307" s="50"/>
      <c r="S1307" s="50"/>
      <c r="T1307" s="50"/>
      <c r="U1307" s="11"/>
      <c r="V1307" s="50"/>
      <c r="W1307" s="50"/>
      <c r="X1307" s="50"/>
      <c r="Y1307" s="50"/>
      <c r="Z1307" s="50"/>
      <c r="AA1307" s="11"/>
      <c r="AB1307" s="50"/>
      <c r="AC1307" s="50"/>
      <c r="AD1307" s="50"/>
      <c r="AE1307" s="11"/>
      <c r="AF1307" s="50"/>
      <c r="AG1307" s="50"/>
      <c r="AH1307" s="50"/>
      <c r="AI1307" s="11"/>
      <c r="AJ1307" s="50"/>
      <c r="AK1307" s="50"/>
      <c r="AL1307" s="50"/>
      <c r="AM1307" s="11"/>
      <c r="AN1307" s="50"/>
      <c r="AO1307" s="50"/>
      <c r="AP1307" s="50"/>
      <c r="AQ1307" s="11"/>
      <c r="AR1307" s="50"/>
      <c r="AS1307" s="50"/>
      <c r="AT1307" s="50"/>
      <c r="AU1307" s="11"/>
      <c r="AV1307" s="50"/>
      <c r="AW1307" s="50"/>
      <c r="AX1307" s="50"/>
      <c r="AY1307" s="50"/>
      <c r="AZ1307" s="50"/>
      <c r="BA1307" s="50"/>
      <c r="BB1307" s="50"/>
      <c r="BC1307" s="50"/>
      <c r="BD1307" s="50"/>
      <c r="BE1307" s="20"/>
      <c r="BF1307" s="518"/>
      <c r="BG1307" s="484"/>
      <c r="BH1307" s="484"/>
      <c r="BI1307" s="527"/>
      <c r="BJ1307" s="484"/>
      <c r="BK1307" s="484"/>
      <c r="BL1307" s="484"/>
      <c r="BM1307" s="484"/>
    </row>
    <row r="1308" spans="1:65" s="22" customFormat="1" x14ac:dyDescent="0.25">
      <c r="A1308" s="20"/>
      <c r="B1308" s="515"/>
      <c r="C1308" s="11"/>
      <c r="D1308" s="11"/>
      <c r="E1308" s="11"/>
      <c r="F1308" s="21"/>
      <c r="G1308" s="11"/>
      <c r="H1308" s="50"/>
      <c r="I1308" s="50"/>
      <c r="J1308" s="50"/>
      <c r="K1308" s="11"/>
      <c r="L1308" s="50"/>
      <c r="M1308" s="50"/>
      <c r="N1308" s="50"/>
      <c r="O1308" s="50"/>
      <c r="P1308" s="50"/>
      <c r="Q1308" s="11"/>
      <c r="R1308" s="50"/>
      <c r="S1308" s="50"/>
      <c r="T1308" s="50"/>
      <c r="U1308" s="11"/>
      <c r="V1308" s="50"/>
      <c r="W1308" s="50"/>
      <c r="X1308" s="50"/>
      <c r="Y1308" s="50"/>
      <c r="Z1308" s="50"/>
      <c r="AA1308" s="11"/>
      <c r="AB1308" s="50"/>
      <c r="AC1308" s="50"/>
      <c r="AD1308" s="50"/>
      <c r="AE1308" s="11"/>
      <c r="AF1308" s="50"/>
      <c r="AG1308" s="50"/>
      <c r="AH1308" s="50"/>
      <c r="AI1308" s="11"/>
      <c r="AJ1308" s="50"/>
      <c r="AK1308" s="50"/>
      <c r="AL1308" s="50"/>
      <c r="AM1308" s="11"/>
      <c r="AN1308" s="50"/>
      <c r="AO1308" s="50"/>
      <c r="AP1308" s="50"/>
      <c r="AQ1308" s="11"/>
      <c r="AR1308" s="50"/>
      <c r="AS1308" s="50"/>
      <c r="AT1308" s="50"/>
      <c r="AU1308" s="11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20"/>
      <c r="BF1308" s="518"/>
      <c r="BG1308" s="484"/>
      <c r="BH1308" s="484"/>
      <c r="BI1308" s="527"/>
      <c r="BJ1308" s="484"/>
      <c r="BK1308" s="484"/>
      <c r="BL1308" s="484"/>
      <c r="BM1308" s="484"/>
    </row>
    <row r="1309" spans="1:65" s="22" customFormat="1" x14ac:dyDescent="0.25">
      <c r="A1309" s="20"/>
      <c r="B1309" s="515"/>
      <c r="C1309" s="11"/>
      <c r="D1309" s="11"/>
      <c r="E1309" s="11"/>
      <c r="F1309" s="21"/>
      <c r="G1309" s="11"/>
      <c r="H1309" s="50"/>
      <c r="I1309" s="50"/>
      <c r="J1309" s="50"/>
      <c r="K1309" s="11"/>
      <c r="L1309" s="50"/>
      <c r="M1309" s="50"/>
      <c r="N1309" s="50"/>
      <c r="O1309" s="50"/>
      <c r="P1309" s="50"/>
      <c r="Q1309" s="11"/>
      <c r="R1309" s="50"/>
      <c r="S1309" s="50"/>
      <c r="T1309" s="50"/>
      <c r="U1309" s="11"/>
      <c r="V1309" s="50"/>
      <c r="W1309" s="50"/>
      <c r="X1309" s="50"/>
      <c r="Y1309" s="50"/>
      <c r="Z1309" s="50"/>
      <c r="AA1309" s="11"/>
      <c r="AB1309" s="50"/>
      <c r="AC1309" s="50"/>
      <c r="AD1309" s="50"/>
      <c r="AE1309" s="11"/>
      <c r="AF1309" s="50"/>
      <c r="AG1309" s="50"/>
      <c r="AH1309" s="50"/>
      <c r="AI1309" s="11"/>
      <c r="AJ1309" s="50"/>
      <c r="AK1309" s="50"/>
      <c r="AL1309" s="50"/>
      <c r="AM1309" s="11"/>
      <c r="AN1309" s="50"/>
      <c r="AO1309" s="50"/>
      <c r="AP1309" s="50"/>
      <c r="AQ1309" s="11"/>
      <c r="AR1309" s="50"/>
      <c r="AS1309" s="50"/>
      <c r="AT1309" s="50"/>
      <c r="AU1309" s="11"/>
      <c r="AV1309" s="50"/>
      <c r="AW1309" s="50"/>
      <c r="AX1309" s="50"/>
      <c r="AY1309" s="50"/>
      <c r="AZ1309" s="50"/>
      <c r="BA1309" s="50"/>
      <c r="BB1309" s="50"/>
      <c r="BC1309" s="50"/>
      <c r="BD1309" s="50"/>
      <c r="BE1309" s="20"/>
      <c r="BF1309" s="518"/>
      <c r="BG1309" s="484"/>
      <c r="BH1309" s="484"/>
      <c r="BI1309" s="527"/>
      <c r="BJ1309" s="484"/>
      <c r="BK1309" s="484"/>
      <c r="BL1309" s="484"/>
      <c r="BM1309" s="484"/>
    </row>
    <row r="1310" spans="1:65" s="22" customFormat="1" x14ac:dyDescent="0.25">
      <c r="A1310" s="20"/>
      <c r="B1310" s="515"/>
      <c r="C1310" s="11"/>
      <c r="D1310" s="11"/>
      <c r="E1310" s="11"/>
      <c r="F1310" s="21"/>
      <c r="G1310" s="11"/>
      <c r="H1310" s="50"/>
      <c r="I1310" s="50"/>
      <c r="J1310" s="50"/>
      <c r="K1310" s="11"/>
      <c r="L1310" s="50"/>
      <c r="M1310" s="50"/>
      <c r="N1310" s="50"/>
      <c r="O1310" s="50"/>
      <c r="P1310" s="50"/>
      <c r="Q1310" s="11"/>
      <c r="R1310" s="50"/>
      <c r="S1310" s="50"/>
      <c r="T1310" s="50"/>
      <c r="U1310" s="11"/>
      <c r="V1310" s="50"/>
      <c r="W1310" s="50"/>
      <c r="X1310" s="50"/>
      <c r="Y1310" s="50"/>
      <c r="Z1310" s="50"/>
      <c r="AA1310" s="11"/>
      <c r="AB1310" s="50"/>
      <c r="AC1310" s="50"/>
      <c r="AD1310" s="50"/>
      <c r="AE1310" s="11"/>
      <c r="AF1310" s="50"/>
      <c r="AG1310" s="50"/>
      <c r="AH1310" s="50"/>
      <c r="AI1310" s="11"/>
      <c r="AJ1310" s="50"/>
      <c r="AK1310" s="50"/>
      <c r="AL1310" s="50"/>
      <c r="AM1310" s="11"/>
      <c r="AN1310" s="50"/>
      <c r="AO1310" s="50"/>
      <c r="AP1310" s="50"/>
      <c r="AQ1310" s="11"/>
      <c r="AR1310" s="50"/>
      <c r="AS1310" s="50"/>
      <c r="AT1310" s="50"/>
      <c r="AU1310" s="11"/>
      <c r="AV1310" s="50"/>
      <c r="AW1310" s="50"/>
      <c r="AX1310" s="50"/>
      <c r="AY1310" s="50"/>
      <c r="AZ1310" s="50"/>
      <c r="BA1310" s="50"/>
      <c r="BB1310" s="50"/>
      <c r="BC1310" s="50"/>
      <c r="BD1310" s="50"/>
      <c r="BE1310" s="20"/>
      <c r="BF1310" s="518"/>
      <c r="BG1310" s="484"/>
      <c r="BH1310" s="484"/>
      <c r="BI1310" s="527"/>
      <c r="BJ1310" s="484"/>
      <c r="BK1310" s="484"/>
      <c r="BL1310" s="484"/>
      <c r="BM1310" s="484"/>
    </row>
    <row r="1311" spans="1:65" s="22" customFormat="1" x14ac:dyDescent="0.25">
      <c r="A1311" s="20"/>
      <c r="B1311" s="515"/>
      <c r="C1311" s="11"/>
      <c r="D1311" s="11"/>
      <c r="E1311" s="11"/>
      <c r="F1311" s="21"/>
      <c r="G1311" s="11"/>
      <c r="H1311" s="50"/>
      <c r="I1311" s="50"/>
      <c r="J1311" s="50"/>
      <c r="K1311" s="11"/>
      <c r="L1311" s="50"/>
      <c r="M1311" s="50"/>
      <c r="N1311" s="50"/>
      <c r="O1311" s="50"/>
      <c r="P1311" s="50"/>
      <c r="Q1311" s="11"/>
      <c r="R1311" s="50"/>
      <c r="S1311" s="50"/>
      <c r="T1311" s="50"/>
      <c r="U1311" s="11"/>
      <c r="V1311" s="50"/>
      <c r="W1311" s="50"/>
      <c r="X1311" s="50"/>
      <c r="Y1311" s="50"/>
      <c r="Z1311" s="50"/>
      <c r="AA1311" s="11"/>
      <c r="AB1311" s="50"/>
      <c r="AC1311" s="50"/>
      <c r="AD1311" s="50"/>
      <c r="AE1311" s="11"/>
      <c r="AF1311" s="50"/>
      <c r="AG1311" s="50"/>
      <c r="AH1311" s="50"/>
      <c r="AI1311" s="11"/>
      <c r="AJ1311" s="50"/>
      <c r="AK1311" s="50"/>
      <c r="AL1311" s="50"/>
      <c r="AM1311" s="11"/>
      <c r="AN1311" s="50"/>
      <c r="AO1311" s="50"/>
      <c r="AP1311" s="50"/>
      <c r="AQ1311" s="11"/>
      <c r="AR1311" s="50"/>
      <c r="AS1311" s="50"/>
      <c r="AT1311" s="50"/>
      <c r="AU1311" s="11"/>
      <c r="AV1311" s="50"/>
      <c r="AW1311" s="50"/>
      <c r="AX1311" s="50"/>
      <c r="AY1311" s="50"/>
      <c r="AZ1311" s="50"/>
      <c r="BA1311" s="50"/>
      <c r="BB1311" s="50"/>
      <c r="BC1311" s="50"/>
      <c r="BD1311" s="50"/>
      <c r="BE1311" s="20"/>
      <c r="BF1311" s="518"/>
      <c r="BG1311" s="484"/>
      <c r="BH1311" s="484"/>
      <c r="BI1311" s="527"/>
      <c r="BJ1311" s="484"/>
      <c r="BK1311" s="484"/>
      <c r="BL1311" s="484"/>
      <c r="BM1311" s="484"/>
    </row>
    <row r="1312" spans="1:65" s="22" customFormat="1" x14ac:dyDescent="0.25">
      <c r="A1312" s="20"/>
      <c r="B1312" s="515"/>
      <c r="C1312" s="11"/>
      <c r="D1312" s="11"/>
      <c r="E1312" s="11"/>
      <c r="F1312" s="21"/>
      <c r="G1312" s="11"/>
      <c r="H1312" s="50"/>
      <c r="I1312" s="50"/>
      <c r="J1312" s="50"/>
      <c r="K1312" s="11"/>
      <c r="L1312" s="50"/>
      <c r="M1312" s="50"/>
      <c r="N1312" s="50"/>
      <c r="O1312" s="50"/>
      <c r="P1312" s="50"/>
      <c r="Q1312" s="11"/>
      <c r="R1312" s="50"/>
      <c r="S1312" s="50"/>
      <c r="T1312" s="50"/>
      <c r="U1312" s="11"/>
      <c r="V1312" s="50"/>
      <c r="W1312" s="50"/>
      <c r="X1312" s="50"/>
      <c r="Y1312" s="50"/>
      <c r="Z1312" s="50"/>
      <c r="AA1312" s="11"/>
      <c r="AB1312" s="50"/>
      <c r="AC1312" s="50"/>
      <c r="AD1312" s="50"/>
      <c r="AE1312" s="11"/>
      <c r="AF1312" s="50"/>
      <c r="AG1312" s="50"/>
      <c r="AH1312" s="50"/>
      <c r="AI1312" s="11"/>
      <c r="AJ1312" s="50"/>
      <c r="AK1312" s="50"/>
      <c r="AL1312" s="50"/>
      <c r="AM1312" s="11"/>
      <c r="AN1312" s="50"/>
      <c r="AO1312" s="50"/>
      <c r="AP1312" s="50"/>
      <c r="AQ1312" s="11"/>
      <c r="AR1312" s="50"/>
      <c r="AS1312" s="50"/>
      <c r="AT1312" s="50"/>
      <c r="AU1312" s="11"/>
      <c r="AV1312" s="50"/>
      <c r="AW1312" s="50"/>
      <c r="AX1312" s="50"/>
      <c r="AY1312" s="50"/>
      <c r="AZ1312" s="50"/>
      <c r="BA1312" s="50"/>
      <c r="BB1312" s="50"/>
      <c r="BC1312" s="50"/>
      <c r="BD1312" s="50"/>
      <c r="BE1312" s="20"/>
      <c r="BF1312" s="518"/>
      <c r="BG1312" s="484"/>
      <c r="BH1312" s="484"/>
      <c r="BI1312" s="527"/>
      <c r="BJ1312" s="484"/>
      <c r="BK1312" s="484"/>
      <c r="BL1312" s="484"/>
      <c r="BM1312" s="484"/>
    </row>
    <row r="1313" spans="1:65" s="22" customFormat="1" x14ac:dyDescent="0.25">
      <c r="A1313" s="20"/>
      <c r="B1313" s="515"/>
      <c r="C1313" s="11"/>
      <c r="D1313" s="11"/>
      <c r="E1313" s="11"/>
      <c r="F1313" s="21"/>
      <c r="G1313" s="11"/>
      <c r="H1313" s="50"/>
      <c r="I1313" s="50"/>
      <c r="J1313" s="50"/>
      <c r="K1313" s="11"/>
      <c r="L1313" s="50"/>
      <c r="M1313" s="50"/>
      <c r="N1313" s="50"/>
      <c r="O1313" s="50"/>
      <c r="P1313" s="50"/>
      <c r="Q1313" s="11"/>
      <c r="R1313" s="50"/>
      <c r="S1313" s="50"/>
      <c r="T1313" s="50"/>
      <c r="U1313" s="11"/>
      <c r="V1313" s="50"/>
      <c r="W1313" s="50"/>
      <c r="X1313" s="50"/>
      <c r="Y1313" s="50"/>
      <c r="Z1313" s="50"/>
      <c r="AA1313" s="11"/>
      <c r="AB1313" s="50"/>
      <c r="AC1313" s="50"/>
      <c r="AD1313" s="50"/>
      <c r="AE1313" s="11"/>
      <c r="AF1313" s="50"/>
      <c r="AG1313" s="50"/>
      <c r="AH1313" s="50"/>
      <c r="AI1313" s="11"/>
      <c r="AJ1313" s="50"/>
      <c r="AK1313" s="50"/>
      <c r="AL1313" s="50"/>
      <c r="AM1313" s="11"/>
      <c r="AN1313" s="50"/>
      <c r="AO1313" s="50"/>
      <c r="AP1313" s="50"/>
      <c r="AQ1313" s="11"/>
      <c r="AR1313" s="50"/>
      <c r="AS1313" s="50"/>
      <c r="AT1313" s="50"/>
      <c r="AU1313" s="11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20"/>
      <c r="BF1313" s="518"/>
      <c r="BG1313" s="484"/>
      <c r="BH1313" s="484"/>
      <c r="BI1313" s="527"/>
      <c r="BJ1313" s="484"/>
      <c r="BK1313" s="484"/>
      <c r="BL1313" s="484"/>
      <c r="BM1313" s="484"/>
    </row>
    <row r="1314" spans="1:65" s="22" customFormat="1" x14ac:dyDescent="0.25">
      <c r="A1314" s="20"/>
      <c r="B1314" s="515"/>
      <c r="C1314" s="11"/>
      <c r="D1314" s="11"/>
      <c r="E1314" s="11"/>
      <c r="F1314" s="21"/>
      <c r="G1314" s="11"/>
      <c r="H1314" s="50"/>
      <c r="I1314" s="50"/>
      <c r="J1314" s="50"/>
      <c r="K1314" s="11"/>
      <c r="L1314" s="50"/>
      <c r="M1314" s="50"/>
      <c r="N1314" s="50"/>
      <c r="O1314" s="50"/>
      <c r="P1314" s="50"/>
      <c r="Q1314" s="11"/>
      <c r="R1314" s="50"/>
      <c r="S1314" s="50"/>
      <c r="T1314" s="50"/>
      <c r="U1314" s="11"/>
      <c r="V1314" s="50"/>
      <c r="W1314" s="50"/>
      <c r="X1314" s="50"/>
      <c r="Y1314" s="50"/>
      <c r="Z1314" s="50"/>
      <c r="AA1314" s="11"/>
      <c r="AB1314" s="50"/>
      <c r="AC1314" s="50"/>
      <c r="AD1314" s="50"/>
      <c r="AE1314" s="11"/>
      <c r="AF1314" s="50"/>
      <c r="AG1314" s="50"/>
      <c r="AH1314" s="50"/>
      <c r="AI1314" s="11"/>
      <c r="AJ1314" s="50"/>
      <c r="AK1314" s="50"/>
      <c r="AL1314" s="50"/>
      <c r="AM1314" s="11"/>
      <c r="AN1314" s="50"/>
      <c r="AO1314" s="50"/>
      <c r="AP1314" s="50"/>
      <c r="AQ1314" s="11"/>
      <c r="AR1314" s="50"/>
      <c r="AS1314" s="50"/>
      <c r="AT1314" s="50"/>
      <c r="AU1314" s="11"/>
      <c r="AV1314" s="50"/>
      <c r="AW1314" s="50"/>
      <c r="AX1314" s="50"/>
      <c r="AY1314" s="50"/>
      <c r="AZ1314" s="50"/>
      <c r="BA1314" s="50"/>
      <c r="BB1314" s="50"/>
      <c r="BC1314" s="50"/>
      <c r="BD1314" s="50"/>
      <c r="BE1314" s="20"/>
      <c r="BF1314" s="518"/>
      <c r="BG1314" s="484"/>
      <c r="BH1314" s="484"/>
      <c r="BI1314" s="527"/>
      <c r="BJ1314" s="484"/>
      <c r="BK1314" s="484"/>
      <c r="BL1314" s="484"/>
      <c r="BM1314" s="484"/>
    </row>
    <row r="1315" spans="1:65" s="22" customFormat="1" x14ac:dyDescent="0.25">
      <c r="A1315" s="20"/>
      <c r="B1315" s="515"/>
      <c r="C1315" s="11"/>
      <c r="D1315" s="11"/>
      <c r="E1315" s="11"/>
      <c r="F1315" s="21"/>
      <c r="G1315" s="11"/>
      <c r="H1315" s="50"/>
      <c r="I1315" s="50"/>
      <c r="J1315" s="50"/>
      <c r="K1315" s="11"/>
      <c r="L1315" s="50"/>
      <c r="M1315" s="50"/>
      <c r="N1315" s="50"/>
      <c r="O1315" s="50"/>
      <c r="P1315" s="50"/>
      <c r="Q1315" s="11"/>
      <c r="R1315" s="50"/>
      <c r="S1315" s="50"/>
      <c r="T1315" s="50"/>
      <c r="U1315" s="11"/>
      <c r="V1315" s="50"/>
      <c r="W1315" s="50"/>
      <c r="X1315" s="50"/>
      <c r="Y1315" s="50"/>
      <c r="Z1315" s="50"/>
      <c r="AA1315" s="11"/>
      <c r="AB1315" s="50"/>
      <c r="AC1315" s="50"/>
      <c r="AD1315" s="50"/>
      <c r="AE1315" s="11"/>
      <c r="AF1315" s="50"/>
      <c r="AG1315" s="50"/>
      <c r="AH1315" s="50"/>
      <c r="AI1315" s="11"/>
      <c r="AJ1315" s="50"/>
      <c r="AK1315" s="50"/>
      <c r="AL1315" s="50"/>
      <c r="AM1315" s="11"/>
      <c r="AN1315" s="50"/>
      <c r="AO1315" s="50"/>
      <c r="AP1315" s="50"/>
      <c r="AQ1315" s="11"/>
      <c r="AR1315" s="50"/>
      <c r="AS1315" s="50"/>
      <c r="AT1315" s="50"/>
      <c r="AU1315" s="11"/>
      <c r="AV1315" s="50"/>
      <c r="AW1315" s="50"/>
      <c r="AX1315" s="50"/>
      <c r="AY1315" s="50"/>
      <c r="AZ1315" s="50"/>
      <c r="BA1315" s="50"/>
      <c r="BB1315" s="50"/>
      <c r="BC1315" s="50"/>
      <c r="BD1315" s="50"/>
      <c r="BE1315" s="20"/>
      <c r="BF1315" s="518"/>
      <c r="BG1315" s="484"/>
      <c r="BH1315" s="484"/>
      <c r="BI1315" s="527"/>
      <c r="BJ1315" s="484"/>
      <c r="BK1315" s="484"/>
      <c r="BL1315" s="484"/>
      <c r="BM1315" s="484"/>
    </row>
    <row r="1316" spans="1:65" s="22" customFormat="1" x14ac:dyDescent="0.25">
      <c r="A1316" s="20"/>
      <c r="B1316" s="515"/>
      <c r="C1316" s="11"/>
      <c r="D1316" s="11"/>
      <c r="E1316" s="11"/>
      <c r="F1316" s="21"/>
      <c r="G1316" s="11"/>
      <c r="H1316" s="50"/>
      <c r="I1316" s="50"/>
      <c r="J1316" s="50"/>
      <c r="K1316" s="11"/>
      <c r="L1316" s="50"/>
      <c r="M1316" s="50"/>
      <c r="N1316" s="50"/>
      <c r="O1316" s="50"/>
      <c r="P1316" s="50"/>
      <c r="Q1316" s="11"/>
      <c r="R1316" s="50"/>
      <c r="S1316" s="50"/>
      <c r="T1316" s="50"/>
      <c r="U1316" s="11"/>
      <c r="V1316" s="50"/>
      <c r="W1316" s="50"/>
      <c r="X1316" s="50"/>
      <c r="Y1316" s="50"/>
      <c r="Z1316" s="50"/>
      <c r="AA1316" s="11"/>
      <c r="AB1316" s="50"/>
      <c r="AC1316" s="50"/>
      <c r="AD1316" s="50"/>
      <c r="AE1316" s="11"/>
      <c r="AF1316" s="50"/>
      <c r="AG1316" s="50"/>
      <c r="AH1316" s="50"/>
      <c r="AI1316" s="11"/>
      <c r="AJ1316" s="50"/>
      <c r="AK1316" s="50"/>
      <c r="AL1316" s="50"/>
      <c r="AM1316" s="11"/>
      <c r="AN1316" s="50"/>
      <c r="AO1316" s="50"/>
      <c r="AP1316" s="50"/>
      <c r="AQ1316" s="11"/>
      <c r="AR1316" s="50"/>
      <c r="AS1316" s="50"/>
      <c r="AT1316" s="50"/>
      <c r="AU1316" s="11"/>
      <c r="AV1316" s="50"/>
      <c r="AW1316" s="50"/>
      <c r="AX1316" s="50"/>
      <c r="AY1316" s="50"/>
      <c r="AZ1316" s="50"/>
      <c r="BA1316" s="50"/>
      <c r="BB1316" s="50"/>
      <c r="BC1316" s="50"/>
      <c r="BD1316" s="50"/>
      <c r="BE1316" s="20"/>
      <c r="BF1316" s="518"/>
      <c r="BG1316" s="484"/>
      <c r="BH1316" s="484"/>
      <c r="BI1316" s="527"/>
      <c r="BJ1316" s="484"/>
      <c r="BK1316" s="484"/>
      <c r="BL1316" s="484"/>
      <c r="BM1316" s="484"/>
    </row>
    <row r="1317" spans="1:65" s="22" customFormat="1" x14ac:dyDescent="0.25">
      <c r="A1317" s="20"/>
      <c r="B1317" s="515"/>
      <c r="C1317" s="11"/>
      <c r="D1317" s="11"/>
      <c r="E1317" s="11"/>
      <c r="F1317" s="21"/>
      <c r="G1317" s="11"/>
      <c r="H1317" s="50"/>
      <c r="I1317" s="50"/>
      <c r="J1317" s="50"/>
      <c r="K1317" s="11"/>
      <c r="L1317" s="50"/>
      <c r="M1317" s="50"/>
      <c r="N1317" s="50"/>
      <c r="O1317" s="50"/>
      <c r="P1317" s="50"/>
      <c r="Q1317" s="11"/>
      <c r="R1317" s="50"/>
      <c r="S1317" s="50"/>
      <c r="T1317" s="50"/>
      <c r="U1317" s="11"/>
      <c r="V1317" s="50"/>
      <c r="W1317" s="50"/>
      <c r="X1317" s="50"/>
      <c r="Y1317" s="50"/>
      <c r="Z1317" s="50"/>
      <c r="AA1317" s="11"/>
      <c r="AB1317" s="50"/>
      <c r="AC1317" s="50"/>
      <c r="AD1317" s="50"/>
      <c r="AE1317" s="11"/>
      <c r="AF1317" s="50"/>
      <c r="AG1317" s="50"/>
      <c r="AH1317" s="50"/>
      <c r="AI1317" s="11"/>
      <c r="AJ1317" s="50"/>
      <c r="AK1317" s="50"/>
      <c r="AL1317" s="50"/>
      <c r="AM1317" s="11"/>
      <c r="AN1317" s="50"/>
      <c r="AO1317" s="50"/>
      <c r="AP1317" s="50"/>
      <c r="AQ1317" s="11"/>
      <c r="AR1317" s="50"/>
      <c r="AS1317" s="50"/>
      <c r="AT1317" s="50"/>
      <c r="AU1317" s="11"/>
      <c r="AV1317" s="50"/>
      <c r="AW1317" s="50"/>
      <c r="AX1317" s="50"/>
      <c r="AY1317" s="50"/>
      <c r="AZ1317" s="50"/>
      <c r="BA1317" s="50"/>
      <c r="BB1317" s="50"/>
      <c r="BC1317" s="50"/>
      <c r="BD1317" s="50"/>
      <c r="BE1317" s="20"/>
      <c r="BF1317" s="518"/>
      <c r="BG1317" s="484"/>
      <c r="BH1317" s="484"/>
      <c r="BI1317" s="527"/>
      <c r="BJ1317" s="484"/>
      <c r="BK1317" s="484"/>
      <c r="BL1317" s="484"/>
      <c r="BM1317" s="484"/>
    </row>
    <row r="1318" spans="1:65" s="22" customFormat="1" x14ac:dyDescent="0.25">
      <c r="A1318" s="20"/>
      <c r="B1318" s="515"/>
      <c r="C1318" s="11"/>
      <c r="D1318" s="11"/>
      <c r="E1318" s="11"/>
      <c r="F1318" s="21"/>
      <c r="G1318" s="11"/>
      <c r="H1318" s="50"/>
      <c r="I1318" s="50"/>
      <c r="J1318" s="50"/>
      <c r="K1318" s="11"/>
      <c r="L1318" s="50"/>
      <c r="M1318" s="50"/>
      <c r="N1318" s="50"/>
      <c r="O1318" s="50"/>
      <c r="P1318" s="50"/>
      <c r="Q1318" s="11"/>
      <c r="R1318" s="50"/>
      <c r="S1318" s="50"/>
      <c r="T1318" s="50"/>
      <c r="U1318" s="11"/>
      <c r="V1318" s="50"/>
      <c r="W1318" s="50"/>
      <c r="X1318" s="50"/>
      <c r="Y1318" s="50"/>
      <c r="Z1318" s="50"/>
      <c r="AA1318" s="11"/>
      <c r="AB1318" s="50"/>
      <c r="AC1318" s="50"/>
      <c r="AD1318" s="50"/>
      <c r="AE1318" s="11"/>
      <c r="AF1318" s="50"/>
      <c r="AG1318" s="50"/>
      <c r="AH1318" s="50"/>
      <c r="AI1318" s="11"/>
      <c r="AJ1318" s="50"/>
      <c r="AK1318" s="50"/>
      <c r="AL1318" s="50"/>
      <c r="AM1318" s="11"/>
      <c r="AN1318" s="50"/>
      <c r="AO1318" s="50"/>
      <c r="AP1318" s="50"/>
      <c r="AQ1318" s="11"/>
      <c r="AR1318" s="50"/>
      <c r="AS1318" s="50"/>
      <c r="AT1318" s="50"/>
      <c r="AU1318" s="11"/>
      <c r="AV1318" s="50"/>
      <c r="AW1318" s="50"/>
      <c r="AX1318" s="50"/>
      <c r="AY1318" s="50"/>
      <c r="AZ1318" s="50"/>
      <c r="BA1318" s="50"/>
      <c r="BB1318" s="50"/>
      <c r="BC1318" s="50"/>
      <c r="BD1318" s="50"/>
      <c r="BE1318" s="20"/>
      <c r="BF1318" s="518"/>
      <c r="BG1318" s="484"/>
      <c r="BH1318" s="484"/>
      <c r="BI1318" s="527"/>
      <c r="BJ1318" s="484"/>
      <c r="BK1318" s="484"/>
      <c r="BL1318" s="484"/>
      <c r="BM1318" s="484"/>
    </row>
    <row r="1319" spans="1:65" s="22" customFormat="1" x14ac:dyDescent="0.25">
      <c r="A1319" s="20"/>
      <c r="B1319" s="515"/>
      <c r="C1319" s="11"/>
      <c r="D1319" s="11"/>
      <c r="E1319" s="11"/>
      <c r="F1319" s="21"/>
      <c r="G1319" s="11"/>
      <c r="H1319" s="50"/>
      <c r="I1319" s="50"/>
      <c r="J1319" s="50"/>
      <c r="K1319" s="11"/>
      <c r="L1319" s="50"/>
      <c r="M1319" s="50"/>
      <c r="N1319" s="50"/>
      <c r="O1319" s="50"/>
      <c r="P1319" s="50"/>
      <c r="Q1319" s="11"/>
      <c r="R1319" s="50"/>
      <c r="S1319" s="50"/>
      <c r="T1319" s="50"/>
      <c r="U1319" s="11"/>
      <c r="V1319" s="50"/>
      <c r="W1319" s="50"/>
      <c r="X1319" s="50"/>
      <c r="Y1319" s="50"/>
      <c r="Z1319" s="50"/>
      <c r="AA1319" s="11"/>
      <c r="AB1319" s="50"/>
      <c r="AC1319" s="50"/>
      <c r="AD1319" s="50"/>
      <c r="AE1319" s="11"/>
      <c r="AF1319" s="50"/>
      <c r="AG1319" s="50"/>
      <c r="AH1319" s="50"/>
      <c r="AI1319" s="11"/>
      <c r="AJ1319" s="50"/>
      <c r="AK1319" s="50"/>
      <c r="AL1319" s="50"/>
      <c r="AM1319" s="11"/>
      <c r="AN1319" s="50"/>
      <c r="AO1319" s="50"/>
      <c r="AP1319" s="50"/>
      <c r="AQ1319" s="11"/>
      <c r="AR1319" s="50"/>
      <c r="AS1319" s="50"/>
      <c r="AT1319" s="50"/>
      <c r="AU1319" s="11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20"/>
      <c r="BF1319" s="518"/>
      <c r="BG1319" s="484"/>
      <c r="BH1319" s="484"/>
      <c r="BI1319" s="527"/>
      <c r="BJ1319" s="484"/>
      <c r="BK1319" s="484"/>
      <c r="BL1319" s="484"/>
      <c r="BM1319" s="484"/>
    </row>
    <row r="1320" spans="1:65" s="22" customFormat="1" x14ac:dyDescent="0.25">
      <c r="A1320" s="20"/>
      <c r="B1320" s="515"/>
      <c r="C1320" s="11"/>
      <c r="D1320" s="11"/>
      <c r="E1320" s="11"/>
      <c r="F1320" s="21"/>
      <c r="G1320" s="11"/>
      <c r="H1320" s="50"/>
      <c r="I1320" s="50"/>
      <c r="J1320" s="50"/>
      <c r="K1320" s="11"/>
      <c r="L1320" s="50"/>
      <c r="M1320" s="50"/>
      <c r="N1320" s="50"/>
      <c r="O1320" s="50"/>
      <c r="P1320" s="50"/>
      <c r="Q1320" s="11"/>
      <c r="R1320" s="50"/>
      <c r="S1320" s="50"/>
      <c r="T1320" s="50"/>
      <c r="U1320" s="11"/>
      <c r="V1320" s="50"/>
      <c r="W1320" s="50"/>
      <c r="X1320" s="50"/>
      <c r="Y1320" s="50"/>
      <c r="Z1320" s="50"/>
      <c r="AA1320" s="11"/>
      <c r="AB1320" s="50"/>
      <c r="AC1320" s="50"/>
      <c r="AD1320" s="50"/>
      <c r="AE1320" s="11"/>
      <c r="AF1320" s="50"/>
      <c r="AG1320" s="50"/>
      <c r="AH1320" s="50"/>
      <c r="AI1320" s="11"/>
      <c r="AJ1320" s="50"/>
      <c r="AK1320" s="50"/>
      <c r="AL1320" s="50"/>
      <c r="AM1320" s="11"/>
      <c r="AN1320" s="50"/>
      <c r="AO1320" s="50"/>
      <c r="AP1320" s="50"/>
      <c r="AQ1320" s="11"/>
      <c r="AR1320" s="50"/>
      <c r="AS1320" s="50"/>
      <c r="AT1320" s="50"/>
      <c r="AU1320" s="11"/>
      <c r="AV1320" s="50"/>
      <c r="AW1320" s="50"/>
      <c r="AX1320" s="50"/>
      <c r="AY1320" s="50"/>
      <c r="AZ1320" s="50"/>
      <c r="BA1320" s="50"/>
      <c r="BB1320" s="50"/>
      <c r="BC1320" s="50"/>
      <c r="BD1320" s="50"/>
      <c r="BE1320" s="20"/>
      <c r="BF1320" s="518"/>
      <c r="BG1320" s="484"/>
      <c r="BH1320" s="484"/>
      <c r="BI1320" s="527"/>
      <c r="BJ1320" s="484"/>
      <c r="BK1320" s="484"/>
      <c r="BL1320" s="484"/>
      <c r="BM1320" s="484"/>
    </row>
    <row r="1321" spans="1:65" s="22" customFormat="1" x14ac:dyDescent="0.25">
      <c r="A1321" s="20"/>
      <c r="B1321" s="515"/>
      <c r="C1321" s="11"/>
      <c r="D1321" s="11"/>
      <c r="E1321" s="11"/>
      <c r="F1321" s="21"/>
      <c r="G1321" s="11"/>
      <c r="H1321" s="50"/>
      <c r="I1321" s="50"/>
      <c r="J1321" s="50"/>
      <c r="K1321" s="11"/>
      <c r="L1321" s="50"/>
      <c r="M1321" s="50"/>
      <c r="N1321" s="50"/>
      <c r="O1321" s="50"/>
      <c r="P1321" s="50"/>
      <c r="Q1321" s="11"/>
      <c r="R1321" s="50"/>
      <c r="S1321" s="50"/>
      <c r="T1321" s="50"/>
      <c r="U1321" s="11"/>
      <c r="V1321" s="50"/>
      <c r="W1321" s="50"/>
      <c r="X1321" s="50"/>
      <c r="Y1321" s="50"/>
      <c r="Z1321" s="50"/>
      <c r="AA1321" s="11"/>
      <c r="AB1321" s="50"/>
      <c r="AC1321" s="50"/>
      <c r="AD1321" s="50"/>
      <c r="AE1321" s="11"/>
      <c r="AF1321" s="50"/>
      <c r="AG1321" s="50"/>
      <c r="AH1321" s="50"/>
      <c r="AI1321" s="11"/>
      <c r="AJ1321" s="50"/>
      <c r="AK1321" s="50"/>
      <c r="AL1321" s="50"/>
      <c r="AM1321" s="11"/>
      <c r="AN1321" s="50"/>
      <c r="AO1321" s="50"/>
      <c r="AP1321" s="50"/>
      <c r="AQ1321" s="11"/>
      <c r="AR1321" s="50"/>
      <c r="AS1321" s="50"/>
      <c r="AT1321" s="50"/>
      <c r="AU1321" s="11"/>
      <c r="AV1321" s="50"/>
      <c r="AW1321" s="50"/>
      <c r="AX1321" s="50"/>
      <c r="AY1321" s="50"/>
      <c r="AZ1321" s="50"/>
      <c r="BA1321" s="50"/>
      <c r="BB1321" s="50"/>
      <c r="BC1321" s="50"/>
      <c r="BD1321" s="50"/>
      <c r="BE1321" s="20"/>
      <c r="BF1321" s="518"/>
      <c r="BG1321" s="484"/>
      <c r="BH1321" s="484"/>
      <c r="BI1321" s="527"/>
      <c r="BJ1321" s="484"/>
      <c r="BK1321" s="484"/>
      <c r="BL1321" s="484"/>
      <c r="BM1321" s="484"/>
    </row>
    <row r="1322" spans="1:65" s="22" customFormat="1" x14ac:dyDescent="0.25">
      <c r="A1322" s="20"/>
      <c r="B1322" s="515"/>
      <c r="C1322" s="11"/>
      <c r="D1322" s="11"/>
      <c r="E1322" s="11"/>
      <c r="F1322" s="21"/>
      <c r="G1322" s="11"/>
      <c r="H1322" s="50"/>
      <c r="I1322" s="50"/>
      <c r="J1322" s="50"/>
      <c r="K1322" s="11"/>
      <c r="L1322" s="50"/>
      <c r="M1322" s="50"/>
      <c r="N1322" s="50"/>
      <c r="O1322" s="50"/>
      <c r="P1322" s="50"/>
      <c r="Q1322" s="11"/>
      <c r="R1322" s="50"/>
      <c r="S1322" s="50"/>
      <c r="T1322" s="50"/>
      <c r="U1322" s="11"/>
      <c r="V1322" s="50"/>
      <c r="W1322" s="50"/>
      <c r="X1322" s="50"/>
      <c r="Y1322" s="50"/>
      <c r="Z1322" s="50"/>
      <c r="AA1322" s="11"/>
      <c r="AB1322" s="50"/>
      <c r="AC1322" s="50"/>
      <c r="AD1322" s="50"/>
      <c r="AE1322" s="11"/>
      <c r="AF1322" s="50"/>
      <c r="AG1322" s="50"/>
      <c r="AH1322" s="50"/>
      <c r="AI1322" s="11"/>
      <c r="AJ1322" s="50"/>
      <c r="AK1322" s="50"/>
      <c r="AL1322" s="50"/>
      <c r="AM1322" s="11"/>
      <c r="AN1322" s="50"/>
      <c r="AO1322" s="50"/>
      <c r="AP1322" s="50"/>
      <c r="AQ1322" s="11"/>
      <c r="AR1322" s="50"/>
      <c r="AS1322" s="50"/>
      <c r="AT1322" s="50"/>
      <c r="AU1322" s="11"/>
      <c r="AV1322" s="50"/>
      <c r="AW1322" s="50"/>
      <c r="AX1322" s="50"/>
      <c r="AY1322" s="50"/>
      <c r="AZ1322" s="50"/>
      <c r="BA1322" s="50"/>
      <c r="BB1322" s="50"/>
      <c r="BC1322" s="50"/>
      <c r="BD1322" s="50"/>
      <c r="BE1322" s="20"/>
      <c r="BF1322" s="518"/>
      <c r="BG1322" s="484"/>
      <c r="BH1322" s="484"/>
      <c r="BI1322" s="527"/>
      <c r="BJ1322" s="484"/>
      <c r="BK1322" s="484"/>
      <c r="BL1322" s="484"/>
      <c r="BM1322" s="484"/>
    </row>
    <row r="1323" spans="1:65" s="22" customFormat="1" x14ac:dyDescent="0.25">
      <c r="A1323" s="20"/>
      <c r="B1323" s="515"/>
      <c r="C1323" s="11"/>
      <c r="D1323" s="11"/>
      <c r="E1323" s="11"/>
      <c r="F1323" s="21"/>
      <c r="G1323" s="11"/>
      <c r="H1323" s="50"/>
      <c r="I1323" s="50"/>
      <c r="J1323" s="50"/>
      <c r="K1323" s="11"/>
      <c r="L1323" s="50"/>
      <c r="M1323" s="50"/>
      <c r="N1323" s="50"/>
      <c r="O1323" s="50"/>
      <c r="P1323" s="50"/>
      <c r="Q1323" s="11"/>
      <c r="R1323" s="50"/>
      <c r="S1323" s="50"/>
      <c r="T1323" s="50"/>
      <c r="U1323" s="11"/>
      <c r="V1323" s="50"/>
      <c r="W1323" s="50"/>
      <c r="X1323" s="50"/>
      <c r="Y1323" s="50"/>
      <c r="Z1323" s="50"/>
      <c r="AA1323" s="11"/>
      <c r="AB1323" s="50"/>
      <c r="AC1323" s="50"/>
      <c r="AD1323" s="50"/>
      <c r="AE1323" s="11"/>
      <c r="AF1323" s="50"/>
      <c r="AG1323" s="50"/>
      <c r="AH1323" s="50"/>
      <c r="AI1323" s="11"/>
      <c r="AJ1323" s="50"/>
      <c r="AK1323" s="50"/>
      <c r="AL1323" s="50"/>
      <c r="AM1323" s="11"/>
      <c r="AN1323" s="50"/>
      <c r="AO1323" s="50"/>
      <c r="AP1323" s="50"/>
      <c r="AQ1323" s="11"/>
      <c r="AR1323" s="50"/>
      <c r="AS1323" s="50"/>
      <c r="AT1323" s="50"/>
      <c r="AU1323" s="11"/>
      <c r="AV1323" s="50"/>
      <c r="AW1323" s="50"/>
      <c r="AX1323" s="50"/>
      <c r="AY1323" s="50"/>
      <c r="AZ1323" s="50"/>
      <c r="BA1323" s="50"/>
      <c r="BB1323" s="50"/>
      <c r="BC1323" s="50"/>
      <c r="BD1323" s="50"/>
      <c r="BE1323" s="20"/>
      <c r="BF1323" s="518"/>
      <c r="BG1323" s="484"/>
      <c r="BH1323" s="484"/>
      <c r="BI1323" s="527"/>
      <c r="BJ1323" s="484"/>
      <c r="BK1323" s="484"/>
      <c r="BL1323" s="484"/>
      <c r="BM1323" s="484"/>
    </row>
    <row r="1324" spans="1:65" s="22" customFormat="1" x14ac:dyDescent="0.25">
      <c r="A1324" s="20"/>
      <c r="B1324" s="515"/>
      <c r="C1324" s="11"/>
      <c r="D1324" s="11"/>
      <c r="E1324" s="11"/>
      <c r="F1324" s="21"/>
      <c r="G1324" s="11"/>
      <c r="H1324" s="50"/>
      <c r="I1324" s="50"/>
      <c r="J1324" s="50"/>
      <c r="K1324" s="11"/>
      <c r="L1324" s="50"/>
      <c r="M1324" s="50"/>
      <c r="N1324" s="50"/>
      <c r="O1324" s="50"/>
      <c r="P1324" s="50"/>
      <c r="Q1324" s="11"/>
      <c r="R1324" s="50"/>
      <c r="S1324" s="50"/>
      <c r="T1324" s="50"/>
      <c r="U1324" s="11"/>
      <c r="V1324" s="50"/>
      <c r="W1324" s="50"/>
      <c r="X1324" s="50"/>
      <c r="Y1324" s="50"/>
      <c r="Z1324" s="50"/>
      <c r="AA1324" s="11"/>
      <c r="AB1324" s="50"/>
      <c r="AC1324" s="50"/>
      <c r="AD1324" s="50"/>
      <c r="AE1324" s="11"/>
      <c r="AF1324" s="50"/>
      <c r="AG1324" s="50"/>
      <c r="AH1324" s="50"/>
      <c r="AI1324" s="11"/>
      <c r="AJ1324" s="50"/>
      <c r="AK1324" s="50"/>
      <c r="AL1324" s="50"/>
      <c r="AM1324" s="11"/>
      <c r="AN1324" s="50"/>
      <c r="AO1324" s="50"/>
      <c r="AP1324" s="50"/>
      <c r="AQ1324" s="11"/>
      <c r="AR1324" s="50"/>
      <c r="AS1324" s="50"/>
      <c r="AT1324" s="50"/>
      <c r="AU1324" s="11"/>
      <c r="AV1324" s="50"/>
      <c r="AW1324" s="50"/>
      <c r="AX1324" s="50"/>
      <c r="AY1324" s="50"/>
      <c r="AZ1324" s="50"/>
      <c r="BA1324" s="50"/>
      <c r="BB1324" s="50"/>
      <c r="BC1324" s="50"/>
      <c r="BD1324" s="50"/>
      <c r="BE1324" s="20"/>
      <c r="BF1324" s="518"/>
      <c r="BG1324" s="484"/>
      <c r="BH1324" s="484"/>
      <c r="BI1324" s="527"/>
      <c r="BJ1324" s="484"/>
      <c r="BK1324" s="484"/>
      <c r="BL1324" s="484"/>
      <c r="BM1324" s="484"/>
    </row>
    <row r="1325" spans="1:65" s="22" customFormat="1" x14ac:dyDescent="0.25">
      <c r="A1325" s="20"/>
      <c r="B1325" s="515"/>
      <c r="C1325" s="11"/>
      <c r="D1325" s="11"/>
      <c r="E1325" s="11"/>
      <c r="F1325" s="21"/>
      <c r="G1325" s="11"/>
      <c r="H1325" s="50"/>
      <c r="I1325" s="50"/>
      <c r="J1325" s="50"/>
      <c r="K1325" s="11"/>
      <c r="L1325" s="50"/>
      <c r="M1325" s="50"/>
      <c r="N1325" s="50"/>
      <c r="O1325" s="50"/>
      <c r="P1325" s="50"/>
      <c r="Q1325" s="11"/>
      <c r="R1325" s="50"/>
      <c r="S1325" s="50"/>
      <c r="T1325" s="50"/>
      <c r="U1325" s="11"/>
      <c r="V1325" s="50"/>
      <c r="W1325" s="50"/>
      <c r="X1325" s="50"/>
      <c r="Y1325" s="50"/>
      <c r="Z1325" s="50"/>
      <c r="AA1325" s="11"/>
      <c r="AB1325" s="50"/>
      <c r="AC1325" s="50"/>
      <c r="AD1325" s="50"/>
      <c r="AE1325" s="11"/>
      <c r="AF1325" s="50"/>
      <c r="AG1325" s="50"/>
      <c r="AH1325" s="50"/>
      <c r="AI1325" s="11"/>
      <c r="AJ1325" s="50"/>
      <c r="AK1325" s="50"/>
      <c r="AL1325" s="50"/>
      <c r="AM1325" s="11"/>
      <c r="AN1325" s="50"/>
      <c r="AO1325" s="50"/>
      <c r="AP1325" s="50"/>
      <c r="AQ1325" s="11"/>
      <c r="AR1325" s="50"/>
      <c r="AS1325" s="50"/>
      <c r="AT1325" s="50"/>
      <c r="AU1325" s="11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20"/>
      <c r="BF1325" s="518"/>
      <c r="BG1325" s="484"/>
      <c r="BH1325" s="484"/>
      <c r="BI1325" s="527"/>
      <c r="BJ1325" s="484"/>
      <c r="BK1325" s="484"/>
      <c r="BL1325" s="484"/>
      <c r="BM1325" s="484"/>
    </row>
    <row r="1326" spans="1:65" s="22" customFormat="1" x14ac:dyDescent="0.25">
      <c r="A1326" s="20"/>
      <c r="B1326" s="515"/>
      <c r="C1326" s="11"/>
      <c r="D1326" s="11"/>
      <c r="E1326" s="11"/>
      <c r="F1326" s="21"/>
      <c r="G1326" s="11"/>
      <c r="H1326" s="50"/>
      <c r="I1326" s="50"/>
      <c r="J1326" s="50"/>
      <c r="K1326" s="11"/>
      <c r="L1326" s="50"/>
      <c r="M1326" s="50"/>
      <c r="N1326" s="50"/>
      <c r="O1326" s="50"/>
      <c r="P1326" s="50"/>
      <c r="Q1326" s="11"/>
      <c r="R1326" s="50"/>
      <c r="S1326" s="50"/>
      <c r="T1326" s="50"/>
      <c r="U1326" s="11"/>
      <c r="V1326" s="50"/>
      <c r="W1326" s="50"/>
      <c r="X1326" s="50"/>
      <c r="Y1326" s="50"/>
      <c r="Z1326" s="50"/>
      <c r="AA1326" s="11"/>
      <c r="AB1326" s="50"/>
      <c r="AC1326" s="50"/>
      <c r="AD1326" s="50"/>
      <c r="AE1326" s="11"/>
      <c r="AF1326" s="50"/>
      <c r="AG1326" s="50"/>
      <c r="AH1326" s="50"/>
      <c r="AI1326" s="11"/>
      <c r="AJ1326" s="50"/>
      <c r="AK1326" s="50"/>
      <c r="AL1326" s="50"/>
      <c r="AM1326" s="11"/>
      <c r="AN1326" s="50"/>
      <c r="AO1326" s="50"/>
      <c r="AP1326" s="50"/>
      <c r="AQ1326" s="11"/>
      <c r="AR1326" s="50"/>
      <c r="AS1326" s="50"/>
      <c r="AT1326" s="50"/>
      <c r="AU1326" s="11"/>
      <c r="AV1326" s="50"/>
      <c r="AW1326" s="50"/>
      <c r="AX1326" s="50"/>
      <c r="AY1326" s="50"/>
      <c r="AZ1326" s="50"/>
      <c r="BA1326" s="50"/>
      <c r="BB1326" s="50"/>
      <c r="BC1326" s="50"/>
      <c r="BD1326" s="50"/>
      <c r="BE1326" s="20"/>
      <c r="BF1326" s="518"/>
      <c r="BG1326" s="484"/>
      <c r="BH1326" s="484"/>
      <c r="BI1326" s="527"/>
      <c r="BJ1326" s="484"/>
      <c r="BK1326" s="484"/>
      <c r="BL1326" s="484"/>
      <c r="BM1326" s="484"/>
    </row>
    <row r="1327" spans="1:65" s="22" customFormat="1" x14ac:dyDescent="0.25">
      <c r="A1327" s="20"/>
      <c r="B1327" s="515"/>
      <c r="C1327" s="11"/>
      <c r="D1327" s="11"/>
      <c r="E1327" s="11"/>
      <c r="F1327" s="21"/>
      <c r="G1327" s="11"/>
      <c r="H1327" s="50"/>
      <c r="I1327" s="50"/>
      <c r="J1327" s="50"/>
      <c r="K1327" s="11"/>
      <c r="L1327" s="50"/>
      <c r="M1327" s="50"/>
      <c r="N1327" s="50"/>
      <c r="O1327" s="50"/>
      <c r="P1327" s="50"/>
      <c r="Q1327" s="11"/>
      <c r="R1327" s="50"/>
      <c r="S1327" s="50"/>
      <c r="T1327" s="50"/>
      <c r="U1327" s="11"/>
      <c r="V1327" s="50"/>
      <c r="W1327" s="50"/>
      <c r="X1327" s="50"/>
      <c r="Y1327" s="50"/>
      <c r="Z1327" s="50"/>
      <c r="AA1327" s="11"/>
      <c r="AB1327" s="50"/>
      <c r="AC1327" s="50"/>
      <c r="AD1327" s="50"/>
      <c r="AE1327" s="11"/>
      <c r="AF1327" s="50"/>
      <c r="AG1327" s="50"/>
      <c r="AH1327" s="50"/>
      <c r="AI1327" s="11"/>
      <c r="AJ1327" s="50"/>
      <c r="AK1327" s="50"/>
      <c r="AL1327" s="50"/>
      <c r="AM1327" s="11"/>
      <c r="AN1327" s="50"/>
      <c r="AO1327" s="50"/>
      <c r="AP1327" s="50"/>
      <c r="AQ1327" s="11"/>
      <c r="AR1327" s="50"/>
      <c r="AS1327" s="50"/>
      <c r="AT1327" s="50"/>
      <c r="AU1327" s="11"/>
      <c r="AV1327" s="50"/>
      <c r="AW1327" s="50"/>
      <c r="AX1327" s="50"/>
      <c r="AY1327" s="50"/>
      <c r="AZ1327" s="50"/>
      <c r="BA1327" s="50"/>
      <c r="BB1327" s="50"/>
      <c r="BC1327" s="50"/>
      <c r="BD1327" s="50"/>
      <c r="BE1327" s="20"/>
      <c r="BF1327" s="518"/>
      <c r="BG1327" s="484"/>
      <c r="BH1327" s="484"/>
      <c r="BI1327" s="527"/>
      <c r="BJ1327" s="484"/>
      <c r="BK1327" s="484"/>
      <c r="BL1327" s="484"/>
      <c r="BM1327" s="484"/>
    </row>
    <row r="1328" spans="1:65" s="22" customFormat="1" x14ac:dyDescent="0.25">
      <c r="A1328" s="20"/>
      <c r="B1328" s="515"/>
      <c r="C1328" s="11"/>
      <c r="D1328" s="11"/>
      <c r="E1328" s="11"/>
      <c r="F1328" s="21"/>
      <c r="G1328" s="11"/>
      <c r="H1328" s="50"/>
      <c r="I1328" s="50"/>
      <c r="J1328" s="50"/>
      <c r="K1328" s="11"/>
      <c r="L1328" s="50"/>
      <c r="M1328" s="50"/>
      <c r="N1328" s="50"/>
      <c r="O1328" s="50"/>
      <c r="P1328" s="50"/>
      <c r="Q1328" s="11"/>
      <c r="R1328" s="50"/>
      <c r="S1328" s="50"/>
      <c r="T1328" s="50"/>
      <c r="U1328" s="11"/>
      <c r="V1328" s="50"/>
      <c r="W1328" s="50"/>
      <c r="X1328" s="50"/>
      <c r="Y1328" s="50"/>
      <c r="Z1328" s="50"/>
      <c r="AA1328" s="11"/>
      <c r="AB1328" s="50"/>
      <c r="AC1328" s="50"/>
      <c r="AD1328" s="50"/>
      <c r="AE1328" s="11"/>
      <c r="AF1328" s="50"/>
      <c r="AG1328" s="50"/>
      <c r="AH1328" s="50"/>
      <c r="AI1328" s="11"/>
      <c r="AJ1328" s="50"/>
      <c r="AK1328" s="50"/>
      <c r="AL1328" s="50"/>
      <c r="AM1328" s="11"/>
      <c r="AN1328" s="50"/>
      <c r="AO1328" s="50"/>
      <c r="AP1328" s="50"/>
      <c r="AQ1328" s="11"/>
      <c r="AR1328" s="50"/>
      <c r="AS1328" s="50"/>
      <c r="AT1328" s="50"/>
      <c r="AU1328" s="11"/>
      <c r="AV1328" s="50"/>
      <c r="AW1328" s="50"/>
      <c r="AX1328" s="50"/>
      <c r="AY1328" s="50"/>
      <c r="AZ1328" s="50"/>
      <c r="BA1328" s="50"/>
      <c r="BB1328" s="50"/>
      <c r="BC1328" s="50"/>
      <c r="BD1328" s="50"/>
      <c r="BE1328" s="20"/>
      <c r="BF1328" s="518"/>
      <c r="BG1328" s="484"/>
      <c r="BH1328" s="484"/>
      <c r="BI1328" s="527"/>
      <c r="BJ1328" s="484"/>
      <c r="BK1328" s="484"/>
      <c r="BL1328" s="484"/>
      <c r="BM1328" s="484"/>
    </row>
    <row r="1329" spans="1:65" s="22" customFormat="1" x14ac:dyDescent="0.25">
      <c r="A1329" s="20"/>
      <c r="B1329" s="515"/>
      <c r="C1329" s="11"/>
      <c r="D1329" s="11"/>
      <c r="E1329" s="11"/>
      <c r="F1329" s="21"/>
      <c r="G1329" s="11"/>
      <c r="H1329" s="50"/>
      <c r="I1329" s="50"/>
      <c r="J1329" s="50"/>
      <c r="K1329" s="11"/>
      <c r="L1329" s="50"/>
      <c r="M1329" s="50"/>
      <c r="N1329" s="50"/>
      <c r="O1329" s="50"/>
      <c r="P1329" s="50"/>
      <c r="Q1329" s="11"/>
      <c r="R1329" s="50"/>
      <c r="S1329" s="50"/>
      <c r="T1329" s="50"/>
      <c r="U1329" s="11"/>
      <c r="V1329" s="50"/>
      <c r="W1329" s="50"/>
      <c r="X1329" s="50"/>
      <c r="Y1329" s="50"/>
      <c r="Z1329" s="50"/>
      <c r="AA1329" s="11"/>
      <c r="AB1329" s="50"/>
      <c r="AC1329" s="50"/>
      <c r="AD1329" s="50"/>
      <c r="AE1329" s="11"/>
      <c r="AF1329" s="50"/>
      <c r="AG1329" s="50"/>
      <c r="AH1329" s="50"/>
      <c r="AI1329" s="11"/>
      <c r="AJ1329" s="50"/>
      <c r="AK1329" s="50"/>
      <c r="AL1329" s="50"/>
      <c r="AM1329" s="11"/>
      <c r="AN1329" s="50"/>
      <c r="AO1329" s="50"/>
      <c r="AP1329" s="50"/>
      <c r="AQ1329" s="11"/>
      <c r="AR1329" s="50"/>
      <c r="AS1329" s="50"/>
      <c r="AT1329" s="50"/>
      <c r="AU1329" s="11"/>
      <c r="AV1329" s="50"/>
      <c r="AW1329" s="50"/>
      <c r="AX1329" s="50"/>
      <c r="AY1329" s="50"/>
      <c r="AZ1329" s="50"/>
      <c r="BA1329" s="50"/>
      <c r="BB1329" s="50"/>
      <c r="BC1329" s="50"/>
      <c r="BD1329" s="50"/>
      <c r="BE1329" s="20"/>
      <c r="BF1329" s="518"/>
      <c r="BG1329" s="484"/>
      <c r="BH1329" s="484"/>
      <c r="BI1329" s="527"/>
      <c r="BJ1329" s="484"/>
      <c r="BK1329" s="484"/>
      <c r="BL1329" s="484"/>
      <c r="BM1329" s="484"/>
    </row>
    <row r="1330" spans="1:65" s="22" customFormat="1" x14ac:dyDescent="0.25">
      <c r="A1330" s="20"/>
      <c r="B1330" s="515"/>
      <c r="C1330" s="11"/>
      <c r="D1330" s="11"/>
      <c r="E1330" s="11"/>
      <c r="F1330" s="21"/>
      <c r="G1330" s="11"/>
      <c r="H1330" s="50"/>
      <c r="I1330" s="50"/>
      <c r="J1330" s="50"/>
      <c r="K1330" s="11"/>
      <c r="L1330" s="50"/>
      <c r="M1330" s="50"/>
      <c r="N1330" s="50"/>
      <c r="O1330" s="50"/>
      <c r="P1330" s="50"/>
      <c r="Q1330" s="11"/>
      <c r="R1330" s="50"/>
      <c r="S1330" s="50"/>
      <c r="T1330" s="50"/>
      <c r="U1330" s="11"/>
      <c r="V1330" s="50"/>
      <c r="W1330" s="50"/>
      <c r="X1330" s="50"/>
      <c r="Y1330" s="50"/>
      <c r="Z1330" s="50"/>
      <c r="AA1330" s="11"/>
      <c r="AB1330" s="50"/>
      <c r="AC1330" s="50"/>
      <c r="AD1330" s="50"/>
      <c r="AE1330" s="11"/>
      <c r="AF1330" s="50"/>
      <c r="AG1330" s="50"/>
      <c r="AH1330" s="50"/>
      <c r="AI1330" s="11"/>
      <c r="AJ1330" s="50"/>
      <c r="AK1330" s="50"/>
      <c r="AL1330" s="50"/>
      <c r="AM1330" s="11"/>
      <c r="AN1330" s="50"/>
      <c r="AO1330" s="50"/>
      <c r="AP1330" s="50"/>
      <c r="AQ1330" s="11"/>
      <c r="AR1330" s="50"/>
      <c r="AS1330" s="50"/>
      <c r="AT1330" s="50"/>
      <c r="AU1330" s="11"/>
      <c r="AV1330" s="50"/>
      <c r="AW1330" s="50"/>
      <c r="AX1330" s="50"/>
      <c r="AY1330" s="50"/>
      <c r="AZ1330" s="50"/>
      <c r="BA1330" s="50"/>
      <c r="BB1330" s="50"/>
      <c r="BC1330" s="50"/>
      <c r="BD1330" s="50"/>
      <c r="BE1330" s="20"/>
      <c r="BF1330" s="518"/>
      <c r="BG1330" s="484"/>
      <c r="BH1330" s="484"/>
      <c r="BI1330" s="527"/>
      <c r="BJ1330" s="484"/>
      <c r="BK1330" s="484"/>
      <c r="BL1330" s="484"/>
      <c r="BM1330" s="484"/>
    </row>
    <row r="1331" spans="1:65" s="22" customFormat="1" x14ac:dyDescent="0.25">
      <c r="A1331" s="20"/>
      <c r="B1331" s="515"/>
      <c r="C1331" s="11"/>
      <c r="D1331" s="11"/>
      <c r="E1331" s="11"/>
      <c r="F1331" s="21"/>
      <c r="G1331" s="11"/>
      <c r="H1331" s="50"/>
      <c r="I1331" s="50"/>
      <c r="J1331" s="50"/>
      <c r="K1331" s="11"/>
      <c r="L1331" s="50"/>
      <c r="M1331" s="50"/>
      <c r="N1331" s="50"/>
      <c r="O1331" s="50"/>
      <c r="P1331" s="50"/>
      <c r="Q1331" s="11"/>
      <c r="R1331" s="50"/>
      <c r="S1331" s="50"/>
      <c r="T1331" s="50"/>
      <c r="U1331" s="11"/>
      <c r="V1331" s="50"/>
      <c r="W1331" s="50"/>
      <c r="X1331" s="50"/>
      <c r="Y1331" s="50"/>
      <c r="Z1331" s="50"/>
      <c r="AA1331" s="11"/>
      <c r="AB1331" s="50"/>
      <c r="AC1331" s="50"/>
      <c r="AD1331" s="50"/>
      <c r="AE1331" s="11"/>
      <c r="AF1331" s="50"/>
      <c r="AG1331" s="50"/>
      <c r="AH1331" s="50"/>
      <c r="AI1331" s="11"/>
      <c r="AJ1331" s="50"/>
      <c r="AK1331" s="50"/>
      <c r="AL1331" s="50"/>
      <c r="AM1331" s="11"/>
      <c r="AN1331" s="50"/>
      <c r="AO1331" s="50"/>
      <c r="AP1331" s="50"/>
      <c r="AQ1331" s="11"/>
      <c r="AR1331" s="50"/>
      <c r="AS1331" s="50"/>
      <c r="AT1331" s="50"/>
      <c r="AU1331" s="11"/>
      <c r="AV1331" s="50"/>
      <c r="AW1331" s="50"/>
      <c r="AX1331" s="50"/>
      <c r="AY1331" s="50"/>
      <c r="AZ1331" s="50"/>
      <c r="BA1331" s="50"/>
      <c r="BB1331" s="50"/>
      <c r="BC1331" s="50"/>
      <c r="BD1331" s="50"/>
      <c r="BE1331" s="20"/>
      <c r="BF1331" s="518"/>
      <c r="BG1331" s="484"/>
      <c r="BH1331" s="484"/>
      <c r="BI1331" s="527"/>
      <c r="BJ1331" s="484"/>
      <c r="BK1331" s="484"/>
      <c r="BL1331" s="484"/>
      <c r="BM1331" s="484"/>
    </row>
    <row r="1332" spans="1:65" s="22" customFormat="1" x14ac:dyDescent="0.25">
      <c r="A1332" s="20"/>
      <c r="B1332" s="515"/>
      <c r="C1332" s="11"/>
      <c r="D1332" s="11"/>
      <c r="E1332" s="11"/>
      <c r="F1332" s="21"/>
      <c r="G1332" s="11"/>
      <c r="H1332" s="50"/>
      <c r="I1332" s="50"/>
      <c r="J1332" s="50"/>
      <c r="K1332" s="11"/>
      <c r="L1332" s="50"/>
      <c r="M1332" s="50"/>
      <c r="N1332" s="50"/>
      <c r="O1332" s="50"/>
      <c r="P1332" s="50"/>
      <c r="Q1332" s="11"/>
      <c r="R1332" s="50"/>
      <c r="S1332" s="50"/>
      <c r="T1332" s="50"/>
      <c r="U1332" s="11"/>
      <c r="V1332" s="50"/>
      <c r="W1332" s="50"/>
      <c r="X1332" s="50"/>
      <c r="Y1332" s="50"/>
      <c r="Z1332" s="50"/>
      <c r="AA1332" s="11"/>
      <c r="AB1332" s="50"/>
      <c r="AC1332" s="50"/>
      <c r="AD1332" s="50"/>
      <c r="AE1332" s="11"/>
      <c r="AF1332" s="50"/>
      <c r="AG1332" s="50"/>
      <c r="AH1332" s="50"/>
      <c r="AI1332" s="11"/>
      <c r="AJ1332" s="50"/>
      <c r="AK1332" s="50"/>
      <c r="AL1332" s="50"/>
      <c r="AM1332" s="11"/>
      <c r="AN1332" s="50"/>
      <c r="AO1332" s="50"/>
      <c r="AP1332" s="50"/>
      <c r="AQ1332" s="11"/>
      <c r="AR1332" s="50"/>
      <c r="AS1332" s="50"/>
      <c r="AT1332" s="50"/>
      <c r="AU1332" s="11"/>
      <c r="AV1332" s="50"/>
      <c r="AW1332" s="50"/>
      <c r="AX1332" s="50"/>
      <c r="AY1332" s="50"/>
      <c r="AZ1332" s="50"/>
      <c r="BA1332" s="50"/>
      <c r="BB1332" s="50"/>
      <c r="BC1332" s="50"/>
      <c r="BD1332" s="50"/>
      <c r="BE1332" s="20"/>
      <c r="BF1332" s="518"/>
      <c r="BG1332" s="484"/>
      <c r="BH1332" s="484"/>
      <c r="BI1332" s="527"/>
      <c r="BJ1332" s="484"/>
      <c r="BK1332" s="484"/>
      <c r="BL1332" s="484"/>
      <c r="BM1332" s="484"/>
    </row>
    <row r="1333" spans="1:65" s="22" customFormat="1" x14ac:dyDescent="0.25">
      <c r="A1333" s="20"/>
      <c r="B1333" s="515"/>
      <c r="C1333" s="11"/>
      <c r="D1333" s="11"/>
      <c r="E1333" s="11"/>
      <c r="F1333" s="21"/>
      <c r="G1333" s="11"/>
      <c r="H1333" s="50"/>
      <c r="I1333" s="50"/>
      <c r="J1333" s="50"/>
      <c r="K1333" s="11"/>
      <c r="L1333" s="50"/>
      <c r="M1333" s="50"/>
      <c r="N1333" s="50"/>
      <c r="O1333" s="50"/>
      <c r="P1333" s="50"/>
      <c r="Q1333" s="11"/>
      <c r="R1333" s="50"/>
      <c r="S1333" s="50"/>
      <c r="T1333" s="50"/>
      <c r="U1333" s="11"/>
      <c r="V1333" s="50"/>
      <c r="W1333" s="50"/>
      <c r="X1333" s="50"/>
      <c r="Y1333" s="50"/>
      <c r="Z1333" s="50"/>
      <c r="AA1333" s="11"/>
      <c r="AB1333" s="50"/>
      <c r="AC1333" s="50"/>
      <c r="AD1333" s="50"/>
      <c r="AE1333" s="11"/>
      <c r="AF1333" s="50"/>
      <c r="AG1333" s="50"/>
      <c r="AH1333" s="50"/>
      <c r="AI1333" s="11"/>
      <c r="AJ1333" s="50"/>
      <c r="AK1333" s="50"/>
      <c r="AL1333" s="50"/>
      <c r="AM1333" s="11"/>
      <c r="AN1333" s="50"/>
      <c r="AO1333" s="50"/>
      <c r="AP1333" s="50"/>
      <c r="AQ1333" s="11"/>
      <c r="AR1333" s="50"/>
      <c r="AS1333" s="50"/>
      <c r="AT1333" s="50"/>
      <c r="AU1333" s="11"/>
      <c r="AV1333" s="50"/>
      <c r="AW1333" s="50"/>
      <c r="AX1333" s="50"/>
      <c r="AY1333" s="50"/>
      <c r="AZ1333" s="50"/>
      <c r="BA1333" s="50"/>
      <c r="BB1333" s="50"/>
      <c r="BC1333" s="50"/>
      <c r="BD1333" s="50"/>
      <c r="BE1333" s="20"/>
      <c r="BF1333" s="518"/>
      <c r="BG1333" s="484"/>
      <c r="BH1333" s="484"/>
      <c r="BI1333" s="527"/>
      <c r="BJ1333" s="484"/>
      <c r="BK1333" s="484"/>
      <c r="BL1333" s="484"/>
      <c r="BM1333" s="484"/>
    </row>
    <row r="1334" spans="1:65" s="22" customFormat="1" x14ac:dyDescent="0.25">
      <c r="A1334" s="20"/>
      <c r="B1334" s="515"/>
      <c r="C1334" s="11"/>
      <c r="D1334" s="11"/>
      <c r="E1334" s="11"/>
      <c r="F1334" s="21"/>
      <c r="G1334" s="11"/>
      <c r="H1334" s="50"/>
      <c r="I1334" s="50"/>
      <c r="J1334" s="50"/>
      <c r="K1334" s="11"/>
      <c r="L1334" s="50"/>
      <c r="M1334" s="50"/>
      <c r="N1334" s="50"/>
      <c r="O1334" s="50"/>
      <c r="P1334" s="50"/>
      <c r="Q1334" s="11"/>
      <c r="R1334" s="50"/>
      <c r="S1334" s="50"/>
      <c r="T1334" s="50"/>
      <c r="U1334" s="11"/>
      <c r="V1334" s="50"/>
      <c r="W1334" s="50"/>
      <c r="X1334" s="50"/>
      <c r="Y1334" s="50"/>
      <c r="Z1334" s="50"/>
      <c r="AA1334" s="11"/>
      <c r="AB1334" s="50"/>
      <c r="AC1334" s="50"/>
      <c r="AD1334" s="50"/>
      <c r="AE1334" s="11"/>
      <c r="AF1334" s="50"/>
      <c r="AG1334" s="50"/>
      <c r="AH1334" s="50"/>
      <c r="AI1334" s="11"/>
      <c r="AJ1334" s="50"/>
      <c r="AK1334" s="50"/>
      <c r="AL1334" s="50"/>
      <c r="AM1334" s="11"/>
      <c r="AN1334" s="50"/>
      <c r="AO1334" s="50"/>
      <c r="AP1334" s="50"/>
      <c r="AQ1334" s="11"/>
      <c r="AR1334" s="50"/>
      <c r="AS1334" s="50"/>
      <c r="AT1334" s="50"/>
      <c r="AU1334" s="11"/>
      <c r="AV1334" s="50"/>
      <c r="AW1334" s="50"/>
      <c r="AX1334" s="50"/>
      <c r="AY1334" s="50"/>
      <c r="AZ1334" s="50"/>
      <c r="BA1334" s="50"/>
      <c r="BB1334" s="50"/>
      <c r="BC1334" s="50"/>
      <c r="BD1334" s="50"/>
      <c r="BE1334" s="20"/>
      <c r="BF1334" s="518"/>
      <c r="BG1334" s="484"/>
      <c r="BH1334" s="484"/>
      <c r="BI1334" s="527"/>
      <c r="BJ1334" s="484"/>
      <c r="BK1334" s="484"/>
      <c r="BL1334" s="484"/>
      <c r="BM1334" s="484"/>
    </row>
    <row r="1335" spans="1:65" s="22" customFormat="1" x14ac:dyDescent="0.25">
      <c r="A1335" s="20"/>
      <c r="B1335" s="515"/>
      <c r="C1335" s="11"/>
      <c r="D1335" s="11"/>
      <c r="E1335" s="11"/>
      <c r="F1335" s="21"/>
      <c r="G1335" s="11"/>
      <c r="H1335" s="50"/>
      <c r="I1335" s="50"/>
      <c r="J1335" s="50"/>
      <c r="K1335" s="11"/>
      <c r="L1335" s="50"/>
      <c r="M1335" s="50"/>
      <c r="N1335" s="50"/>
      <c r="O1335" s="50"/>
      <c r="P1335" s="50"/>
      <c r="Q1335" s="11"/>
      <c r="R1335" s="50"/>
      <c r="S1335" s="50"/>
      <c r="T1335" s="50"/>
      <c r="U1335" s="11"/>
      <c r="V1335" s="50"/>
      <c r="W1335" s="50"/>
      <c r="X1335" s="50"/>
      <c r="Y1335" s="50"/>
      <c r="Z1335" s="50"/>
      <c r="AA1335" s="11"/>
      <c r="AB1335" s="50"/>
      <c r="AC1335" s="50"/>
      <c r="AD1335" s="50"/>
      <c r="AE1335" s="11"/>
      <c r="AF1335" s="50"/>
      <c r="AG1335" s="50"/>
      <c r="AH1335" s="50"/>
      <c r="AI1335" s="11"/>
      <c r="AJ1335" s="50"/>
      <c r="AK1335" s="50"/>
      <c r="AL1335" s="50"/>
      <c r="AM1335" s="11"/>
      <c r="AN1335" s="50"/>
      <c r="AO1335" s="50"/>
      <c r="AP1335" s="50"/>
      <c r="AQ1335" s="11"/>
      <c r="AR1335" s="50"/>
      <c r="AS1335" s="50"/>
      <c r="AT1335" s="50"/>
      <c r="AU1335" s="11"/>
      <c r="AV1335" s="50"/>
      <c r="AW1335" s="50"/>
      <c r="AX1335" s="50"/>
      <c r="AY1335" s="50"/>
      <c r="AZ1335" s="50"/>
      <c r="BA1335" s="50"/>
      <c r="BB1335" s="50"/>
      <c r="BC1335" s="50"/>
      <c r="BD1335" s="50"/>
      <c r="BE1335" s="20"/>
      <c r="BF1335" s="518"/>
      <c r="BG1335" s="484"/>
      <c r="BH1335" s="484"/>
      <c r="BI1335" s="527"/>
      <c r="BJ1335" s="484"/>
      <c r="BK1335" s="484"/>
      <c r="BL1335" s="484"/>
      <c r="BM1335" s="484"/>
    </row>
    <row r="1336" spans="1:65" s="22" customFormat="1" x14ac:dyDescent="0.25">
      <c r="A1336" s="20"/>
      <c r="B1336" s="515"/>
      <c r="C1336" s="11"/>
      <c r="D1336" s="11"/>
      <c r="E1336" s="11"/>
      <c r="F1336" s="21"/>
      <c r="G1336" s="11"/>
      <c r="H1336" s="50"/>
      <c r="I1336" s="50"/>
      <c r="J1336" s="50"/>
      <c r="K1336" s="11"/>
      <c r="L1336" s="50"/>
      <c r="M1336" s="50"/>
      <c r="N1336" s="50"/>
      <c r="O1336" s="50"/>
      <c r="P1336" s="50"/>
      <c r="Q1336" s="11"/>
      <c r="R1336" s="50"/>
      <c r="S1336" s="50"/>
      <c r="T1336" s="50"/>
      <c r="U1336" s="11"/>
      <c r="V1336" s="50"/>
      <c r="W1336" s="50"/>
      <c r="X1336" s="50"/>
      <c r="Y1336" s="50"/>
      <c r="Z1336" s="50"/>
      <c r="AA1336" s="11"/>
      <c r="AB1336" s="50"/>
      <c r="AC1336" s="50"/>
      <c r="AD1336" s="50"/>
      <c r="AE1336" s="11"/>
      <c r="AF1336" s="50"/>
      <c r="AG1336" s="50"/>
      <c r="AH1336" s="50"/>
      <c r="AI1336" s="11"/>
      <c r="AJ1336" s="50"/>
      <c r="AK1336" s="50"/>
      <c r="AL1336" s="50"/>
      <c r="AM1336" s="11"/>
      <c r="AN1336" s="50"/>
      <c r="AO1336" s="50"/>
      <c r="AP1336" s="50"/>
      <c r="AQ1336" s="11"/>
      <c r="AR1336" s="50"/>
      <c r="AS1336" s="50"/>
      <c r="AT1336" s="50"/>
      <c r="AU1336" s="11"/>
      <c r="AV1336" s="50"/>
      <c r="AW1336" s="50"/>
      <c r="AX1336" s="50"/>
      <c r="AY1336" s="50"/>
      <c r="AZ1336" s="50"/>
      <c r="BA1336" s="50"/>
      <c r="BB1336" s="50"/>
      <c r="BC1336" s="50"/>
      <c r="BD1336" s="50"/>
      <c r="BE1336" s="20"/>
      <c r="BF1336" s="518"/>
      <c r="BG1336" s="484"/>
      <c r="BH1336" s="484"/>
      <c r="BI1336" s="527"/>
      <c r="BJ1336" s="484"/>
      <c r="BK1336" s="484"/>
      <c r="BL1336" s="484"/>
      <c r="BM1336" s="484"/>
    </row>
    <row r="1337" spans="1:65" s="22" customFormat="1" x14ac:dyDescent="0.25">
      <c r="A1337" s="20"/>
      <c r="B1337" s="515"/>
      <c r="C1337" s="11"/>
      <c r="D1337" s="11"/>
      <c r="E1337" s="11"/>
      <c r="F1337" s="21"/>
      <c r="G1337" s="11"/>
      <c r="H1337" s="50"/>
      <c r="I1337" s="50"/>
      <c r="J1337" s="50"/>
      <c r="K1337" s="11"/>
      <c r="L1337" s="50"/>
      <c r="M1337" s="50"/>
      <c r="N1337" s="50"/>
      <c r="O1337" s="50"/>
      <c r="P1337" s="50"/>
      <c r="Q1337" s="11"/>
      <c r="R1337" s="50"/>
      <c r="S1337" s="50"/>
      <c r="T1337" s="50"/>
      <c r="U1337" s="11"/>
      <c r="V1337" s="50"/>
      <c r="W1337" s="50"/>
      <c r="X1337" s="50"/>
      <c r="Y1337" s="50"/>
      <c r="Z1337" s="50"/>
      <c r="AA1337" s="11"/>
      <c r="AB1337" s="50"/>
      <c r="AC1337" s="50"/>
      <c r="AD1337" s="50"/>
      <c r="AE1337" s="11"/>
      <c r="AF1337" s="50"/>
      <c r="AG1337" s="50"/>
      <c r="AH1337" s="50"/>
      <c r="AI1337" s="11"/>
      <c r="AJ1337" s="50"/>
      <c r="AK1337" s="50"/>
      <c r="AL1337" s="50"/>
      <c r="AM1337" s="11"/>
      <c r="AN1337" s="50"/>
      <c r="AO1337" s="50"/>
      <c r="AP1337" s="50"/>
      <c r="AQ1337" s="11"/>
      <c r="AR1337" s="50"/>
      <c r="AS1337" s="50"/>
      <c r="AT1337" s="50"/>
      <c r="AU1337" s="11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20"/>
      <c r="BF1337" s="518"/>
      <c r="BG1337" s="484"/>
      <c r="BH1337" s="484"/>
      <c r="BI1337" s="527"/>
      <c r="BJ1337" s="484"/>
      <c r="BK1337" s="484"/>
      <c r="BL1337" s="484"/>
      <c r="BM1337" s="484"/>
    </row>
    <row r="1338" spans="1:65" s="22" customFormat="1" x14ac:dyDescent="0.25">
      <c r="A1338" s="20"/>
      <c r="B1338" s="515"/>
      <c r="C1338" s="11"/>
      <c r="D1338" s="11"/>
      <c r="E1338" s="11"/>
      <c r="F1338" s="21"/>
      <c r="G1338" s="11"/>
      <c r="H1338" s="50"/>
      <c r="I1338" s="50"/>
      <c r="J1338" s="50"/>
      <c r="K1338" s="11"/>
      <c r="L1338" s="50"/>
      <c r="M1338" s="50"/>
      <c r="N1338" s="50"/>
      <c r="O1338" s="50"/>
      <c r="P1338" s="50"/>
      <c r="Q1338" s="11"/>
      <c r="R1338" s="50"/>
      <c r="S1338" s="50"/>
      <c r="T1338" s="50"/>
      <c r="U1338" s="11"/>
      <c r="V1338" s="50"/>
      <c r="W1338" s="50"/>
      <c r="X1338" s="50"/>
      <c r="Y1338" s="50"/>
      <c r="Z1338" s="50"/>
      <c r="AA1338" s="11"/>
      <c r="AB1338" s="50"/>
      <c r="AC1338" s="50"/>
      <c r="AD1338" s="50"/>
      <c r="AE1338" s="11"/>
      <c r="AF1338" s="50"/>
      <c r="AG1338" s="50"/>
      <c r="AH1338" s="50"/>
      <c r="AI1338" s="11"/>
      <c r="AJ1338" s="50"/>
      <c r="AK1338" s="50"/>
      <c r="AL1338" s="50"/>
      <c r="AM1338" s="11"/>
      <c r="AN1338" s="50"/>
      <c r="AO1338" s="50"/>
      <c r="AP1338" s="50"/>
      <c r="AQ1338" s="11"/>
      <c r="AR1338" s="50"/>
      <c r="AS1338" s="50"/>
      <c r="AT1338" s="50"/>
      <c r="AU1338" s="11"/>
      <c r="AV1338" s="50"/>
      <c r="AW1338" s="50"/>
      <c r="AX1338" s="50"/>
      <c r="AY1338" s="50"/>
      <c r="AZ1338" s="50"/>
      <c r="BA1338" s="50"/>
      <c r="BB1338" s="50"/>
      <c r="BC1338" s="50"/>
      <c r="BD1338" s="50"/>
      <c r="BE1338" s="20"/>
      <c r="BF1338" s="518"/>
      <c r="BG1338" s="484"/>
      <c r="BH1338" s="484"/>
      <c r="BI1338" s="527"/>
      <c r="BJ1338" s="484"/>
      <c r="BK1338" s="484"/>
      <c r="BL1338" s="484"/>
      <c r="BM1338" s="484"/>
    </row>
    <row r="1339" spans="1:65" s="22" customFormat="1" x14ac:dyDescent="0.25">
      <c r="A1339" s="20"/>
      <c r="B1339" s="515"/>
      <c r="C1339" s="11"/>
      <c r="D1339" s="11"/>
      <c r="E1339" s="11"/>
      <c r="F1339" s="21"/>
      <c r="G1339" s="11"/>
      <c r="H1339" s="50"/>
      <c r="I1339" s="50"/>
      <c r="J1339" s="50"/>
      <c r="K1339" s="11"/>
      <c r="L1339" s="50"/>
      <c r="M1339" s="50"/>
      <c r="N1339" s="50"/>
      <c r="O1339" s="50"/>
      <c r="P1339" s="50"/>
      <c r="Q1339" s="11"/>
      <c r="R1339" s="50"/>
      <c r="S1339" s="50"/>
      <c r="T1339" s="50"/>
      <c r="U1339" s="11"/>
      <c r="V1339" s="50"/>
      <c r="W1339" s="50"/>
      <c r="X1339" s="50"/>
      <c r="Y1339" s="50"/>
      <c r="Z1339" s="50"/>
      <c r="AA1339" s="11"/>
      <c r="AB1339" s="50"/>
      <c r="AC1339" s="50"/>
      <c r="AD1339" s="50"/>
      <c r="AE1339" s="11"/>
      <c r="AF1339" s="50"/>
      <c r="AG1339" s="50"/>
      <c r="AH1339" s="50"/>
      <c r="AI1339" s="11"/>
      <c r="AJ1339" s="50"/>
      <c r="AK1339" s="50"/>
      <c r="AL1339" s="50"/>
      <c r="AM1339" s="11"/>
      <c r="AN1339" s="50"/>
      <c r="AO1339" s="50"/>
      <c r="AP1339" s="50"/>
      <c r="AQ1339" s="11"/>
      <c r="AR1339" s="50"/>
      <c r="AS1339" s="50"/>
      <c r="AT1339" s="50"/>
      <c r="AU1339" s="11"/>
      <c r="AV1339" s="50"/>
      <c r="AW1339" s="50"/>
      <c r="AX1339" s="50"/>
      <c r="AY1339" s="50"/>
      <c r="AZ1339" s="50"/>
      <c r="BA1339" s="50"/>
      <c r="BB1339" s="50"/>
      <c r="BC1339" s="50"/>
      <c r="BD1339" s="50"/>
      <c r="BE1339" s="20"/>
      <c r="BF1339" s="518"/>
      <c r="BG1339" s="484"/>
      <c r="BH1339" s="484"/>
      <c r="BI1339" s="527"/>
      <c r="BJ1339" s="484"/>
      <c r="BK1339" s="484"/>
      <c r="BL1339" s="484"/>
      <c r="BM1339" s="484"/>
    </row>
    <row r="1340" spans="1:65" s="22" customFormat="1" x14ac:dyDescent="0.25">
      <c r="A1340" s="20"/>
      <c r="B1340" s="515"/>
      <c r="C1340" s="11"/>
      <c r="D1340" s="11"/>
      <c r="E1340" s="11"/>
      <c r="F1340" s="21"/>
      <c r="G1340" s="11"/>
      <c r="H1340" s="50"/>
      <c r="I1340" s="50"/>
      <c r="J1340" s="50"/>
      <c r="K1340" s="11"/>
      <c r="L1340" s="50"/>
      <c r="M1340" s="50"/>
      <c r="N1340" s="50"/>
      <c r="O1340" s="50"/>
      <c r="P1340" s="50"/>
      <c r="Q1340" s="11"/>
      <c r="R1340" s="50"/>
      <c r="S1340" s="50"/>
      <c r="T1340" s="50"/>
      <c r="U1340" s="11"/>
      <c r="V1340" s="50"/>
      <c r="W1340" s="50"/>
      <c r="X1340" s="50"/>
      <c r="Y1340" s="50"/>
      <c r="Z1340" s="50"/>
      <c r="AA1340" s="11"/>
      <c r="AB1340" s="50"/>
      <c r="AC1340" s="50"/>
      <c r="AD1340" s="50"/>
      <c r="AE1340" s="11"/>
      <c r="AF1340" s="50"/>
      <c r="AG1340" s="50"/>
      <c r="AH1340" s="50"/>
      <c r="AI1340" s="11"/>
      <c r="AJ1340" s="50"/>
      <c r="AK1340" s="50"/>
      <c r="AL1340" s="50"/>
      <c r="AM1340" s="11"/>
      <c r="AN1340" s="50"/>
      <c r="AO1340" s="50"/>
      <c r="AP1340" s="50"/>
      <c r="AQ1340" s="11"/>
      <c r="AR1340" s="50"/>
      <c r="AS1340" s="50"/>
      <c r="AT1340" s="50"/>
      <c r="AU1340" s="11"/>
      <c r="AV1340" s="50"/>
      <c r="AW1340" s="50"/>
      <c r="AX1340" s="50"/>
      <c r="AY1340" s="50"/>
      <c r="AZ1340" s="50"/>
      <c r="BA1340" s="50"/>
      <c r="BB1340" s="50"/>
      <c r="BC1340" s="50"/>
      <c r="BD1340" s="50"/>
      <c r="BE1340" s="20"/>
      <c r="BF1340" s="518"/>
      <c r="BG1340" s="484"/>
      <c r="BH1340" s="484"/>
      <c r="BI1340" s="527"/>
      <c r="BJ1340" s="484"/>
      <c r="BK1340" s="484"/>
      <c r="BL1340" s="484"/>
      <c r="BM1340" s="484"/>
    </row>
    <row r="1341" spans="1:65" s="22" customFormat="1" x14ac:dyDescent="0.25">
      <c r="A1341" s="20"/>
      <c r="B1341" s="515"/>
      <c r="C1341" s="11"/>
      <c r="D1341" s="11"/>
      <c r="E1341" s="11"/>
      <c r="F1341" s="21"/>
      <c r="G1341" s="11"/>
      <c r="H1341" s="50"/>
      <c r="I1341" s="50"/>
      <c r="J1341" s="50"/>
      <c r="K1341" s="11"/>
      <c r="L1341" s="50"/>
      <c r="M1341" s="50"/>
      <c r="N1341" s="50"/>
      <c r="O1341" s="50"/>
      <c r="P1341" s="50"/>
      <c r="Q1341" s="11"/>
      <c r="R1341" s="50"/>
      <c r="S1341" s="50"/>
      <c r="T1341" s="50"/>
      <c r="U1341" s="11"/>
      <c r="V1341" s="50"/>
      <c r="W1341" s="50"/>
      <c r="X1341" s="50"/>
      <c r="Y1341" s="50"/>
      <c r="Z1341" s="50"/>
      <c r="AA1341" s="11"/>
      <c r="AB1341" s="50"/>
      <c r="AC1341" s="50"/>
      <c r="AD1341" s="50"/>
      <c r="AE1341" s="11"/>
      <c r="AF1341" s="50"/>
      <c r="AG1341" s="50"/>
      <c r="AH1341" s="50"/>
      <c r="AI1341" s="11"/>
      <c r="AJ1341" s="50"/>
      <c r="AK1341" s="50"/>
      <c r="AL1341" s="50"/>
      <c r="AM1341" s="11"/>
      <c r="AN1341" s="50"/>
      <c r="AO1341" s="50"/>
      <c r="AP1341" s="50"/>
      <c r="AQ1341" s="11"/>
      <c r="AR1341" s="50"/>
      <c r="AS1341" s="50"/>
      <c r="AT1341" s="50"/>
      <c r="AU1341" s="11"/>
      <c r="AV1341" s="50"/>
      <c r="AW1341" s="50"/>
      <c r="AX1341" s="50"/>
      <c r="AY1341" s="50"/>
      <c r="AZ1341" s="50"/>
      <c r="BA1341" s="50"/>
      <c r="BB1341" s="50"/>
      <c r="BC1341" s="50"/>
      <c r="BD1341" s="50"/>
      <c r="BE1341" s="20"/>
      <c r="BF1341" s="518"/>
      <c r="BG1341" s="484"/>
      <c r="BH1341" s="484"/>
      <c r="BI1341" s="527"/>
      <c r="BJ1341" s="484"/>
      <c r="BK1341" s="484"/>
      <c r="BL1341" s="484"/>
      <c r="BM1341" s="484"/>
    </row>
    <row r="1342" spans="1:65" s="22" customFormat="1" x14ac:dyDescent="0.25">
      <c r="A1342" s="20"/>
      <c r="B1342" s="515"/>
      <c r="C1342" s="11"/>
      <c r="D1342" s="11"/>
      <c r="E1342" s="11"/>
      <c r="F1342" s="21"/>
      <c r="G1342" s="11"/>
      <c r="H1342" s="50"/>
      <c r="I1342" s="50"/>
      <c r="J1342" s="50"/>
      <c r="K1342" s="11"/>
      <c r="L1342" s="50"/>
      <c r="M1342" s="50"/>
      <c r="N1342" s="50"/>
      <c r="O1342" s="50"/>
      <c r="P1342" s="50"/>
      <c r="Q1342" s="11"/>
      <c r="R1342" s="50"/>
      <c r="S1342" s="50"/>
      <c r="T1342" s="50"/>
      <c r="U1342" s="11"/>
      <c r="V1342" s="50"/>
      <c r="W1342" s="50"/>
      <c r="X1342" s="50"/>
      <c r="Y1342" s="50"/>
      <c r="Z1342" s="50"/>
      <c r="AA1342" s="11"/>
      <c r="AB1342" s="50"/>
      <c r="AC1342" s="50"/>
      <c r="AD1342" s="50"/>
      <c r="AE1342" s="11"/>
      <c r="AF1342" s="50"/>
      <c r="AG1342" s="50"/>
      <c r="AH1342" s="50"/>
      <c r="AI1342" s="11"/>
      <c r="AJ1342" s="50"/>
      <c r="AK1342" s="50"/>
      <c r="AL1342" s="50"/>
      <c r="AM1342" s="11"/>
      <c r="AN1342" s="50"/>
      <c r="AO1342" s="50"/>
      <c r="AP1342" s="50"/>
      <c r="AQ1342" s="11"/>
      <c r="AR1342" s="50"/>
      <c r="AS1342" s="50"/>
      <c r="AT1342" s="50"/>
      <c r="AU1342" s="11"/>
      <c r="AV1342" s="50"/>
      <c r="AW1342" s="50"/>
      <c r="AX1342" s="50"/>
      <c r="AY1342" s="50"/>
      <c r="AZ1342" s="50"/>
      <c r="BA1342" s="50"/>
      <c r="BB1342" s="50"/>
      <c r="BC1342" s="50"/>
      <c r="BD1342" s="50"/>
      <c r="BE1342" s="20"/>
      <c r="BF1342" s="518"/>
      <c r="BG1342" s="484"/>
      <c r="BH1342" s="484"/>
      <c r="BI1342" s="527"/>
      <c r="BJ1342" s="484"/>
      <c r="BK1342" s="484"/>
      <c r="BL1342" s="484"/>
      <c r="BM1342" s="484"/>
    </row>
    <row r="1343" spans="1:65" s="22" customFormat="1" x14ac:dyDescent="0.25">
      <c r="A1343" s="20"/>
      <c r="B1343" s="515"/>
      <c r="C1343" s="11"/>
      <c r="D1343" s="11"/>
      <c r="E1343" s="11"/>
      <c r="F1343" s="21"/>
      <c r="G1343" s="11"/>
      <c r="H1343" s="50"/>
      <c r="I1343" s="50"/>
      <c r="J1343" s="50"/>
      <c r="K1343" s="11"/>
      <c r="L1343" s="50"/>
      <c r="M1343" s="50"/>
      <c r="N1343" s="50"/>
      <c r="O1343" s="50"/>
      <c r="P1343" s="50"/>
      <c r="Q1343" s="11"/>
      <c r="R1343" s="50"/>
      <c r="S1343" s="50"/>
      <c r="T1343" s="50"/>
      <c r="U1343" s="11"/>
      <c r="V1343" s="50"/>
      <c r="W1343" s="50"/>
      <c r="X1343" s="50"/>
      <c r="Y1343" s="50"/>
      <c r="Z1343" s="50"/>
      <c r="AA1343" s="11"/>
      <c r="AB1343" s="50"/>
      <c r="AC1343" s="50"/>
      <c r="AD1343" s="50"/>
      <c r="AE1343" s="11"/>
      <c r="AF1343" s="50"/>
      <c r="AG1343" s="50"/>
      <c r="AH1343" s="50"/>
      <c r="AI1343" s="11"/>
      <c r="AJ1343" s="50"/>
      <c r="AK1343" s="50"/>
      <c r="AL1343" s="50"/>
      <c r="AM1343" s="11"/>
      <c r="AN1343" s="50"/>
      <c r="AO1343" s="50"/>
      <c r="AP1343" s="50"/>
      <c r="AQ1343" s="11"/>
      <c r="AR1343" s="50"/>
      <c r="AS1343" s="50"/>
      <c r="AT1343" s="50"/>
      <c r="AU1343" s="11"/>
      <c r="AV1343" s="50"/>
      <c r="AW1343" s="50"/>
      <c r="AX1343" s="50"/>
      <c r="AY1343" s="50"/>
      <c r="AZ1343" s="50"/>
      <c r="BA1343" s="50"/>
      <c r="BB1343" s="50"/>
      <c r="BC1343" s="50"/>
      <c r="BD1343" s="50"/>
      <c r="BE1343" s="20"/>
      <c r="BF1343" s="518"/>
      <c r="BG1343" s="484"/>
      <c r="BH1343" s="484"/>
      <c r="BI1343" s="527"/>
      <c r="BJ1343" s="484"/>
      <c r="BK1343" s="484"/>
      <c r="BL1343" s="484"/>
      <c r="BM1343" s="484"/>
    </row>
    <row r="1344" spans="1:65" s="22" customFormat="1" x14ac:dyDescent="0.25">
      <c r="A1344" s="20"/>
      <c r="B1344" s="515"/>
      <c r="C1344" s="11"/>
      <c r="D1344" s="11"/>
      <c r="E1344" s="11"/>
      <c r="F1344" s="21"/>
      <c r="G1344" s="11"/>
      <c r="H1344" s="50"/>
      <c r="I1344" s="50"/>
      <c r="J1344" s="50"/>
      <c r="K1344" s="11"/>
      <c r="L1344" s="50"/>
      <c r="M1344" s="50"/>
      <c r="N1344" s="50"/>
      <c r="O1344" s="50"/>
      <c r="P1344" s="50"/>
      <c r="Q1344" s="11"/>
      <c r="R1344" s="50"/>
      <c r="S1344" s="50"/>
      <c r="T1344" s="50"/>
      <c r="U1344" s="11"/>
      <c r="V1344" s="50"/>
      <c r="W1344" s="50"/>
      <c r="X1344" s="50"/>
      <c r="Y1344" s="50"/>
      <c r="Z1344" s="50"/>
      <c r="AA1344" s="11"/>
      <c r="AB1344" s="50"/>
      <c r="AC1344" s="50"/>
      <c r="AD1344" s="50"/>
      <c r="AE1344" s="11"/>
      <c r="AF1344" s="50"/>
      <c r="AG1344" s="50"/>
      <c r="AH1344" s="50"/>
      <c r="AI1344" s="11"/>
      <c r="AJ1344" s="50"/>
      <c r="AK1344" s="50"/>
      <c r="AL1344" s="50"/>
      <c r="AM1344" s="11"/>
      <c r="AN1344" s="50"/>
      <c r="AO1344" s="50"/>
      <c r="AP1344" s="50"/>
      <c r="AQ1344" s="11"/>
      <c r="AR1344" s="50"/>
      <c r="AS1344" s="50"/>
      <c r="AT1344" s="50"/>
      <c r="AU1344" s="11"/>
      <c r="AV1344" s="50"/>
      <c r="AW1344" s="50"/>
      <c r="AX1344" s="50"/>
      <c r="AY1344" s="50"/>
      <c r="AZ1344" s="50"/>
      <c r="BA1344" s="50"/>
      <c r="BB1344" s="50"/>
      <c r="BC1344" s="50"/>
      <c r="BD1344" s="50"/>
      <c r="BE1344" s="20"/>
      <c r="BF1344" s="518"/>
      <c r="BG1344" s="484"/>
      <c r="BH1344" s="484"/>
      <c r="BI1344" s="527"/>
      <c r="BJ1344" s="484"/>
      <c r="BK1344" s="484"/>
      <c r="BL1344" s="484"/>
      <c r="BM1344" s="484"/>
    </row>
    <row r="1345" spans="1:65" s="22" customFormat="1" x14ac:dyDescent="0.25">
      <c r="A1345" s="20"/>
      <c r="B1345" s="515"/>
      <c r="C1345" s="11"/>
      <c r="D1345" s="11"/>
      <c r="E1345" s="11"/>
      <c r="F1345" s="21"/>
      <c r="G1345" s="11"/>
      <c r="H1345" s="50"/>
      <c r="I1345" s="50"/>
      <c r="J1345" s="50"/>
      <c r="K1345" s="11"/>
      <c r="L1345" s="50"/>
      <c r="M1345" s="50"/>
      <c r="N1345" s="50"/>
      <c r="O1345" s="50"/>
      <c r="P1345" s="50"/>
      <c r="Q1345" s="11"/>
      <c r="R1345" s="50"/>
      <c r="S1345" s="50"/>
      <c r="T1345" s="50"/>
      <c r="U1345" s="11"/>
      <c r="V1345" s="50"/>
      <c r="W1345" s="50"/>
      <c r="X1345" s="50"/>
      <c r="Y1345" s="50"/>
      <c r="Z1345" s="50"/>
      <c r="AA1345" s="11"/>
      <c r="AB1345" s="50"/>
      <c r="AC1345" s="50"/>
      <c r="AD1345" s="50"/>
      <c r="AE1345" s="11"/>
      <c r="AF1345" s="50"/>
      <c r="AG1345" s="50"/>
      <c r="AH1345" s="50"/>
      <c r="AI1345" s="11"/>
      <c r="AJ1345" s="50"/>
      <c r="AK1345" s="50"/>
      <c r="AL1345" s="50"/>
      <c r="AM1345" s="11"/>
      <c r="AN1345" s="50"/>
      <c r="AO1345" s="50"/>
      <c r="AP1345" s="50"/>
      <c r="AQ1345" s="11"/>
      <c r="AR1345" s="50"/>
      <c r="AS1345" s="50"/>
      <c r="AT1345" s="50"/>
      <c r="AU1345" s="11"/>
      <c r="AV1345" s="50"/>
      <c r="AW1345" s="50"/>
      <c r="AX1345" s="50"/>
      <c r="AY1345" s="50"/>
      <c r="AZ1345" s="50"/>
      <c r="BA1345" s="50"/>
      <c r="BB1345" s="50"/>
      <c r="BC1345" s="50"/>
      <c r="BD1345" s="50"/>
      <c r="BE1345" s="20"/>
      <c r="BF1345" s="518"/>
      <c r="BG1345" s="484"/>
      <c r="BH1345" s="484"/>
      <c r="BI1345" s="527"/>
      <c r="BJ1345" s="484"/>
      <c r="BK1345" s="484"/>
      <c r="BL1345" s="484"/>
      <c r="BM1345" s="484"/>
    </row>
    <row r="1346" spans="1:65" s="22" customFormat="1" x14ac:dyDescent="0.25">
      <c r="A1346" s="20"/>
      <c r="B1346" s="515"/>
      <c r="C1346" s="11"/>
      <c r="D1346" s="11"/>
      <c r="E1346" s="11"/>
      <c r="F1346" s="21"/>
      <c r="G1346" s="11"/>
      <c r="H1346" s="50"/>
      <c r="I1346" s="50"/>
      <c r="J1346" s="50"/>
      <c r="K1346" s="11"/>
      <c r="L1346" s="50"/>
      <c r="M1346" s="50"/>
      <c r="N1346" s="50"/>
      <c r="O1346" s="50"/>
      <c r="P1346" s="50"/>
      <c r="Q1346" s="11"/>
      <c r="R1346" s="50"/>
      <c r="S1346" s="50"/>
      <c r="T1346" s="50"/>
      <c r="U1346" s="11"/>
      <c r="V1346" s="50"/>
      <c r="W1346" s="50"/>
      <c r="X1346" s="50"/>
      <c r="Y1346" s="50"/>
      <c r="Z1346" s="50"/>
      <c r="AA1346" s="11"/>
      <c r="AB1346" s="50"/>
      <c r="AC1346" s="50"/>
      <c r="AD1346" s="50"/>
      <c r="AE1346" s="11"/>
      <c r="AF1346" s="50"/>
      <c r="AG1346" s="50"/>
      <c r="AH1346" s="50"/>
      <c r="AI1346" s="11"/>
      <c r="AJ1346" s="50"/>
      <c r="AK1346" s="50"/>
      <c r="AL1346" s="50"/>
      <c r="AM1346" s="11"/>
      <c r="AN1346" s="50"/>
      <c r="AO1346" s="50"/>
      <c r="AP1346" s="50"/>
      <c r="AQ1346" s="11"/>
      <c r="AR1346" s="50"/>
      <c r="AS1346" s="50"/>
      <c r="AT1346" s="50"/>
      <c r="AU1346" s="11"/>
      <c r="AV1346" s="50"/>
      <c r="AW1346" s="50"/>
      <c r="AX1346" s="50"/>
      <c r="AY1346" s="50"/>
      <c r="AZ1346" s="50"/>
      <c r="BA1346" s="50"/>
      <c r="BB1346" s="50"/>
      <c r="BC1346" s="50"/>
      <c r="BD1346" s="50"/>
      <c r="BE1346" s="20"/>
      <c r="BF1346" s="518"/>
      <c r="BG1346" s="484"/>
      <c r="BH1346" s="484"/>
      <c r="BI1346" s="527"/>
      <c r="BJ1346" s="484"/>
      <c r="BK1346" s="484"/>
      <c r="BL1346" s="484"/>
      <c r="BM1346" s="484"/>
    </row>
    <row r="1347" spans="1:65" s="22" customFormat="1" x14ac:dyDescent="0.25">
      <c r="A1347" s="20"/>
      <c r="B1347" s="515"/>
      <c r="C1347" s="11"/>
      <c r="D1347" s="11"/>
      <c r="E1347" s="11"/>
      <c r="F1347" s="21"/>
      <c r="G1347" s="11"/>
      <c r="H1347" s="50"/>
      <c r="I1347" s="50"/>
      <c r="J1347" s="50"/>
      <c r="K1347" s="11"/>
      <c r="L1347" s="50"/>
      <c r="M1347" s="50"/>
      <c r="N1347" s="50"/>
      <c r="O1347" s="50"/>
      <c r="P1347" s="50"/>
      <c r="Q1347" s="11"/>
      <c r="R1347" s="50"/>
      <c r="S1347" s="50"/>
      <c r="T1347" s="50"/>
      <c r="U1347" s="11"/>
      <c r="V1347" s="50"/>
      <c r="W1347" s="50"/>
      <c r="X1347" s="50"/>
      <c r="Y1347" s="50"/>
      <c r="Z1347" s="50"/>
      <c r="AA1347" s="11"/>
      <c r="AB1347" s="50"/>
      <c r="AC1347" s="50"/>
      <c r="AD1347" s="50"/>
      <c r="AE1347" s="11"/>
      <c r="AF1347" s="50"/>
      <c r="AG1347" s="50"/>
      <c r="AH1347" s="50"/>
      <c r="AI1347" s="11"/>
      <c r="AJ1347" s="50"/>
      <c r="AK1347" s="50"/>
      <c r="AL1347" s="50"/>
      <c r="AM1347" s="11"/>
      <c r="AN1347" s="50"/>
      <c r="AO1347" s="50"/>
      <c r="AP1347" s="50"/>
      <c r="AQ1347" s="11"/>
      <c r="AR1347" s="50"/>
      <c r="AS1347" s="50"/>
      <c r="AT1347" s="50"/>
      <c r="AU1347" s="11"/>
      <c r="AV1347" s="50"/>
      <c r="AW1347" s="50"/>
      <c r="AX1347" s="50"/>
      <c r="AY1347" s="50"/>
      <c r="AZ1347" s="50"/>
      <c r="BA1347" s="50"/>
      <c r="BB1347" s="50"/>
      <c r="BC1347" s="50"/>
      <c r="BD1347" s="50"/>
      <c r="BE1347" s="20"/>
      <c r="BF1347" s="518"/>
      <c r="BG1347" s="484"/>
      <c r="BH1347" s="484"/>
      <c r="BI1347" s="527"/>
      <c r="BJ1347" s="484"/>
      <c r="BK1347" s="484"/>
      <c r="BL1347" s="484"/>
      <c r="BM1347" s="484"/>
    </row>
    <row r="1348" spans="1:65" s="22" customFormat="1" x14ac:dyDescent="0.25">
      <c r="A1348" s="20"/>
      <c r="B1348" s="515"/>
      <c r="C1348" s="11"/>
      <c r="D1348" s="11"/>
      <c r="E1348" s="11"/>
      <c r="F1348" s="21"/>
      <c r="G1348" s="11"/>
      <c r="H1348" s="50"/>
      <c r="I1348" s="50"/>
      <c r="J1348" s="50"/>
      <c r="K1348" s="11"/>
      <c r="L1348" s="50"/>
      <c r="M1348" s="50"/>
      <c r="N1348" s="50"/>
      <c r="O1348" s="50"/>
      <c r="P1348" s="50"/>
      <c r="Q1348" s="11"/>
      <c r="R1348" s="50"/>
      <c r="S1348" s="50"/>
      <c r="T1348" s="50"/>
      <c r="U1348" s="11"/>
      <c r="V1348" s="50"/>
      <c r="W1348" s="50"/>
      <c r="X1348" s="50"/>
      <c r="Y1348" s="50"/>
      <c r="Z1348" s="50"/>
      <c r="AA1348" s="11"/>
      <c r="AB1348" s="50"/>
      <c r="AC1348" s="50"/>
      <c r="AD1348" s="50"/>
      <c r="AE1348" s="11"/>
      <c r="AF1348" s="50"/>
      <c r="AG1348" s="50"/>
      <c r="AH1348" s="50"/>
      <c r="AI1348" s="11"/>
      <c r="AJ1348" s="50"/>
      <c r="AK1348" s="50"/>
      <c r="AL1348" s="50"/>
      <c r="AM1348" s="11"/>
      <c r="AN1348" s="50"/>
      <c r="AO1348" s="50"/>
      <c r="AP1348" s="50"/>
      <c r="AQ1348" s="11"/>
      <c r="AR1348" s="50"/>
      <c r="AS1348" s="50"/>
      <c r="AT1348" s="50"/>
      <c r="AU1348" s="11"/>
      <c r="AV1348" s="50"/>
      <c r="AW1348" s="50"/>
      <c r="AX1348" s="50"/>
      <c r="AY1348" s="50"/>
      <c r="AZ1348" s="50"/>
      <c r="BA1348" s="50"/>
      <c r="BB1348" s="50"/>
      <c r="BC1348" s="50"/>
      <c r="BD1348" s="50"/>
      <c r="BE1348" s="20"/>
      <c r="BF1348" s="518"/>
      <c r="BG1348" s="484"/>
      <c r="BH1348" s="484"/>
      <c r="BI1348" s="527"/>
      <c r="BJ1348" s="484"/>
      <c r="BK1348" s="484"/>
      <c r="BL1348" s="484"/>
      <c r="BM1348" s="484"/>
    </row>
    <row r="1349" spans="1:65" s="22" customFormat="1" x14ac:dyDescent="0.25">
      <c r="A1349" s="20"/>
      <c r="B1349" s="515"/>
      <c r="C1349" s="11"/>
      <c r="D1349" s="11"/>
      <c r="E1349" s="11"/>
      <c r="F1349" s="21"/>
      <c r="G1349" s="11"/>
      <c r="H1349" s="50"/>
      <c r="I1349" s="50"/>
      <c r="J1349" s="50"/>
      <c r="K1349" s="11"/>
      <c r="L1349" s="50"/>
      <c r="M1349" s="50"/>
      <c r="N1349" s="50"/>
      <c r="O1349" s="50"/>
      <c r="P1349" s="50"/>
      <c r="Q1349" s="11"/>
      <c r="R1349" s="50"/>
      <c r="S1349" s="50"/>
      <c r="T1349" s="50"/>
      <c r="U1349" s="11"/>
      <c r="V1349" s="50"/>
      <c r="W1349" s="50"/>
      <c r="X1349" s="50"/>
      <c r="Y1349" s="50"/>
      <c r="Z1349" s="50"/>
      <c r="AA1349" s="11"/>
      <c r="AB1349" s="50"/>
      <c r="AC1349" s="50"/>
      <c r="AD1349" s="50"/>
      <c r="AE1349" s="11"/>
      <c r="AF1349" s="50"/>
      <c r="AG1349" s="50"/>
      <c r="AH1349" s="50"/>
      <c r="AI1349" s="11"/>
      <c r="AJ1349" s="50"/>
      <c r="AK1349" s="50"/>
      <c r="AL1349" s="50"/>
      <c r="AM1349" s="11"/>
      <c r="AN1349" s="50"/>
      <c r="AO1349" s="50"/>
      <c r="AP1349" s="50"/>
      <c r="AQ1349" s="11"/>
      <c r="AR1349" s="50"/>
      <c r="AS1349" s="50"/>
      <c r="AT1349" s="50"/>
      <c r="AU1349" s="11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20"/>
      <c r="BF1349" s="518"/>
      <c r="BG1349" s="484"/>
      <c r="BH1349" s="484"/>
      <c r="BI1349" s="527"/>
      <c r="BJ1349" s="484"/>
      <c r="BK1349" s="484"/>
      <c r="BL1349" s="484"/>
      <c r="BM1349" s="484"/>
    </row>
    <row r="1350" spans="1:65" s="22" customFormat="1" x14ac:dyDescent="0.25">
      <c r="A1350" s="20"/>
      <c r="B1350" s="515"/>
      <c r="C1350" s="11"/>
      <c r="D1350" s="11"/>
      <c r="E1350" s="11"/>
      <c r="F1350" s="21"/>
      <c r="G1350" s="11"/>
      <c r="H1350" s="50"/>
      <c r="I1350" s="50"/>
      <c r="J1350" s="50"/>
      <c r="K1350" s="11"/>
      <c r="L1350" s="50"/>
      <c r="M1350" s="50"/>
      <c r="N1350" s="50"/>
      <c r="O1350" s="50"/>
      <c r="P1350" s="50"/>
      <c r="Q1350" s="11"/>
      <c r="R1350" s="50"/>
      <c r="S1350" s="50"/>
      <c r="T1350" s="50"/>
      <c r="U1350" s="11"/>
      <c r="V1350" s="50"/>
      <c r="W1350" s="50"/>
      <c r="X1350" s="50"/>
      <c r="Y1350" s="50"/>
      <c r="Z1350" s="50"/>
      <c r="AA1350" s="11"/>
      <c r="AB1350" s="50"/>
      <c r="AC1350" s="50"/>
      <c r="AD1350" s="50"/>
      <c r="AE1350" s="11"/>
      <c r="AF1350" s="50"/>
      <c r="AG1350" s="50"/>
      <c r="AH1350" s="50"/>
      <c r="AI1350" s="11"/>
      <c r="AJ1350" s="50"/>
      <c r="AK1350" s="50"/>
      <c r="AL1350" s="50"/>
      <c r="AM1350" s="11"/>
      <c r="AN1350" s="50"/>
      <c r="AO1350" s="50"/>
      <c r="AP1350" s="50"/>
      <c r="AQ1350" s="11"/>
      <c r="AR1350" s="50"/>
      <c r="AS1350" s="50"/>
      <c r="AT1350" s="50"/>
      <c r="AU1350" s="11"/>
      <c r="AV1350" s="50"/>
      <c r="AW1350" s="50"/>
      <c r="AX1350" s="50"/>
      <c r="AY1350" s="50"/>
      <c r="AZ1350" s="50"/>
      <c r="BA1350" s="50"/>
      <c r="BB1350" s="50"/>
      <c r="BC1350" s="50"/>
      <c r="BD1350" s="50"/>
      <c r="BE1350" s="20"/>
      <c r="BF1350" s="518"/>
      <c r="BG1350" s="484"/>
      <c r="BH1350" s="484"/>
      <c r="BI1350" s="527"/>
      <c r="BJ1350" s="484"/>
      <c r="BK1350" s="484"/>
      <c r="BL1350" s="484"/>
      <c r="BM1350" s="484"/>
    </row>
    <row r="1351" spans="1:65" s="22" customFormat="1" x14ac:dyDescent="0.25">
      <c r="A1351" s="20"/>
      <c r="B1351" s="515"/>
      <c r="C1351" s="11"/>
      <c r="D1351" s="11"/>
      <c r="E1351" s="11"/>
      <c r="F1351" s="21"/>
      <c r="G1351" s="11"/>
      <c r="H1351" s="50"/>
      <c r="I1351" s="50"/>
      <c r="J1351" s="50"/>
      <c r="K1351" s="11"/>
      <c r="L1351" s="50"/>
      <c r="M1351" s="50"/>
      <c r="N1351" s="50"/>
      <c r="O1351" s="50"/>
      <c r="P1351" s="50"/>
      <c r="Q1351" s="11"/>
      <c r="R1351" s="50"/>
      <c r="S1351" s="50"/>
      <c r="T1351" s="50"/>
      <c r="U1351" s="11"/>
      <c r="V1351" s="50"/>
      <c r="W1351" s="50"/>
      <c r="X1351" s="50"/>
      <c r="Y1351" s="50"/>
      <c r="Z1351" s="50"/>
      <c r="AA1351" s="11"/>
      <c r="AB1351" s="50"/>
      <c r="AC1351" s="50"/>
      <c r="AD1351" s="50"/>
      <c r="AE1351" s="11"/>
      <c r="AF1351" s="50"/>
      <c r="AG1351" s="50"/>
      <c r="AH1351" s="50"/>
      <c r="AI1351" s="11"/>
      <c r="AJ1351" s="50"/>
      <c r="AK1351" s="50"/>
      <c r="AL1351" s="50"/>
      <c r="AM1351" s="11"/>
      <c r="AN1351" s="50"/>
      <c r="AO1351" s="50"/>
      <c r="AP1351" s="50"/>
      <c r="AQ1351" s="11"/>
      <c r="AR1351" s="50"/>
      <c r="AS1351" s="50"/>
      <c r="AT1351" s="50"/>
      <c r="AU1351" s="11"/>
      <c r="AV1351" s="50"/>
      <c r="AW1351" s="50"/>
      <c r="AX1351" s="50"/>
      <c r="AY1351" s="50"/>
      <c r="AZ1351" s="50"/>
      <c r="BA1351" s="50"/>
      <c r="BB1351" s="50"/>
      <c r="BC1351" s="50"/>
      <c r="BD1351" s="50"/>
      <c r="BE1351" s="20"/>
      <c r="BF1351" s="518"/>
      <c r="BG1351" s="484"/>
      <c r="BH1351" s="484"/>
      <c r="BI1351" s="527"/>
      <c r="BJ1351" s="484"/>
      <c r="BK1351" s="484"/>
      <c r="BL1351" s="484"/>
      <c r="BM1351" s="484"/>
    </row>
    <row r="1352" spans="1:65" s="22" customFormat="1" x14ac:dyDescent="0.25">
      <c r="A1352" s="20"/>
      <c r="B1352" s="515"/>
      <c r="C1352" s="11"/>
      <c r="D1352" s="11"/>
      <c r="E1352" s="11"/>
      <c r="F1352" s="21"/>
      <c r="G1352" s="11"/>
      <c r="H1352" s="50"/>
      <c r="I1352" s="50"/>
      <c r="J1352" s="50"/>
      <c r="K1352" s="11"/>
      <c r="L1352" s="50"/>
      <c r="M1352" s="50"/>
      <c r="N1352" s="50"/>
      <c r="O1352" s="50"/>
      <c r="P1352" s="50"/>
      <c r="Q1352" s="11"/>
      <c r="R1352" s="50"/>
      <c r="S1352" s="50"/>
      <c r="T1352" s="50"/>
      <c r="U1352" s="11"/>
      <c r="V1352" s="50"/>
      <c r="W1352" s="50"/>
      <c r="X1352" s="50"/>
      <c r="Y1352" s="50"/>
      <c r="Z1352" s="50"/>
      <c r="AA1352" s="11"/>
      <c r="AB1352" s="50"/>
      <c r="AC1352" s="50"/>
      <c r="AD1352" s="50"/>
      <c r="AE1352" s="11"/>
      <c r="AF1352" s="50"/>
      <c r="AG1352" s="50"/>
      <c r="AH1352" s="50"/>
      <c r="AI1352" s="11"/>
      <c r="AJ1352" s="50"/>
      <c r="AK1352" s="50"/>
      <c r="AL1352" s="50"/>
      <c r="AM1352" s="11"/>
      <c r="AN1352" s="50"/>
      <c r="AO1352" s="50"/>
      <c r="AP1352" s="50"/>
      <c r="AQ1352" s="11"/>
      <c r="AR1352" s="50"/>
      <c r="AS1352" s="50"/>
      <c r="AT1352" s="50"/>
      <c r="AU1352" s="11"/>
      <c r="AV1352" s="50"/>
      <c r="AW1352" s="50"/>
      <c r="AX1352" s="50"/>
      <c r="AY1352" s="50"/>
      <c r="AZ1352" s="50"/>
      <c r="BA1352" s="50"/>
      <c r="BB1352" s="50"/>
      <c r="BC1352" s="50"/>
      <c r="BD1352" s="50"/>
      <c r="BE1352" s="20"/>
      <c r="BF1352" s="518"/>
      <c r="BG1352" s="484"/>
      <c r="BH1352" s="484"/>
      <c r="BI1352" s="527"/>
      <c r="BJ1352" s="484"/>
      <c r="BK1352" s="484"/>
      <c r="BL1352" s="484"/>
      <c r="BM1352" s="484"/>
    </row>
    <row r="1353" spans="1:65" s="22" customFormat="1" x14ac:dyDescent="0.25">
      <c r="A1353" s="20"/>
      <c r="B1353" s="515"/>
      <c r="C1353" s="11"/>
      <c r="D1353" s="11"/>
      <c r="E1353" s="11"/>
      <c r="F1353" s="21"/>
      <c r="G1353" s="11"/>
      <c r="H1353" s="50"/>
      <c r="I1353" s="50"/>
      <c r="J1353" s="50"/>
      <c r="K1353" s="11"/>
      <c r="L1353" s="50"/>
      <c r="M1353" s="50"/>
      <c r="N1353" s="50"/>
      <c r="O1353" s="50"/>
      <c r="P1353" s="50"/>
      <c r="Q1353" s="11"/>
      <c r="R1353" s="50"/>
      <c r="S1353" s="50"/>
      <c r="T1353" s="50"/>
      <c r="U1353" s="11"/>
      <c r="V1353" s="50"/>
      <c r="W1353" s="50"/>
      <c r="X1353" s="50"/>
      <c r="Y1353" s="50"/>
      <c r="Z1353" s="50"/>
      <c r="AA1353" s="11"/>
      <c r="AB1353" s="50"/>
      <c r="AC1353" s="50"/>
      <c r="AD1353" s="50"/>
      <c r="AE1353" s="11"/>
      <c r="AF1353" s="50"/>
      <c r="AG1353" s="50"/>
      <c r="AH1353" s="50"/>
      <c r="AI1353" s="11"/>
      <c r="AJ1353" s="50"/>
      <c r="AK1353" s="50"/>
      <c r="AL1353" s="50"/>
      <c r="AM1353" s="11"/>
      <c r="AN1353" s="50"/>
      <c r="AO1353" s="50"/>
      <c r="AP1353" s="50"/>
      <c r="AQ1353" s="11"/>
      <c r="AR1353" s="50"/>
      <c r="AS1353" s="50"/>
      <c r="AT1353" s="50"/>
      <c r="AU1353" s="11"/>
      <c r="AV1353" s="50"/>
      <c r="AW1353" s="50"/>
      <c r="AX1353" s="50"/>
      <c r="AY1353" s="50"/>
      <c r="AZ1353" s="50"/>
      <c r="BA1353" s="50"/>
      <c r="BB1353" s="50"/>
      <c r="BC1353" s="50"/>
      <c r="BD1353" s="50"/>
      <c r="BE1353" s="20"/>
      <c r="BF1353" s="518"/>
      <c r="BG1353" s="484"/>
      <c r="BH1353" s="484"/>
      <c r="BI1353" s="527"/>
      <c r="BJ1353" s="484"/>
      <c r="BK1353" s="484"/>
      <c r="BL1353" s="484"/>
      <c r="BM1353" s="484"/>
    </row>
    <row r="1354" spans="1:65" s="22" customFormat="1" x14ac:dyDescent="0.25">
      <c r="A1354" s="20"/>
      <c r="B1354" s="515"/>
      <c r="C1354" s="11"/>
      <c r="D1354" s="11"/>
      <c r="E1354" s="11"/>
      <c r="F1354" s="21"/>
      <c r="G1354" s="11"/>
      <c r="H1354" s="50"/>
      <c r="I1354" s="50"/>
      <c r="J1354" s="50"/>
      <c r="K1354" s="11"/>
      <c r="L1354" s="50"/>
      <c r="M1354" s="50"/>
      <c r="N1354" s="50"/>
      <c r="O1354" s="50"/>
      <c r="P1354" s="50"/>
      <c r="Q1354" s="11"/>
      <c r="R1354" s="50"/>
      <c r="S1354" s="50"/>
      <c r="T1354" s="50"/>
      <c r="U1354" s="11"/>
      <c r="V1354" s="50"/>
      <c r="W1354" s="50"/>
      <c r="X1354" s="50"/>
      <c r="Y1354" s="50"/>
      <c r="Z1354" s="50"/>
      <c r="AA1354" s="11"/>
      <c r="AB1354" s="50"/>
      <c r="AC1354" s="50"/>
      <c r="AD1354" s="50"/>
      <c r="AE1354" s="11"/>
      <c r="AF1354" s="50"/>
      <c r="AG1354" s="50"/>
      <c r="AH1354" s="50"/>
      <c r="AI1354" s="11"/>
      <c r="AJ1354" s="50"/>
      <c r="AK1354" s="50"/>
      <c r="AL1354" s="50"/>
      <c r="AM1354" s="11"/>
      <c r="AN1354" s="50"/>
      <c r="AO1354" s="50"/>
      <c r="AP1354" s="50"/>
      <c r="AQ1354" s="11"/>
      <c r="AR1354" s="50"/>
      <c r="AS1354" s="50"/>
      <c r="AT1354" s="50"/>
      <c r="AU1354" s="11"/>
      <c r="AV1354" s="50"/>
      <c r="AW1354" s="50"/>
      <c r="AX1354" s="50"/>
      <c r="AY1354" s="50"/>
      <c r="AZ1354" s="50"/>
      <c r="BA1354" s="50"/>
      <c r="BB1354" s="50"/>
      <c r="BC1354" s="50"/>
      <c r="BD1354" s="50"/>
      <c r="BE1354" s="20"/>
      <c r="BF1354" s="518"/>
      <c r="BG1354" s="484"/>
      <c r="BH1354" s="484"/>
      <c r="BI1354" s="527"/>
      <c r="BJ1354" s="484"/>
      <c r="BK1354" s="484"/>
      <c r="BL1354" s="484"/>
      <c r="BM1354" s="484"/>
    </row>
    <row r="1355" spans="1:65" s="22" customFormat="1" x14ac:dyDescent="0.25">
      <c r="A1355" s="20"/>
      <c r="B1355" s="515"/>
      <c r="C1355" s="11"/>
      <c r="D1355" s="11"/>
      <c r="E1355" s="11"/>
      <c r="F1355" s="21"/>
      <c r="G1355" s="11"/>
      <c r="H1355" s="50"/>
      <c r="I1355" s="50"/>
      <c r="J1355" s="50"/>
      <c r="K1355" s="11"/>
      <c r="L1355" s="50"/>
      <c r="M1355" s="50"/>
      <c r="N1355" s="50"/>
      <c r="O1355" s="50"/>
      <c r="P1355" s="50"/>
      <c r="Q1355" s="11"/>
      <c r="R1355" s="50"/>
      <c r="S1355" s="50"/>
      <c r="T1355" s="50"/>
      <c r="U1355" s="11"/>
      <c r="V1355" s="50"/>
      <c r="W1355" s="50"/>
      <c r="X1355" s="50"/>
      <c r="Y1355" s="50"/>
      <c r="Z1355" s="50"/>
      <c r="AA1355" s="11"/>
      <c r="AB1355" s="50"/>
      <c r="AC1355" s="50"/>
      <c r="AD1355" s="50"/>
      <c r="AE1355" s="11"/>
      <c r="AF1355" s="50"/>
      <c r="AG1355" s="50"/>
      <c r="AH1355" s="50"/>
      <c r="AI1355" s="11"/>
      <c r="AJ1355" s="50"/>
      <c r="AK1355" s="50"/>
      <c r="AL1355" s="50"/>
      <c r="AM1355" s="11"/>
      <c r="AN1355" s="50"/>
      <c r="AO1355" s="50"/>
      <c r="AP1355" s="50"/>
      <c r="AQ1355" s="11"/>
      <c r="AR1355" s="50"/>
      <c r="AS1355" s="50"/>
      <c r="AT1355" s="50"/>
      <c r="AU1355" s="11"/>
      <c r="AV1355" s="50"/>
      <c r="AW1355" s="50"/>
      <c r="AX1355" s="50"/>
      <c r="AY1355" s="50"/>
      <c r="AZ1355" s="50"/>
      <c r="BA1355" s="50"/>
      <c r="BB1355" s="50"/>
      <c r="BC1355" s="50"/>
      <c r="BD1355" s="50"/>
      <c r="BE1355" s="20"/>
      <c r="BF1355" s="518"/>
      <c r="BG1355" s="484"/>
      <c r="BH1355" s="484"/>
      <c r="BI1355" s="527"/>
      <c r="BJ1355" s="484"/>
      <c r="BK1355" s="484"/>
      <c r="BL1355" s="484"/>
      <c r="BM1355" s="484"/>
    </row>
    <row r="1356" spans="1:65" s="22" customFormat="1" x14ac:dyDescent="0.25">
      <c r="A1356" s="20"/>
      <c r="B1356" s="515"/>
      <c r="C1356" s="11"/>
      <c r="D1356" s="11"/>
      <c r="E1356" s="11"/>
      <c r="F1356" s="21"/>
      <c r="G1356" s="11"/>
      <c r="H1356" s="50"/>
      <c r="I1356" s="50"/>
      <c r="J1356" s="50"/>
      <c r="K1356" s="11"/>
      <c r="L1356" s="50"/>
      <c r="M1356" s="50"/>
      <c r="N1356" s="50"/>
      <c r="O1356" s="50"/>
      <c r="P1356" s="50"/>
      <c r="Q1356" s="11"/>
      <c r="R1356" s="50"/>
      <c r="S1356" s="50"/>
      <c r="T1356" s="50"/>
      <c r="U1356" s="11"/>
      <c r="V1356" s="50"/>
      <c r="W1356" s="50"/>
      <c r="X1356" s="50"/>
      <c r="Y1356" s="50"/>
      <c r="Z1356" s="50"/>
      <c r="AA1356" s="11"/>
      <c r="AB1356" s="50"/>
      <c r="AC1356" s="50"/>
      <c r="AD1356" s="50"/>
      <c r="AE1356" s="11"/>
      <c r="AF1356" s="50"/>
      <c r="AG1356" s="50"/>
      <c r="AH1356" s="50"/>
      <c r="AI1356" s="11"/>
      <c r="AJ1356" s="50"/>
      <c r="AK1356" s="50"/>
      <c r="AL1356" s="50"/>
      <c r="AM1356" s="11"/>
      <c r="AN1356" s="50"/>
      <c r="AO1356" s="50"/>
      <c r="AP1356" s="50"/>
      <c r="AQ1356" s="11"/>
      <c r="AR1356" s="50"/>
      <c r="AS1356" s="50"/>
      <c r="AT1356" s="50"/>
      <c r="AU1356" s="11"/>
      <c r="AV1356" s="50"/>
      <c r="AW1356" s="50"/>
      <c r="AX1356" s="50"/>
      <c r="AY1356" s="50"/>
      <c r="AZ1356" s="50"/>
      <c r="BA1356" s="50"/>
      <c r="BB1356" s="50"/>
      <c r="BC1356" s="50"/>
      <c r="BD1356" s="50"/>
      <c r="BE1356" s="20"/>
      <c r="BF1356" s="518"/>
      <c r="BG1356" s="484"/>
      <c r="BH1356" s="484"/>
      <c r="BI1356" s="527"/>
      <c r="BJ1356" s="484"/>
      <c r="BK1356" s="484"/>
      <c r="BL1356" s="484"/>
      <c r="BM1356" s="484"/>
    </row>
    <row r="1357" spans="1:65" s="22" customFormat="1" x14ac:dyDescent="0.25">
      <c r="A1357" s="20"/>
      <c r="B1357" s="515"/>
      <c r="C1357" s="11"/>
      <c r="D1357" s="11"/>
      <c r="E1357" s="11"/>
      <c r="F1357" s="21"/>
      <c r="G1357" s="11"/>
      <c r="H1357" s="50"/>
      <c r="I1357" s="50"/>
      <c r="J1357" s="50"/>
      <c r="K1357" s="11"/>
      <c r="L1357" s="50"/>
      <c r="M1357" s="50"/>
      <c r="N1357" s="50"/>
      <c r="O1357" s="50"/>
      <c r="P1357" s="50"/>
      <c r="Q1357" s="11"/>
      <c r="R1357" s="50"/>
      <c r="S1357" s="50"/>
      <c r="T1357" s="50"/>
      <c r="U1357" s="11"/>
      <c r="V1357" s="50"/>
      <c r="W1357" s="50"/>
      <c r="X1357" s="50"/>
      <c r="Y1357" s="50"/>
      <c r="Z1357" s="50"/>
      <c r="AA1357" s="11"/>
      <c r="AB1357" s="50"/>
      <c r="AC1357" s="50"/>
      <c r="AD1357" s="50"/>
      <c r="AE1357" s="11"/>
      <c r="AF1357" s="50"/>
      <c r="AG1357" s="50"/>
      <c r="AH1357" s="50"/>
      <c r="AI1357" s="11"/>
      <c r="AJ1357" s="50"/>
      <c r="AK1357" s="50"/>
      <c r="AL1357" s="50"/>
      <c r="AM1357" s="11"/>
      <c r="AN1357" s="50"/>
      <c r="AO1357" s="50"/>
      <c r="AP1357" s="50"/>
      <c r="AQ1357" s="11"/>
      <c r="AR1357" s="50"/>
      <c r="AS1357" s="50"/>
      <c r="AT1357" s="50"/>
      <c r="AU1357" s="11"/>
      <c r="AV1357" s="50"/>
      <c r="AW1357" s="50"/>
      <c r="AX1357" s="50"/>
      <c r="AY1357" s="50"/>
      <c r="AZ1357" s="50"/>
      <c r="BA1357" s="50"/>
      <c r="BB1357" s="50"/>
      <c r="BC1357" s="50"/>
      <c r="BD1357" s="50"/>
      <c r="BE1357" s="20"/>
      <c r="BF1357" s="518"/>
      <c r="BG1357" s="484"/>
      <c r="BH1357" s="484"/>
      <c r="BI1357" s="527"/>
      <c r="BJ1357" s="484"/>
      <c r="BK1357" s="484"/>
      <c r="BL1357" s="484"/>
      <c r="BM1357" s="484"/>
    </row>
    <row r="1358" spans="1:65" s="22" customFormat="1" x14ac:dyDescent="0.25">
      <c r="A1358" s="20"/>
      <c r="B1358" s="515"/>
      <c r="C1358" s="11"/>
      <c r="D1358" s="11"/>
      <c r="E1358" s="11"/>
      <c r="F1358" s="21"/>
      <c r="G1358" s="11"/>
      <c r="H1358" s="50"/>
      <c r="I1358" s="50"/>
      <c r="J1358" s="50"/>
      <c r="K1358" s="11"/>
      <c r="L1358" s="50"/>
      <c r="M1358" s="50"/>
      <c r="N1358" s="50"/>
      <c r="O1358" s="50"/>
      <c r="P1358" s="50"/>
      <c r="Q1358" s="11"/>
      <c r="R1358" s="50"/>
      <c r="S1358" s="50"/>
      <c r="T1358" s="50"/>
      <c r="U1358" s="11"/>
      <c r="V1358" s="50"/>
      <c r="W1358" s="50"/>
      <c r="X1358" s="50"/>
      <c r="Y1358" s="50"/>
      <c r="Z1358" s="50"/>
      <c r="AA1358" s="11"/>
      <c r="AB1358" s="50"/>
      <c r="AC1358" s="50"/>
      <c r="AD1358" s="50"/>
      <c r="AE1358" s="11"/>
      <c r="AF1358" s="50"/>
      <c r="AG1358" s="50"/>
      <c r="AH1358" s="50"/>
      <c r="AI1358" s="11"/>
      <c r="AJ1358" s="50"/>
      <c r="AK1358" s="50"/>
      <c r="AL1358" s="50"/>
      <c r="AM1358" s="11"/>
      <c r="AN1358" s="50"/>
      <c r="AO1358" s="50"/>
      <c r="AP1358" s="50"/>
      <c r="AQ1358" s="11"/>
      <c r="AR1358" s="50"/>
      <c r="AS1358" s="50"/>
      <c r="AT1358" s="50"/>
      <c r="AU1358" s="11"/>
      <c r="AV1358" s="50"/>
      <c r="AW1358" s="50"/>
      <c r="AX1358" s="50"/>
      <c r="AY1358" s="50"/>
      <c r="AZ1358" s="50"/>
      <c r="BA1358" s="50"/>
      <c r="BB1358" s="50"/>
      <c r="BC1358" s="50"/>
      <c r="BD1358" s="50"/>
      <c r="BE1358" s="20"/>
      <c r="BF1358" s="518"/>
      <c r="BG1358" s="484"/>
      <c r="BH1358" s="484"/>
      <c r="BI1358" s="527"/>
      <c r="BJ1358" s="484"/>
      <c r="BK1358" s="484"/>
      <c r="BL1358" s="484"/>
      <c r="BM1358" s="484"/>
    </row>
    <row r="1359" spans="1:65" s="22" customFormat="1" x14ac:dyDescent="0.25">
      <c r="A1359" s="20"/>
      <c r="B1359" s="515"/>
      <c r="C1359" s="11"/>
      <c r="D1359" s="11"/>
      <c r="E1359" s="11"/>
      <c r="F1359" s="21"/>
      <c r="G1359" s="11"/>
      <c r="H1359" s="50"/>
      <c r="I1359" s="50"/>
      <c r="J1359" s="50"/>
      <c r="K1359" s="11"/>
      <c r="L1359" s="50"/>
      <c r="M1359" s="50"/>
      <c r="N1359" s="50"/>
      <c r="O1359" s="50"/>
      <c r="P1359" s="50"/>
      <c r="Q1359" s="11"/>
      <c r="R1359" s="50"/>
      <c r="S1359" s="50"/>
      <c r="T1359" s="50"/>
      <c r="U1359" s="11"/>
      <c r="V1359" s="50"/>
      <c r="W1359" s="50"/>
      <c r="X1359" s="50"/>
      <c r="Y1359" s="50"/>
      <c r="Z1359" s="50"/>
      <c r="AA1359" s="11"/>
      <c r="AB1359" s="50"/>
      <c r="AC1359" s="50"/>
      <c r="AD1359" s="50"/>
      <c r="AE1359" s="11"/>
      <c r="AF1359" s="50"/>
      <c r="AG1359" s="50"/>
      <c r="AH1359" s="50"/>
      <c r="AI1359" s="11"/>
      <c r="AJ1359" s="50"/>
      <c r="AK1359" s="50"/>
      <c r="AL1359" s="50"/>
      <c r="AM1359" s="11"/>
      <c r="AN1359" s="50"/>
      <c r="AO1359" s="50"/>
      <c r="AP1359" s="50"/>
      <c r="AQ1359" s="11"/>
      <c r="AR1359" s="50"/>
      <c r="AS1359" s="50"/>
      <c r="AT1359" s="50"/>
      <c r="AU1359" s="11"/>
      <c r="AV1359" s="50"/>
      <c r="AW1359" s="50"/>
      <c r="AX1359" s="50"/>
      <c r="AY1359" s="50"/>
      <c r="AZ1359" s="50"/>
      <c r="BA1359" s="50"/>
      <c r="BB1359" s="50"/>
      <c r="BC1359" s="50"/>
      <c r="BD1359" s="50"/>
      <c r="BE1359" s="20"/>
      <c r="BF1359" s="518"/>
      <c r="BG1359" s="484"/>
      <c r="BH1359" s="484"/>
      <c r="BI1359" s="527"/>
      <c r="BJ1359" s="484"/>
      <c r="BK1359" s="484"/>
      <c r="BL1359" s="484"/>
      <c r="BM1359" s="484"/>
    </row>
    <row r="1360" spans="1:65" s="22" customFormat="1" x14ac:dyDescent="0.25">
      <c r="A1360" s="20"/>
      <c r="B1360" s="515"/>
      <c r="C1360" s="11"/>
      <c r="D1360" s="11"/>
      <c r="E1360" s="11"/>
      <c r="F1360" s="21"/>
      <c r="G1360" s="11"/>
      <c r="H1360" s="50"/>
      <c r="I1360" s="50"/>
      <c r="J1360" s="50"/>
      <c r="K1360" s="11"/>
      <c r="L1360" s="50"/>
      <c r="M1360" s="50"/>
      <c r="N1360" s="50"/>
      <c r="O1360" s="50"/>
      <c r="P1360" s="50"/>
      <c r="Q1360" s="11"/>
      <c r="R1360" s="50"/>
      <c r="S1360" s="50"/>
      <c r="T1360" s="50"/>
      <c r="U1360" s="11"/>
      <c r="V1360" s="50"/>
      <c r="W1360" s="50"/>
      <c r="X1360" s="50"/>
      <c r="Y1360" s="50"/>
      <c r="Z1360" s="50"/>
      <c r="AA1360" s="11"/>
      <c r="AB1360" s="50"/>
      <c r="AC1360" s="50"/>
      <c r="AD1360" s="50"/>
      <c r="AE1360" s="11"/>
      <c r="AF1360" s="50"/>
      <c r="AG1360" s="50"/>
      <c r="AH1360" s="50"/>
      <c r="AI1360" s="11"/>
      <c r="AJ1360" s="50"/>
      <c r="AK1360" s="50"/>
      <c r="AL1360" s="50"/>
      <c r="AM1360" s="11"/>
      <c r="AN1360" s="50"/>
      <c r="AO1360" s="50"/>
      <c r="AP1360" s="50"/>
      <c r="AQ1360" s="11"/>
      <c r="AR1360" s="50"/>
      <c r="AS1360" s="50"/>
      <c r="AT1360" s="50"/>
      <c r="AU1360" s="11"/>
      <c r="AV1360" s="50"/>
      <c r="AW1360" s="50"/>
      <c r="AX1360" s="50"/>
      <c r="AY1360" s="50"/>
      <c r="AZ1360" s="50"/>
      <c r="BA1360" s="50"/>
      <c r="BB1360" s="50"/>
      <c r="BC1360" s="50"/>
      <c r="BD1360" s="50"/>
      <c r="BE1360" s="20"/>
      <c r="BF1360" s="518"/>
      <c r="BG1360" s="484"/>
      <c r="BH1360" s="484"/>
      <c r="BI1360" s="527"/>
      <c r="BJ1360" s="484"/>
      <c r="BK1360" s="484"/>
      <c r="BL1360" s="484"/>
      <c r="BM1360" s="484"/>
    </row>
    <row r="1361" spans="1:65" s="22" customFormat="1" x14ac:dyDescent="0.25">
      <c r="A1361" s="20"/>
      <c r="B1361" s="515"/>
      <c r="C1361" s="11"/>
      <c r="D1361" s="11"/>
      <c r="E1361" s="11"/>
      <c r="F1361" s="21"/>
      <c r="G1361" s="11"/>
      <c r="H1361" s="50"/>
      <c r="I1361" s="50"/>
      <c r="J1361" s="50"/>
      <c r="K1361" s="11"/>
      <c r="L1361" s="50"/>
      <c r="M1361" s="50"/>
      <c r="N1361" s="50"/>
      <c r="O1361" s="50"/>
      <c r="P1361" s="50"/>
      <c r="Q1361" s="11"/>
      <c r="R1361" s="50"/>
      <c r="S1361" s="50"/>
      <c r="T1361" s="50"/>
      <c r="U1361" s="11"/>
      <c r="V1361" s="50"/>
      <c r="W1361" s="50"/>
      <c r="X1361" s="50"/>
      <c r="Y1361" s="50"/>
      <c r="Z1361" s="50"/>
      <c r="AA1361" s="11"/>
      <c r="AB1361" s="50"/>
      <c r="AC1361" s="50"/>
      <c r="AD1361" s="50"/>
      <c r="AE1361" s="11"/>
      <c r="AF1361" s="50"/>
      <c r="AG1361" s="50"/>
      <c r="AH1361" s="50"/>
      <c r="AI1361" s="11"/>
      <c r="AJ1361" s="50"/>
      <c r="AK1361" s="50"/>
      <c r="AL1361" s="50"/>
      <c r="AM1361" s="11"/>
      <c r="AN1361" s="50"/>
      <c r="AO1361" s="50"/>
      <c r="AP1361" s="50"/>
      <c r="AQ1361" s="11"/>
      <c r="AR1361" s="50"/>
      <c r="AS1361" s="50"/>
      <c r="AT1361" s="50"/>
      <c r="AU1361" s="11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20"/>
      <c r="BF1361" s="518"/>
      <c r="BG1361" s="484"/>
      <c r="BH1361" s="484"/>
      <c r="BI1361" s="527"/>
      <c r="BJ1361" s="484"/>
      <c r="BK1361" s="484"/>
      <c r="BL1361" s="484"/>
      <c r="BM1361" s="484"/>
    </row>
    <row r="1362" spans="1:65" s="22" customFormat="1" x14ac:dyDescent="0.25">
      <c r="A1362" s="20"/>
      <c r="B1362" s="515"/>
      <c r="C1362" s="11"/>
      <c r="D1362" s="11"/>
      <c r="E1362" s="11"/>
      <c r="F1362" s="21"/>
      <c r="G1362" s="11"/>
      <c r="H1362" s="50"/>
      <c r="I1362" s="50"/>
      <c r="J1362" s="50"/>
      <c r="K1362" s="11"/>
      <c r="L1362" s="50"/>
      <c r="M1362" s="50"/>
      <c r="N1362" s="50"/>
      <c r="O1362" s="50"/>
      <c r="P1362" s="50"/>
      <c r="Q1362" s="11"/>
      <c r="R1362" s="50"/>
      <c r="S1362" s="50"/>
      <c r="T1362" s="50"/>
      <c r="U1362" s="11"/>
      <c r="V1362" s="50"/>
      <c r="W1362" s="50"/>
      <c r="X1362" s="50"/>
      <c r="Y1362" s="50"/>
      <c r="Z1362" s="50"/>
      <c r="AA1362" s="11"/>
      <c r="AB1362" s="50"/>
      <c r="AC1362" s="50"/>
      <c r="AD1362" s="50"/>
      <c r="AE1362" s="11"/>
      <c r="AF1362" s="50"/>
      <c r="AG1362" s="50"/>
      <c r="AH1362" s="50"/>
      <c r="AI1362" s="11"/>
      <c r="AJ1362" s="50"/>
      <c r="AK1362" s="50"/>
      <c r="AL1362" s="50"/>
      <c r="AM1362" s="11"/>
      <c r="AN1362" s="50"/>
      <c r="AO1362" s="50"/>
      <c r="AP1362" s="50"/>
      <c r="AQ1362" s="11"/>
      <c r="AR1362" s="50"/>
      <c r="AS1362" s="50"/>
      <c r="AT1362" s="50"/>
      <c r="AU1362" s="11"/>
      <c r="AV1362" s="50"/>
      <c r="AW1362" s="50"/>
      <c r="AX1362" s="50"/>
      <c r="AY1362" s="50"/>
      <c r="AZ1362" s="50"/>
      <c r="BA1362" s="50"/>
      <c r="BB1362" s="50"/>
      <c r="BC1362" s="50"/>
      <c r="BD1362" s="50"/>
      <c r="BE1362" s="20"/>
      <c r="BF1362" s="518"/>
      <c r="BG1362" s="484"/>
      <c r="BH1362" s="484"/>
      <c r="BI1362" s="527"/>
      <c r="BJ1362" s="484"/>
      <c r="BK1362" s="484"/>
      <c r="BL1362" s="484"/>
      <c r="BM1362" s="484"/>
    </row>
    <row r="1363" spans="1:65" s="22" customFormat="1" x14ac:dyDescent="0.25">
      <c r="A1363" s="20"/>
      <c r="B1363" s="515"/>
      <c r="C1363" s="11"/>
      <c r="D1363" s="11"/>
      <c r="E1363" s="11"/>
      <c r="F1363" s="21"/>
      <c r="G1363" s="11"/>
      <c r="H1363" s="50"/>
      <c r="I1363" s="50"/>
      <c r="J1363" s="50"/>
      <c r="K1363" s="11"/>
      <c r="L1363" s="50"/>
      <c r="M1363" s="50"/>
      <c r="N1363" s="50"/>
      <c r="O1363" s="50"/>
      <c r="P1363" s="50"/>
      <c r="Q1363" s="11"/>
      <c r="R1363" s="50"/>
      <c r="S1363" s="50"/>
      <c r="T1363" s="50"/>
      <c r="U1363" s="11"/>
      <c r="V1363" s="50"/>
      <c r="W1363" s="50"/>
      <c r="X1363" s="50"/>
      <c r="Y1363" s="50"/>
      <c r="Z1363" s="50"/>
      <c r="AA1363" s="11"/>
      <c r="AB1363" s="50"/>
      <c r="AC1363" s="50"/>
      <c r="AD1363" s="50"/>
      <c r="AE1363" s="11"/>
      <c r="AF1363" s="50"/>
      <c r="AG1363" s="50"/>
      <c r="AH1363" s="50"/>
      <c r="AI1363" s="11"/>
      <c r="AJ1363" s="50"/>
      <c r="AK1363" s="50"/>
      <c r="AL1363" s="50"/>
      <c r="AM1363" s="11"/>
      <c r="AN1363" s="50"/>
      <c r="AO1363" s="50"/>
      <c r="AP1363" s="50"/>
      <c r="AQ1363" s="11"/>
      <c r="AR1363" s="50"/>
      <c r="AS1363" s="50"/>
      <c r="AT1363" s="50"/>
      <c r="AU1363" s="11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20"/>
      <c r="BF1363" s="518"/>
      <c r="BG1363" s="484"/>
      <c r="BH1363" s="484"/>
      <c r="BI1363" s="527"/>
      <c r="BJ1363" s="484"/>
      <c r="BK1363" s="484"/>
      <c r="BL1363" s="484"/>
      <c r="BM1363" s="484"/>
    </row>
    <row r="1364" spans="1:65" s="22" customFormat="1" x14ac:dyDescent="0.25">
      <c r="A1364" s="20"/>
      <c r="B1364" s="515"/>
      <c r="C1364" s="11"/>
      <c r="D1364" s="11"/>
      <c r="E1364" s="11"/>
      <c r="F1364" s="21"/>
      <c r="G1364" s="11"/>
      <c r="H1364" s="50"/>
      <c r="I1364" s="50"/>
      <c r="J1364" s="50"/>
      <c r="K1364" s="11"/>
      <c r="L1364" s="50"/>
      <c r="M1364" s="50"/>
      <c r="N1364" s="50"/>
      <c r="O1364" s="50"/>
      <c r="P1364" s="50"/>
      <c r="Q1364" s="11"/>
      <c r="R1364" s="50"/>
      <c r="S1364" s="50"/>
      <c r="T1364" s="50"/>
      <c r="U1364" s="11"/>
      <c r="V1364" s="50"/>
      <c r="W1364" s="50"/>
      <c r="X1364" s="50"/>
      <c r="Y1364" s="50"/>
      <c r="Z1364" s="50"/>
      <c r="AA1364" s="11"/>
      <c r="AB1364" s="50"/>
      <c r="AC1364" s="50"/>
      <c r="AD1364" s="50"/>
      <c r="AE1364" s="11"/>
      <c r="AF1364" s="50"/>
      <c r="AG1364" s="50"/>
      <c r="AH1364" s="50"/>
      <c r="AI1364" s="11"/>
      <c r="AJ1364" s="50"/>
      <c r="AK1364" s="50"/>
      <c r="AL1364" s="50"/>
      <c r="AM1364" s="11"/>
      <c r="AN1364" s="50"/>
      <c r="AO1364" s="50"/>
      <c r="AP1364" s="50"/>
      <c r="AQ1364" s="11"/>
      <c r="AR1364" s="50"/>
      <c r="AS1364" s="50"/>
      <c r="AT1364" s="50"/>
      <c r="AU1364" s="11"/>
      <c r="AV1364" s="50"/>
      <c r="AW1364" s="50"/>
      <c r="AX1364" s="50"/>
      <c r="AY1364" s="50"/>
      <c r="AZ1364" s="50"/>
      <c r="BA1364" s="50"/>
      <c r="BB1364" s="50"/>
      <c r="BC1364" s="50"/>
      <c r="BD1364" s="50"/>
      <c r="BE1364" s="20"/>
      <c r="BF1364" s="518"/>
      <c r="BG1364" s="484"/>
      <c r="BH1364" s="484"/>
      <c r="BI1364" s="527"/>
      <c r="BJ1364" s="484"/>
      <c r="BK1364" s="484"/>
      <c r="BL1364" s="484"/>
      <c r="BM1364" s="484"/>
    </row>
    <row r="1365" spans="1:65" s="22" customFormat="1" x14ac:dyDescent="0.25">
      <c r="A1365" s="20"/>
      <c r="B1365" s="515"/>
      <c r="C1365" s="11"/>
      <c r="D1365" s="11"/>
      <c r="E1365" s="11"/>
      <c r="F1365" s="21"/>
      <c r="G1365" s="11"/>
      <c r="H1365" s="50"/>
      <c r="I1365" s="50"/>
      <c r="J1365" s="50"/>
      <c r="K1365" s="11"/>
      <c r="L1365" s="50"/>
      <c r="M1365" s="50"/>
      <c r="N1365" s="50"/>
      <c r="O1365" s="50"/>
      <c r="P1365" s="50"/>
      <c r="Q1365" s="11"/>
      <c r="R1365" s="50"/>
      <c r="S1365" s="50"/>
      <c r="T1365" s="50"/>
      <c r="U1365" s="11"/>
      <c r="V1365" s="50"/>
      <c r="W1365" s="50"/>
      <c r="X1365" s="50"/>
      <c r="Y1365" s="50"/>
      <c r="Z1365" s="50"/>
      <c r="AA1365" s="11"/>
      <c r="AB1365" s="50"/>
      <c r="AC1365" s="50"/>
      <c r="AD1365" s="50"/>
      <c r="AE1365" s="11"/>
      <c r="AF1365" s="50"/>
      <c r="AG1365" s="50"/>
      <c r="AH1365" s="50"/>
      <c r="AI1365" s="11"/>
      <c r="AJ1365" s="50"/>
      <c r="AK1365" s="50"/>
      <c r="AL1365" s="50"/>
      <c r="AM1365" s="11"/>
      <c r="AN1365" s="50"/>
      <c r="AO1365" s="50"/>
      <c r="AP1365" s="50"/>
      <c r="AQ1365" s="11"/>
      <c r="AR1365" s="50"/>
      <c r="AS1365" s="50"/>
      <c r="AT1365" s="50"/>
      <c r="AU1365" s="11"/>
      <c r="AV1365" s="50"/>
      <c r="AW1365" s="50"/>
      <c r="AX1365" s="50"/>
      <c r="AY1365" s="50"/>
      <c r="AZ1365" s="50"/>
      <c r="BA1365" s="50"/>
      <c r="BB1365" s="50"/>
      <c r="BC1365" s="50"/>
      <c r="BD1365" s="50"/>
      <c r="BE1365" s="20"/>
      <c r="BF1365" s="518"/>
      <c r="BG1365" s="484"/>
      <c r="BH1365" s="484"/>
      <c r="BI1365" s="527"/>
      <c r="BJ1365" s="484"/>
      <c r="BK1365" s="484"/>
      <c r="BL1365" s="484"/>
      <c r="BM1365" s="484"/>
    </row>
    <row r="1366" spans="1:65" s="22" customFormat="1" x14ac:dyDescent="0.25">
      <c r="A1366" s="20"/>
      <c r="B1366" s="515"/>
      <c r="C1366" s="11"/>
      <c r="D1366" s="11"/>
      <c r="E1366" s="11"/>
      <c r="F1366" s="21"/>
      <c r="G1366" s="11"/>
      <c r="H1366" s="50"/>
      <c r="I1366" s="50"/>
      <c r="J1366" s="50"/>
      <c r="K1366" s="11"/>
      <c r="L1366" s="50"/>
      <c r="M1366" s="50"/>
      <c r="N1366" s="50"/>
      <c r="O1366" s="50"/>
      <c r="P1366" s="50"/>
      <c r="Q1366" s="11"/>
      <c r="R1366" s="50"/>
      <c r="S1366" s="50"/>
      <c r="T1366" s="50"/>
      <c r="U1366" s="11"/>
      <c r="V1366" s="50"/>
      <c r="W1366" s="50"/>
      <c r="X1366" s="50"/>
      <c r="Y1366" s="50"/>
      <c r="Z1366" s="50"/>
      <c r="AA1366" s="11"/>
      <c r="AB1366" s="50"/>
      <c r="AC1366" s="50"/>
      <c r="AD1366" s="50"/>
      <c r="AE1366" s="11"/>
      <c r="AF1366" s="50"/>
      <c r="AG1366" s="50"/>
      <c r="AH1366" s="50"/>
      <c r="AI1366" s="11"/>
      <c r="AJ1366" s="50"/>
      <c r="AK1366" s="50"/>
      <c r="AL1366" s="50"/>
      <c r="AM1366" s="11"/>
      <c r="AN1366" s="50"/>
      <c r="AO1366" s="50"/>
      <c r="AP1366" s="50"/>
      <c r="AQ1366" s="11"/>
      <c r="AR1366" s="50"/>
      <c r="AS1366" s="50"/>
      <c r="AT1366" s="50"/>
      <c r="AU1366" s="11"/>
      <c r="AV1366" s="50"/>
      <c r="AW1366" s="50"/>
      <c r="AX1366" s="50"/>
      <c r="AY1366" s="50"/>
      <c r="AZ1366" s="50"/>
      <c r="BA1366" s="50"/>
      <c r="BB1366" s="50"/>
      <c r="BC1366" s="50"/>
      <c r="BD1366" s="50"/>
      <c r="BE1366" s="20"/>
      <c r="BF1366" s="518"/>
      <c r="BG1366" s="484"/>
      <c r="BH1366" s="484"/>
      <c r="BI1366" s="527"/>
      <c r="BJ1366" s="484"/>
      <c r="BK1366" s="484"/>
      <c r="BL1366" s="484"/>
      <c r="BM1366" s="484"/>
    </row>
    <row r="1367" spans="1:65" s="22" customFormat="1" x14ac:dyDescent="0.25">
      <c r="A1367" s="20"/>
      <c r="B1367" s="515"/>
      <c r="C1367" s="11"/>
      <c r="D1367" s="11"/>
      <c r="E1367" s="11"/>
      <c r="F1367" s="21"/>
      <c r="G1367" s="11"/>
      <c r="H1367" s="50"/>
      <c r="I1367" s="50"/>
      <c r="J1367" s="50"/>
      <c r="K1367" s="11"/>
      <c r="L1367" s="50"/>
      <c r="M1367" s="50"/>
      <c r="N1367" s="50"/>
      <c r="O1367" s="50"/>
      <c r="P1367" s="50"/>
      <c r="Q1367" s="11"/>
      <c r="R1367" s="50"/>
      <c r="S1367" s="50"/>
      <c r="T1367" s="50"/>
      <c r="U1367" s="11"/>
      <c r="V1367" s="50"/>
      <c r="W1367" s="50"/>
      <c r="X1367" s="50"/>
      <c r="Y1367" s="50"/>
      <c r="Z1367" s="50"/>
      <c r="AA1367" s="11"/>
      <c r="AB1367" s="50"/>
      <c r="AC1367" s="50"/>
      <c r="AD1367" s="50"/>
      <c r="AE1367" s="11"/>
      <c r="AF1367" s="50"/>
      <c r="AG1367" s="50"/>
      <c r="AH1367" s="50"/>
      <c r="AI1367" s="11"/>
      <c r="AJ1367" s="50"/>
      <c r="AK1367" s="50"/>
      <c r="AL1367" s="50"/>
      <c r="AM1367" s="11"/>
      <c r="AN1367" s="50"/>
      <c r="AO1367" s="50"/>
      <c r="AP1367" s="50"/>
      <c r="AQ1367" s="11"/>
      <c r="AR1367" s="50"/>
      <c r="AS1367" s="50"/>
      <c r="AT1367" s="50"/>
      <c r="AU1367" s="11"/>
      <c r="AV1367" s="50"/>
      <c r="AW1367" s="50"/>
      <c r="AX1367" s="50"/>
      <c r="AY1367" s="50"/>
      <c r="AZ1367" s="50"/>
      <c r="BA1367" s="50"/>
      <c r="BB1367" s="50"/>
      <c r="BC1367" s="50"/>
      <c r="BD1367" s="50"/>
      <c r="BE1367" s="20"/>
      <c r="BF1367" s="518"/>
      <c r="BG1367" s="484"/>
      <c r="BH1367" s="484"/>
      <c r="BI1367" s="527"/>
      <c r="BJ1367" s="484"/>
      <c r="BK1367" s="484"/>
      <c r="BL1367" s="484"/>
      <c r="BM1367" s="484"/>
    </row>
    <row r="1368" spans="1:65" s="22" customFormat="1" x14ac:dyDescent="0.25">
      <c r="A1368" s="20"/>
      <c r="B1368" s="515"/>
      <c r="C1368" s="11"/>
      <c r="D1368" s="11"/>
      <c r="E1368" s="11"/>
      <c r="F1368" s="21"/>
      <c r="G1368" s="11"/>
      <c r="H1368" s="50"/>
      <c r="I1368" s="50"/>
      <c r="J1368" s="50"/>
      <c r="K1368" s="11"/>
      <c r="L1368" s="50"/>
      <c r="M1368" s="50"/>
      <c r="N1368" s="50"/>
      <c r="O1368" s="50"/>
      <c r="P1368" s="50"/>
      <c r="Q1368" s="11"/>
      <c r="R1368" s="50"/>
      <c r="S1368" s="50"/>
      <c r="T1368" s="50"/>
      <c r="U1368" s="11"/>
      <c r="V1368" s="50"/>
      <c r="W1368" s="50"/>
      <c r="X1368" s="50"/>
      <c r="Y1368" s="50"/>
      <c r="Z1368" s="50"/>
      <c r="AA1368" s="11"/>
      <c r="AB1368" s="50"/>
      <c r="AC1368" s="50"/>
      <c r="AD1368" s="50"/>
      <c r="AE1368" s="11"/>
      <c r="AF1368" s="50"/>
      <c r="AG1368" s="50"/>
      <c r="AH1368" s="50"/>
      <c r="AI1368" s="11"/>
      <c r="AJ1368" s="50"/>
      <c r="AK1368" s="50"/>
      <c r="AL1368" s="50"/>
      <c r="AM1368" s="11"/>
      <c r="AN1368" s="50"/>
      <c r="AO1368" s="50"/>
      <c r="AP1368" s="50"/>
      <c r="AQ1368" s="11"/>
      <c r="AR1368" s="50"/>
      <c r="AS1368" s="50"/>
      <c r="AT1368" s="50"/>
      <c r="AU1368" s="11"/>
      <c r="AV1368" s="50"/>
      <c r="AW1368" s="50"/>
      <c r="AX1368" s="50"/>
      <c r="AY1368" s="50"/>
      <c r="AZ1368" s="50"/>
      <c r="BA1368" s="50"/>
      <c r="BB1368" s="50"/>
      <c r="BC1368" s="50"/>
      <c r="BD1368" s="50"/>
      <c r="BE1368" s="20"/>
      <c r="BF1368" s="518"/>
      <c r="BG1368" s="484"/>
      <c r="BH1368" s="484"/>
      <c r="BI1368" s="527"/>
      <c r="BJ1368" s="484"/>
      <c r="BK1368" s="484"/>
      <c r="BL1368" s="484"/>
      <c r="BM1368" s="484"/>
    </row>
    <row r="1369" spans="1:65" s="22" customFormat="1" x14ac:dyDescent="0.25">
      <c r="A1369" s="20"/>
      <c r="B1369" s="515"/>
      <c r="C1369" s="11"/>
      <c r="D1369" s="11"/>
      <c r="E1369" s="11"/>
      <c r="F1369" s="21"/>
      <c r="G1369" s="11"/>
      <c r="H1369" s="50"/>
      <c r="I1369" s="50"/>
      <c r="J1369" s="50"/>
      <c r="K1369" s="11"/>
      <c r="L1369" s="50"/>
      <c r="M1369" s="50"/>
      <c r="N1369" s="50"/>
      <c r="O1369" s="50"/>
      <c r="P1369" s="50"/>
      <c r="Q1369" s="11"/>
      <c r="R1369" s="50"/>
      <c r="S1369" s="50"/>
      <c r="T1369" s="50"/>
      <c r="U1369" s="11"/>
      <c r="V1369" s="50"/>
      <c r="W1369" s="50"/>
      <c r="X1369" s="50"/>
      <c r="Y1369" s="50"/>
      <c r="Z1369" s="50"/>
      <c r="AA1369" s="11"/>
      <c r="AB1369" s="50"/>
      <c r="AC1369" s="50"/>
      <c r="AD1369" s="50"/>
      <c r="AE1369" s="11"/>
      <c r="AF1369" s="50"/>
      <c r="AG1369" s="50"/>
      <c r="AH1369" s="50"/>
      <c r="AI1369" s="11"/>
      <c r="AJ1369" s="50"/>
      <c r="AK1369" s="50"/>
      <c r="AL1369" s="50"/>
      <c r="AM1369" s="11"/>
      <c r="AN1369" s="50"/>
      <c r="AO1369" s="50"/>
      <c r="AP1369" s="50"/>
      <c r="AQ1369" s="11"/>
      <c r="AR1369" s="50"/>
      <c r="AS1369" s="50"/>
      <c r="AT1369" s="50"/>
      <c r="AU1369" s="11"/>
      <c r="AV1369" s="50"/>
      <c r="AW1369" s="50"/>
      <c r="AX1369" s="50"/>
      <c r="AY1369" s="50"/>
      <c r="AZ1369" s="50"/>
      <c r="BA1369" s="50"/>
      <c r="BB1369" s="50"/>
      <c r="BC1369" s="50"/>
      <c r="BD1369" s="50"/>
      <c r="BE1369" s="20"/>
      <c r="BF1369" s="518"/>
      <c r="BG1369" s="484"/>
      <c r="BH1369" s="484"/>
      <c r="BI1369" s="527"/>
      <c r="BJ1369" s="484"/>
      <c r="BK1369" s="484"/>
      <c r="BL1369" s="484"/>
      <c r="BM1369" s="484"/>
    </row>
    <row r="1370" spans="1:65" s="22" customFormat="1" x14ac:dyDescent="0.25">
      <c r="A1370" s="20"/>
      <c r="B1370" s="515"/>
      <c r="C1370" s="11"/>
      <c r="D1370" s="11"/>
      <c r="E1370" s="11"/>
      <c r="F1370" s="21"/>
      <c r="G1370" s="11"/>
      <c r="H1370" s="50"/>
      <c r="I1370" s="50"/>
      <c r="J1370" s="50"/>
      <c r="K1370" s="11"/>
      <c r="L1370" s="50"/>
      <c r="M1370" s="50"/>
      <c r="N1370" s="50"/>
      <c r="O1370" s="50"/>
      <c r="P1370" s="50"/>
      <c r="Q1370" s="11"/>
      <c r="R1370" s="50"/>
      <c r="S1370" s="50"/>
      <c r="T1370" s="50"/>
      <c r="U1370" s="11"/>
      <c r="V1370" s="50"/>
      <c r="W1370" s="50"/>
      <c r="X1370" s="50"/>
      <c r="Y1370" s="50"/>
      <c r="Z1370" s="50"/>
      <c r="AA1370" s="11"/>
      <c r="AB1370" s="50"/>
      <c r="AC1370" s="50"/>
      <c r="AD1370" s="50"/>
      <c r="AE1370" s="11"/>
      <c r="AF1370" s="50"/>
      <c r="AG1370" s="50"/>
      <c r="AH1370" s="50"/>
      <c r="AI1370" s="11"/>
      <c r="AJ1370" s="50"/>
      <c r="AK1370" s="50"/>
      <c r="AL1370" s="50"/>
      <c r="AM1370" s="11"/>
      <c r="AN1370" s="50"/>
      <c r="AO1370" s="50"/>
      <c r="AP1370" s="50"/>
      <c r="AQ1370" s="11"/>
      <c r="AR1370" s="50"/>
      <c r="AS1370" s="50"/>
      <c r="AT1370" s="50"/>
      <c r="AU1370" s="11"/>
      <c r="AV1370" s="50"/>
      <c r="AW1370" s="50"/>
      <c r="AX1370" s="50"/>
      <c r="AY1370" s="50"/>
      <c r="AZ1370" s="50"/>
      <c r="BA1370" s="50"/>
      <c r="BB1370" s="50"/>
      <c r="BC1370" s="50"/>
      <c r="BD1370" s="50"/>
      <c r="BE1370" s="20"/>
      <c r="BF1370" s="518"/>
      <c r="BG1370" s="484"/>
      <c r="BH1370" s="484"/>
      <c r="BI1370" s="527"/>
      <c r="BJ1370" s="484"/>
      <c r="BK1370" s="484"/>
      <c r="BL1370" s="484"/>
      <c r="BM1370" s="484"/>
    </row>
    <row r="1371" spans="1:65" s="22" customFormat="1" x14ac:dyDescent="0.25">
      <c r="A1371" s="20"/>
      <c r="B1371" s="515"/>
      <c r="C1371" s="11"/>
      <c r="D1371" s="11"/>
      <c r="E1371" s="11"/>
      <c r="F1371" s="21"/>
      <c r="G1371" s="11"/>
      <c r="H1371" s="50"/>
      <c r="I1371" s="50"/>
      <c r="J1371" s="50"/>
      <c r="K1371" s="11"/>
      <c r="L1371" s="50"/>
      <c r="M1371" s="50"/>
      <c r="N1371" s="50"/>
      <c r="O1371" s="50"/>
      <c r="P1371" s="50"/>
      <c r="Q1371" s="11"/>
      <c r="R1371" s="50"/>
      <c r="S1371" s="50"/>
      <c r="T1371" s="50"/>
      <c r="U1371" s="11"/>
      <c r="V1371" s="50"/>
      <c r="W1371" s="50"/>
      <c r="X1371" s="50"/>
      <c r="Y1371" s="50"/>
      <c r="Z1371" s="50"/>
      <c r="AA1371" s="11"/>
      <c r="AB1371" s="50"/>
      <c r="AC1371" s="50"/>
      <c r="AD1371" s="50"/>
      <c r="AE1371" s="11"/>
      <c r="AF1371" s="50"/>
      <c r="AG1371" s="50"/>
      <c r="AH1371" s="50"/>
      <c r="AI1371" s="11"/>
      <c r="AJ1371" s="50"/>
      <c r="AK1371" s="50"/>
      <c r="AL1371" s="50"/>
      <c r="AM1371" s="11"/>
      <c r="AN1371" s="50"/>
      <c r="AO1371" s="50"/>
      <c r="AP1371" s="50"/>
      <c r="AQ1371" s="11"/>
      <c r="AR1371" s="50"/>
      <c r="AS1371" s="50"/>
      <c r="AT1371" s="50"/>
      <c r="AU1371" s="11"/>
      <c r="AV1371" s="50"/>
      <c r="AW1371" s="50"/>
      <c r="AX1371" s="50"/>
      <c r="AY1371" s="50"/>
      <c r="AZ1371" s="50"/>
      <c r="BA1371" s="50"/>
      <c r="BB1371" s="50"/>
      <c r="BC1371" s="50"/>
      <c r="BD1371" s="50"/>
      <c r="BE1371" s="20"/>
      <c r="BF1371" s="518"/>
      <c r="BG1371" s="484"/>
      <c r="BH1371" s="484"/>
      <c r="BI1371" s="527"/>
      <c r="BJ1371" s="484"/>
      <c r="BK1371" s="484"/>
      <c r="BL1371" s="484"/>
      <c r="BM1371" s="484"/>
    </row>
    <row r="1372" spans="1:65" s="22" customFormat="1" x14ac:dyDescent="0.25">
      <c r="A1372" s="20"/>
      <c r="B1372" s="515"/>
      <c r="C1372" s="11"/>
      <c r="D1372" s="11"/>
      <c r="E1372" s="11"/>
      <c r="F1372" s="21"/>
      <c r="G1372" s="11"/>
      <c r="H1372" s="50"/>
      <c r="I1372" s="50"/>
      <c r="J1372" s="50"/>
      <c r="K1372" s="11"/>
      <c r="L1372" s="50"/>
      <c r="M1372" s="50"/>
      <c r="N1372" s="50"/>
      <c r="O1372" s="50"/>
      <c r="P1372" s="50"/>
      <c r="Q1372" s="11"/>
      <c r="R1372" s="50"/>
      <c r="S1372" s="50"/>
      <c r="T1372" s="50"/>
      <c r="U1372" s="11"/>
      <c r="V1372" s="50"/>
      <c r="W1372" s="50"/>
      <c r="X1372" s="50"/>
      <c r="Y1372" s="50"/>
      <c r="Z1372" s="50"/>
      <c r="AA1372" s="11"/>
      <c r="AB1372" s="50"/>
      <c r="AC1372" s="50"/>
      <c r="AD1372" s="50"/>
      <c r="AE1372" s="11"/>
      <c r="AF1372" s="50"/>
      <c r="AG1372" s="50"/>
      <c r="AH1372" s="50"/>
      <c r="AI1372" s="11"/>
      <c r="AJ1372" s="50"/>
      <c r="AK1372" s="50"/>
      <c r="AL1372" s="50"/>
      <c r="AM1372" s="11"/>
      <c r="AN1372" s="50"/>
      <c r="AO1372" s="50"/>
      <c r="AP1372" s="50"/>
      <c r="AQ1372" s="11"/>
      <c r="AR1372" s="50"/>
      <c r="AS1372" s="50"/>
      <c r="AT1372" s="50"/>
      <c r="AU1372" s="11"/>
      <c r="AV1372" s="50"/>
      <c r="AW1372" s="50"/>
      <c r="AX1372" s="50"/>
      <c r="AY1372" s="50"/>
      <c r="AZ1372" s="50"/>
      <c r="BA1372" s="50"/>
      <c r="BB1372" s="50"/>
      <c r="BC1372" s="50"/>
      <c r="BD1372" s="50"/>
      <c r="BE1372" s="20"/>
      <c r="BF1372" s="518"/>
      <c r="BG1372" s="484"/>
      <c r="BH1372" s="484"/>
      <c r="BI1372" s="527"/>
      <c r="BJ1372" s="484"/>
      <c r="BK1372" s="484"/>
      <c r="BL1372" s="484"/>
      <c r="BM1372" s="484"/>
    </row>
    <row r="1373" spans="1:65" s="22" customFormat="1" x14ac:dyDescent="0.25">
      <c r="A1373" s="20"/>
      <c r="B1373" s="515"/>
      <c r="C1373" s="11"/>
      <c r="D1373" s="11"/>
      <c r="E1373" s="11"/>
      <c r="F1373" s="21"/>
      <c r="G1373" s="11"/>
      <c r="H1373" s="50"/>
      <c r="I1373" s="50"/>
      <c r="J1373" s="50"/>
      <c r="K1373" s="11"/>
      <c r="L1373" s="50"/>
      <c r="M1373" s="50"/>
      <c r="N1373" s="50"/>
      <c r="O1373" s="50"/>
      <c r="P1373" s="50"/>
      <c r="Q1373" s="11"/>
      <c r="R1373" s="50"/>
      <c r="S1373" s="50"/>
      <c r="T1373" s="50"/>
      <c r="U1373" s="11"/>
      <c r="V1373" s="50"/>
      <c r="W1373" s="50"/>
      <c r="X1373" s="50"/>
      <c r="Y1373" s="50"/>
      <c r="Z1373" s="50"/>
      <c r="AA1373" s="11"/>
      <c r="AB1373" s="50"/>
      <c r="AC1373" s="50"/>
      <c r="AD1373" s="50"/>
      <c r="AE1373" s="11"/>
      <c r="AF1373" s="50"/>
      <c r="AG1373" s="50"/>
      <c r="AH1373" s="50"/>
      <c r="AI1373" s="11"/>
      <c r="AJ1373" s="50"/>
      <c r="AK1373" s="50"/>
      <c r="AL1373" s="50"/>
      <c r="AM1373" s="11"/>
      <c r="AN1373" s="50"/>
      <c r="AO1373" s="50"/>
      <c r="AP1373" s="50"/>
      <c r="AQ1373" s="11"/>
      <c r="AR1373" s="50"/>
      <c r="AS1373" s="50"/>
      <c r="AT1373" s="50"/>
      <c r="AU1373" s="11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20"/>
      <c r="BF1373" s="518"/>
      <c r="BG1373" s="484"/>
      <c r="BH1373" s="484"/>
      <c r="BI1373" s="527"/>
      <c r="BJ1373" s="484"/>
      <c r="BK1373" s="484"/>
      <c r="BL1373" s="484"/>
      <c r="BM1373" s="484"/>
    </row>
    <row r="1374" spans="1:65" s="22" customFormat="1" x14ac:dyDescent="0.25">
      <c r="A1374" s="20"/>
      <c r="B1374" s="515"/>
      <c r="C1374" s="11"/>
      <c r="D1374" s="11"/>
      <c r="E1374" s="11"/>
      <c r="F1374" s="21"/>
      <c r="G1374" s="11"/>
      <c r="H1374" s="50"/>
      <c r="I1374" s="50"/>
      <c r="J1374" s="50"/>
      <c r="K1374" s="11"/>
      <c r="L1374" s="50"/>
      <c r="M1374" s="50"/>
      <c r="N1374" s="50"/>
      <c r="O1374" s="50"/>
      <c r="P1374" s="50"/>
      <c r="Q1374" s="11"/>
      <c r="R1374" s="50"/>
      <c r="S1374" s="50"/>
      <c r="T1374" s="50"/>
      <c r="U1374" s="11"/>
      <c r="V1374" s="50"/>
      <c r="W1374" s="50"/>
      <c r="X1374" s="50"/>
      <c r="Y1374" s="50"/>
      <c r="Z1374" s="50"/>
      <c r="AA1374" s="11"/>
      <c r="AB1374" s="50"/>
      <c r="AC1374" s="50"/>
      <c r="AD1374" s="50"/>
      <c r="AE1374" s="11"/>
      <c r="AF1374" s="50"/>
      <c r="AG1374" s="50"/>
      <c r="AH1374" s="50"/>
      <c r="AI1374" s="11"/>
      <c r="AJ1374" s="50"/>
      <c r="AK1374" s="50"/>
      <c r="AL1374" s="50"/>
      <c r="AM1374" s="11"/>
      <c r="AN1374" s="50"/>
      <c r="AO1374" s="50"/>
      <c r="AP1374" s="50"/>
      <c r="AQ1374" s="11"/>
      <c r="AR1374" s="50"/>
      <c r="AS1374" s="50"/>
      <c r="AT1374" s="50"/>
      <c r="AU1374" s="11"/>
      <c r="AV1374" s="50"/>
      <c r="AW1374" s="50"/>
      <c r="AX1374" s="50"/>
      <c r="AY1374" s="50"/>
      <c r="AZ1374" s="50"/>
      <c r="BA1374" s="50"/>
      <c r="BB1374" s="50"/>
      <c r="BC1374" s="50"/>
      <c r="BD1374" s="50"/>
      <c r="BE1374" s="20"/>
      <c r="BF1374" s="518"/>
      <c r="BG1374" s="484"/>
      <c r="BH1374" s="484"/>
      <c r="BI1374" s="527"/>
      <c r="BJ1374" s="484"/>
      <c r="BK1374" s="484"/>
      <c r="BL1374" s="484"/>
      <c r="BM1374" s="484"/>
    </row>
    <row r="1375" spans="1:65" s="22" customFormat="1" x14ac:dyDescent="0.25">
      <c r="A1375" s="20"/>
      <c r="B1375" s="515"/>
      <c r="C1375" s="11"/>
      <c r="D1375" s="11"/>
      <c r="E1375" s="11"/>
      <c r="F1375" s="21"/>
      <c r="G1375" s="11"/>
      <c r="H1375" s="50"/>
      <c r="I1375" s="50"/>
      <c r="J1375" s="50"/>
      <c r="K1375" s="11"/>
      <c r="L1375" s="50"/>
      <c r="M1375" s="50"/>
      <c r="N1375" s="50"/>
      <c r="O1375" s="50"/>
      <c r="P1375" s="50"/>
      <c r="Q1375" s="11"/>
      <c r="R1375" s="50"/>
      <c r="S1375" s="50"/>
      <c r="T1375" s="50"/>
      <c r="U1375" s="11"/>
      <c r="V1375" s="50"/>
      <c r="W1375" s="50"/>
      <c r="X1375" s="50"/>
      <c r="Y1375" s="50"/>
      <c r="Z1375" s="50"/>
      <c r="AA1375" s="11"/>
      <c r="AB1375" s="50"/>
      <c r="AC1375" s="50"/>
      <c r="AD1375" s="50"/>
      <c r="AE1375" s="11"/>
      <c r="AF1375" s="50"/>
      <c r="AG1375" s="50"/>
      <c r="AH1375" s="50"/>
      <c r="AI1375" s="11"/>
      <c r="AJ1375" s="50"/>
      <c r="AK1375" s="50"/>
      <c r="AL1375" s="50"/>
      <c r="AM1375" s="11"/>
      <c r="AN1375" s="50"/>
      <c r="AO1375" s="50"/>
      <c r="AP1375" s="50"/>
      <c r="AQ1375" s="11"/>
      <c r="AR1375" s="50"/>
      <c r="AS1375" s="50"/>
      <c r="AT1375" s="50"/>
      <c r="AU1375" s="11"/>
      <c r="AV1375" s="50"/>
      <c r="AW1375" s="50"/>
      <c r="AX1375" s="50"/>
      <c r="AY1375" s="50"/>
      <c r="AZ1375" s="50"/>
      <c r="BA1375" s="50"/>
      <c r="BB1375" s="50"/>
      <c r="BC1375" s="50"/>
      <c r="BD1375" s="50"/>
      <c r="BE1375" s="20"/>
      <c r="BF1375" s="518"/>
      <c r="BG1375" s="484"/>
      <c r="BH1375" s="484"/>
      <c r="BI1375" s="527"/>
      <c r="BJ1375" s="484"/>
      <c r="BK1375" s="484"/>
      <c r="BL1375" s="484"/>
      <c r="BM1375" s="484"/>
    </row>
    <row r="1376" spans="1:65" s="22" customFormat="1" x14ac:dyDescent="0.25">
      <c r="A1376" s="20"/>
      <c r="B1376" s="515"/>
      <c r="C1376" s="11"/>
      <c r="D1376" s="11"/>
      <c r="E1376" s="11"/>
      <c r="F1376" s="21"/>
      <c r="G1376" s="11"/>
      <c r="H1376" s="50"/>
      <c r="I1376" s="50"/>
      <c r="J1376" s="50"/>
      <c r="K1376" s="11"/>
      <c r="L1376" s="50"/>
      <c r="M1376" s="50"/>
      <c r="N1376" s="50"/>
      <c r="O1376" s="50"/>
      <c r="P1376" s="50"/>
      <c r="Q1376" s="11"/>
      <c r="R1376" s="50"/>
      <c r="S1376" s="50"/>
      <c r="T1376" s="50"/>
      <c r="U1376" s="11"/>
      <c r="V1376" s="50"/>
      <c r="W1376" s="50"/>
      <c r="X1376" s="50"/>
      <c r="Y1376" s="50"/>
      <c r="Z1376" s="50"/>
      <c r="AA1376" s="11"/>
      <c r="AB1376" s="50"/>
      <c r="AC1376" s="50"/>
      <c r="AD1376" s="50"/>
      <c r="AE1376" s="11"/>
      <c r="AF1376" s="50"/>
      <c r="AG1376" s="50"/>
      <c r="AH1376" s="50"/>
      <c r="AI1376" s="11"/>
      <c r="AJ1376" s="50"/>
      <c r="AK1376" s="50"/>
      <c r="AL1376" s="50"/>
      <c r="AM1376" s="11"/>
      <c r="AN1376" s="50"/>
      <c r="AO1376" s="50"/>
      <c r="AP1376" s="50"/>
      <c r="AQ1376" s="11"/>
      <c r="AR1376" s="50"/>
      <c r="AS1376" s="50"/>
      <c r="AT1376" s="50"/>
      <c r="AU1376" s="11"/>
      <c r="AV1376" s="50"/>
      <c r="AW1376" s="50"/>
      <c r="AX1376" s="50"/>
      <c r="AY1376" s="50"/>
      <c r="AZ1376" s="50"/>
      <c r="BA1376" s="50"/>
      <c r="BB1376" s="50"/>
      <c r="BC1376" s="50"/>
      <c r="BD1376" s="50"/>
      <c r="BE1376" s="20"/>
      <c r="BF1376" s="518"/>
      <c r="BG1376" s="484"/>
      <c r="BH1376" s="484"/>
      <c r="BI1376" s="527"/>
      <c r="BJ1376" s="484"/>
      <c r="BK1376" s="484"/>
      <c r="BL1376" s="484"/>
      <c r="BM1376" s="484"/>
    </row>
    <row r="1377" spans="1:65" s="22" customFormat="1" x14ac:dyDescent="0.25">
      <c r="A1377" s="20"/>
      <c r="B1377" s="515"/>
      <c r="C1377" s="11"/>
      <c r="D1377" s="11"/>
      <c r="E1377" s="11"/>
      <c r="F1377" s="21"/>
      <c r="G1377" s="11"/>
      <c r="H1377" s="50"/>
      <c r="I1377" s="50"/>
      <c r="J1377" s="50"/>
      <c r="K1377" s="11"/>
      <c r="L1377" s="50"/>
      <c r="M1377" s="50"/>
      <c r="N1377" s="50"/>
      <c r="O1377" s="50"/>
      <c r="P1377" s="50"/>
      <c r="Q1377" s="11"/>
      <c r="R1377" s="50"/>
      <c r="S1377" s="50"/>
      <c r="T1377" s="50"/>
      <c r="U1377" s="11"/>
      <c r="V1377" s="50"/>
      <c r="W1377" s="50"/>
      <c r="X1377" s="50"/>
      <c r="Y1377" s="50"/>
      <c r="Z1377" s="50"/>
      <c r="AA1377" s="11"/>
      <c r="AB1377" s="50"/>
      <c r="AC1377" s="50"/>
      <c r="AD1377" s="50"/>
      <c r="AE1377" s="11"/>
      <c r="AF1377" s="50"/>
      <c r="AG1377" s="50"/>
      <c r="AH1377" s="50"/>
      <c r="AI1377" s="11"/>
      <c r="AJ1377" s="50"/>
      <c r="AK1377" s="50"/>
      <c r="AL1377" s="50"/>
      <c r="AM1377" s="11"/>
      <c r="AN1377" s="50"/>
      <c r="AO1377" s="50"/>
      <c r="AP1377" s="50"/>
      <c r="AQ1377" s="11"/>
      <c r="AR1377" s="50"/>
      <c r="AS1377" s="50"/>
      <c r="AT1377" s="50"/>
      <c r="AU1377" s="11"/>
      <c r="AV1377" s="50"/>
      <c r="AW1377" s="50"/>
      <c r="AX1377" s="50"/>
      <c r="AY1377" s="50"/>
      <c r="AZ1377" s="50"/>
      <c r="BA1377" s="50"/>
      <c r="BB1377" s="50"/>
      <c r="BC1377" s="50"/>
      <c r="BD1377" s="50"/>
      <c r="BE1377" s="20"/>
      <c r="BF1377" s="518"/>
      <c r="BG1377" s="484"/>
      <c r="BH1377" s="484"/>
      <c r="BI1377" s="527"/>
      <c r="BJ1377" s="484"/>
      <c r="BK1377" s="484"/>
      <c r="BL1377" s="484"/>
      <c r="BM1377" s="484"/>
    </row>
    <row r="1378" spans="1:65" s="22" customFormat="1" x14ac:dyDescent="0.25">
      <c r="A1378" s="20"/>
      <c r="B1378" s="515"/>
      <c r="C1378" s="11"/>
      <c r="D1378" s="11"/>
      <c r="E1378" s="11"/>
      <c r="F1378" s="21"/>
      <c r="G1378" s="11"/>
      <c r="H1378" s="50"/>
      <c r="I1378" s="50"/>
      <c r="J1378" s="50"/>
      <c r="K1378" s="11"/>
      <c r="L1378" s="50"/>
      <c r="M1378" s="50"/>
      <c r="N1378" s="50"/>
      <c r="O1378" s="50"/>
      <c r="P1378" s="50"/>
      <c r="Q1378" s="11"/>
      <c r="R1378" s="50"/>
      <c r="S1378" s="50"/>
      <c r="T1378" s="50"/>
      <c r="U1378" s="11"/>
      <c r="V1378" s="50"/>
      <c r="W1378" s="50"/>
      <c r="X1378" s="50"/>
      <c r="Y1378" s="50"/>
      <c r="Z1378" s="50"/>
      <c r="AA1378" s="11"/>
      <c r="AB1378" s="50"/>
      <c r="AC1378" s="50"/>
      <c r="AD1378" s="50"/>
      <c r="AE1378" s="11"/>
      <c r="AF1378" s="50"/>
      <c r="AG1378" s="50"/>
      <c r="AH1378" s="50"/>
      <c r="AI1378" s="11"/>
      <c r="AJ1378" s="50"/>
      <c r="AK1378" s="50"/>
      <c r="AL1378" s="50"/>
      <c r="AM1378" s="11"/>
      <c r="AN1378" s="50"/>
      <c r="AO1378" s="50"/>
      <c r="AP1378" s="50"/>
      <c r="AQ1378" s="11"/>
      <c r="AR1378" s="50"/>
      <c r="AS1378" s="50"/>
      <c r="AT1378" s="50"/>
      <c r="AU1378" s="11"/>
      <c r="AV1378" s="50"/>
      <c r="AW1378" s="50"/>
      <c r="AX1378" s="50"/>
      <c r="AY1378" s="50"/>
      <c r="AZ1378" s="50"/>
      <c r="BA1378" s="50"/>
      <c r="BB1378" s="50"/>
      <c r="BC1378" s="50"/>
      <c r="BD1378" s="50"/>
      <c r="BE1378" s="20"/>
      <c r="BF1378" s="518"/>
      <c r="BG1378" s="484"/>
      <c r="BH1378" s="484"/>
      <c r="BI1378" s="527"/>
      <c r="BJ1378" s="484"/>
      <c r="BK1378" s="484"/>
      <c r="BL1378" s="484"/>
      <c r="BM1378" s="484"/>
    </row>
    <row r="1379" spans="1:65" s="22" customFormat="1" x14ac:dyDescent="0.25">
      <c r="A1379" s="20"/>
      <c r="B1379" s="515"/>
      <c r="C1379" s="11"/>
      <c r="D1379" s="11"/>
      <c r="E1379" s="11"/>
      <c r="F1379" s="21"/>
      <c r="G1379" s="11"/>
      <c r="H1379" s="50"/>
      <c r="I1379" s="50"/>
      <c r="J1379" s="50"/>
      <c r="K1379" s="11"/>
      <c r="L1379" s="50"/>
      <c r="M1379" s="50"/>
      <c r="N1379" s="50"/>
      <c r="O1379" s="50"/>
      <c r="P1379" s="50"/>
      <c r="Q1379" s="11"/>
      <c r="R1379" s="50"/>
      <c r="S1379" s="50"/>
      <c r="T1379" s="50"/>
      <c r="U1379" s="11"/>
      <c r="V1379" s="50"/>
      <c r="W1379" s="50"/>
      <c r="X1379" s="50"/>
      <c r="Y1379" s="50"/>
      <c r="Z1379" s="50"/>
      <c r="AA1379" s="11"/>
      <c r="AB1379" s="50"/>
      <c r="AC1379" s="50"/>
      <c r="AD1379" s="50"/>
      <c r="AE1379" s="11"/>
      <c r="AF1379" s="50"/>
      <c r="AG1379" s="50"/>
      <c r="AH1379" s="50"/>
      <c r="AI1379" s="11"/>
      <c r="AJ1379" s="50"/>
      <c r="AK1379" s="50"/>
      <c r="AL1379" s="50"/>
      <c r="AM1379" s="11"/>
      <c r="AN1379" s="50"/>
      <c r="AO1379" s="50"/>
      <c r="AP1379" s="50"/>
      <c r="AQ1379" s="11"/>
      <c r="AR1379" s="50"/>
      <c r="AS1379" s="50"/>
      <c r="AT1379" s="50"/>
      <c r="AU1379" s="11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20"/>
      <c r="BF1379" s="518"/>
      <c r="BG1379" s="484"/>
      <c r="BH1379" s="484"/>
      <c r="BI1379" s="527"/>
      <c r="BJ1379" s="484"/>
      <c r="BK1379" s="484"/>
      <c r="BL1379" s="484"/>
      <c r="BM1379" s="484"/>
    </row>
    <row r="1380" spans="1:65" s="22" customFormat="1" x14ac:dyDescent="0.25">
      <c r="A1380" s="20"/>
      <c r="B1380" s="515"/>
      <c r="C1380" s="11"/>
      <c r="D1380" s="11"/>
      <c r="E1380" s="11"/>
      <c r="F1380" s="21"/>
      <c r="G1380" s="11"/>
      <c r="H1380" s="50"/>
      <c r="I1380" s="50"/>
      <c r="J1380" s="50"/>
      <c r="K1380" s="11"/>
      <c r="L1380" s="50"/>
      <c r="M1380" s="50"/>
      <c r="N1380" s="50"/>
      <c r="O1380" s="50"/>
      <c r="P1380" s="50"/>
      <c r="Q1380" s="11"/>
      <c r="R1380" s="50"/>
      <c r="S1380" s="50"/>
      <c r="T1380" s="50"/>
      <c r="U1380" s="11"/>
      <c r="V1380" s="50"/>
      <c r="W1380" s="50"/>
      <c r="X1380" s="50"/>
      <c r="Y1380" s="50"/>
      <c r="Z1380" s="50"/>
      <c r="AA1380" s="11"/>
      <c r="AB1380" s="50"/>
      <c r="AC1380" s="50"/>
      <c r="AD1380" s="50"/>
      <c r="AE1380" s="11"/>
      <c r="AF1380" s="50"/>
      <c r="AG1380" s="50"/>
      <c r="AH1380" s="50"/>
      <c r="AI1380" s="11"/>
      <c r="AJ1380" s="50"/>
      <c r="AK1380" s="50"/>
      <c r="AL1380" s="50"/>
      <c r="AM1380" s="11"/>
      <c r="AN1380" s="50"/>
      <c r="AO1380" s="50"/>
      <c r="AP1380" s="50"/>
      <c r="AQ1380" s="11"/>
      <c r="AR1380" s="50"/>
      <c r="AS1380" s="50"/>
      <c r="AT1380" s="50"/>
      <c r="AU1380" s="11"/>
      <c r="AV1380" s="50"/>
      <c r="AW1380" s="50"/>
      <c r="AX1380" s="50"/>
      <c r="AY1380" s="50"/>
      <c r="AZ1380" s="50"/>
      <c r="BA1380" s="50"/>
      <c r="BB1380" s="50"/>
      <c r="BC1380" s="50"/>
      <c r="BD1380" s="50"/>
      <c r="BE1380" s="20"/>
      <c r="BF1380" s="518"/>
      <c r="BG1380" s="484"/>
      <c r="BH1380" s="484"/>
      <c r="BI1380" s="527"/>
      <c r="BJ1380" s="484"/>
      <c r="BK1380" s="484"/>
      <c r="BL1380" s="484"/>
      <c r="BM1380" s="484"/>
    </row>
    <row r="1381" spans="1:65" s="22" customFormat="1" x14ac:dyDescent="0.25">
      <c r="A1381" s="20"/>
      <c r="B1381" s="515"/>
      <c r="C1381" s="11"/>
      <c r="D1381" s="11"/>
      <c r="E1381" s="11"/>
      <c r="F1381" s="21"/>
      <c r="G1381" s="11"/>
      <c r="H1381" s="50"/>
      <c r="I1381" s="50"/>
      <c r="J1381" s="50"/>
      <c r="K1381" s="11"/>
      <c r="L1381" s="50"/>
      <c r="M1381" s="50"/>
      <c r="N1381" s="50"/>
      <c r="O1381" s="50"/>
      <c r="P1381" s="50"/>
      <c r="Q1381" s="11"/>
      <c r="R1381" s="50"/>
      <c r="S1381" s="50"/>
      <c r="T1381" s="50"/>
      <c r="U1381" s="11"/>
      <c r="V1381" s="50"/>
      <c r="W1381" s="50"/>
      <c r="X1381" s="50"/>
      <c r="Y1381" s="50"/>
      <c r="Z1381" s="50"/>
      <c r="AA1381" s="11"/>
      <c r="AB1381" s="50"/>
      <c r="AC1381" s="50"/>
      <c r="AD1381" s="50"/>
      <c r="AE1381" s="11"/>
      <c r="AF1381" s="50"/>
      <c r="AG1381" s="50"/>
      <c r="AH1381" s="50"/>
      <c r="AI1381" s="11"/>
      <c r="AJ1381" s="50"/>
      <c r="AK1381" s="50"/>
      <c r="AL1381" s="50"/>
      <c r="AM1381" s="11"/>
      <c r="AN1381" s="50"/>
      <c r="AO1381" s="50"/>
      <c r="AP1381" s="50"/>
      <c r="AQ1381" s="11"/>
      <c r="AR1381" s="50"/>
      <c r="AS1381" s="50"/>
      <c r="AT1381" s="50"/>
      <c r="AU1381" s="11"/>
      <c r="AV1381" s="50"/>
      <c r="AW1381" s="50"/>
      <c r="AX1381" s="50"/>
      <c r="AY1381" s="50"/>
      <c r="AZ1381" s="50"/>
      <c r="BA1381" s="50"/>
      <c r="BB1381" s="50"/>
      <c r="BC1381" s="50"/>
      <c r="BD1381" s="50"/>
      <c r="BE1381" s="20"/>
      <c r="BF1381" s="518"/>
      <c r="BG1381" s="484"/>
      <c r="BH1381" s="484"/>
      <c r="BI1381" s="527"/>
      <c r="BJ1381" s="484"/>
      <c r="BK1381" s="484"/>
      <c r="BL1381" s="484"/>
      <c r="BM1381" s="484"/>
    </row>
    <row r="1382" spans="1:65" s="22" customFormat="1" x14ac:dyDescent="0.25">
      <c r="A1382" s="20"/>
      <c r="B1382" s="515"/>
      <c r="C1382" s="11"/>
      <c r="D1382" s="11"/>
      <c r="E1382" s="11"/>
      <c r="F1382" s="21"/>
      <c r="G1382" s="11"/>
      <c r="H1382" s="50"/>
      <c r="I1382" s="50"/>
      <c r="J1382" s="50"/>
      <c r="K1382" s="11"/>
      <c r="L1382" s="50"/>
      <c r="M1382" s="50"/>
      <c r="N1382" s="50"/>
      <c r="O1382" s="50"/>
      <c r="P1382" s="50"/>
      <c r="Q1382" s="11"/>
      <c r="R1382" s="50"/>
      <c r="S1382" s="50"/>
      <c r="T1382" s="50"/>
      <c r="U1382" s="11"/>
      <c r="V1382" s="50"/>
      <c r="W1382" s="50"/>
      <c r="X1382" s="50"/>
      <c r="Y1382" s="50"/>
      <c r="Z1382" s="50"/>
      <c r="AA1382" s="11"/>
      <c r="AB1382" s="50"/>
      <c r="AC1382" s="50"/>
      <c r="AD1382" s="50"/>
      <c r="AE1382" s="11"/>
      <c r="AF1382" s="50"/>
      <c r="AG1382" s="50"/>
      <c r="AH1382" s="50"/>
      <c r="AI1382" s="11"/>
      <c r="AJ1382" s="50"/>
      <c r="AK1382" s="50"/>
      <c r="AL1382" s="50"/>
      <c r="AM1382" s="11"/>
      <c r="AN1382" s="50"/>
      <c r="AO1382" s="50"/>
      <c r="AP1382" s="50"/>
      <c r="AQ1382" s="11"/>
      <c r="AR1382" s="50"/>
      <c r="AS1382" s="50"/>
      <c r="AT1382" s="50"/>
      <c r="AU1382" s="11"/>
      <c r="AV1382" s="50"/>
      <c r="AW1382" s="50"/>
      <c r="AX1382" s="50"/>
      <c r="AY1382" s="50"/>
      <c r="AZ1382" s="50"/>
      <c r="BA1382" s="50"/>
      <c r="BB1382" s="50"/>
      <c r="BC1382" s="50"/>
      <c r="BD1382" s="50"/>
      <c r="BE1382" s="20"/>
      <c r="BF1382" s="518"/>
      <c r="BG1382" s="484"/>
      <c r="BH1382" s="484"/>
      <c r="BI1382" s="527"/>
      <c r="BJ1382" s="484"/>
      <c r="BK1382" s="484"/>
      <c r="BL1382" s="484"/>
      <c r="BM1382" s="484"/>
    </row>
    <row r="1383" spans="1:65" s="22" customFormat="1" x14ac:dyDescent="0.25">
      <c r="A1383" s="20"/>
      <c r="B1383" s="515"/>
      <c r="C1383" s="11"/>
      <c r="D1383" s="11"/>
      <c r="E1383" s="11"/>
      <c r="F1383" s="21"/>
      <c r="G1383" s="11"/>
      <c r="H1383" s="50"/>
      <c r="I1383" s="50"/>
      <c r="J1383" s="50"/>
      <c r="K1383" s="11"/>
      <c r="L1383" s="50"/>
      <c r="M1383" s="50"/>
      <c r="N1383" s="50"/>
      <c r="O1383" s="50"/>
      <c r="P1383" s="50"/>
      <c r="Q1383" s="11"/>
      <c r="R1383" s="50"/>
      <c r="S1383" s="50"/>
      <c r="T1383" s="50"/>
      <c r="U1383" s="11"/>
      <c r="V1383" s="50"/>
      <c r="W1383" s="50"/>
      <c r="X1383" s="50"/>
      <c r="Y1383" s="50"/>
      <c r="Z1383" s="50"/>
      <c r="AA1383" s="11"/>
      <c r="AB1383" s="50"/>
      <c r="AC1383" s="50"/>
      <c r="AD1383" s="50"/>
      <c r="AE1383" s="11"/>
      <c r="AF1383" s="50"/>
      <c r="AG1383" s="50"/>
      <c r="AH1383" s="50"/>
      <c r="AI1383" s="11"/>
      <c r="AJ1383" s="50"/>
      <c r="AK1383" s="50"/>
      <c r="AL1383" s="50"/>
      <c r="AM1383" s="11"/>
      <c r="AN1383" s="50"/>
      <c r="AO1383" s="50"/>
      <c r="AP1383" s="50"/>
      <c r="AQ1383" s="11"/>
      <c r="AR1383" s="50"/>
      <c r="AS1383" s="50"/>
      <c r="AT1383" s="50"/>
      <c r="AU1383" s="11"/>
      <c r="AV1383" s="50"/>
      <c r="AW1383" s="50"/>
      <c r="AX1383" s="50"/>
      <c r="AY1383" s="50"/>
      <c r="AZ1383" s="50"/>
      <c r="BA1383" s="50"/>
      <c r="BB1383" s="50"/>
      <c r="BC1383" s="50"/>
      <c r="BD1383" s="50"/>
      <c r="BE1383" s="20"/>
      <c r="BF1383" s="518"/>
      <c r="BG1383" s="484"/>
      <c r="BH1383" s="484"/>
      <c r="BI1383" s="527"/>
      <c r="BJ1383" s="484"/>
      <c r="BK1383" s="484"/>
      <c r="BL1383" s="484"/>
      <c r="BM1383" s="484"/>
    </row>
    <row r="1384" spans="1:65" s="22" customFormat="1" x14ac:dyDescent="0.25">
      <c r="A1384" s="20"/>
      <c r="B1384" s="515"/>
      <c r="C1384" s="11"/>
      <c r="D1384" s="11"/>
      <c r="E1384" s="11"/>
      <c r="F1384" s="21"/>
      <c r="G1384" s="11"/>
      <c r="H1384" s="50"/>
      <c r="I1384" s="50"/>
      <c r="J1384" s="50"/>
      <c r="K1384" s="11"/>
      <c r="L1384" s="50"/>
      <c r="M1384" s="50"/>
      <c r="N1384" s="50"/>
      <c r="O1384" s="50"/>
      <c r="P1384" s="50"/>
      <c r="Q1384" s="11"/>
      <c r="R1384" s="50"/>
      <c r="S1384" s="50"/>
      <c r="T1384" s="50"/>
      <c r="U1384" s="11"/>
      <c r="V1384" s="50"/>
      <c r="W1384" s="50"/>
      <c r="X1384" s="50"/>
      <c r="Y1384" s="50"/>
      <c r="Z1384" s="50"/>
      <c r="AA1384" s="11"/>
      <c r="AB1384" s="50"/>
      <c r="AC1384" s="50"/>
      <c r="AD1384" s="50"/>
      <c r="AE1384" s="11"/>
      <c r="AF1384" s="50"/>
      <c r="AG1384" s="50"/>
      <c r="AH1384" s="50"/>
      <c r="AI1384" s="11"/>
      <c r="AJ1384" s="50"/>
      <c r="AK1384" s="50"/>
      <c r="AL1384" s="50"/>
      <c r="AM1384" s="11"/>
      <c r="AN1384" s="50"/>
      <c r="AO1384" s="50"/>
      <c r="AP1384" s="50"/>
      <c r="AQ1384" s="11"/>
      <c r="AR1384" s="50"/>
      <c r="AS1384" s="50"/>
      <c r="AT1384" s="50"/>
      <c r="AU1384" s="11"/>
      <c r="AV1384" s="50"/>
      <c r="AW1384" s="50"/>
      <c r="AX1384" s="50"/>
      <c r="AY1384" s="50"/>
      <c r="AZ1384" s="50"/>
      <c r="BA1384" s="50"/>
      <c r="BB1384" s="50"/>
      <c r="BC1384" s="50"/>
      <c r="BD1384" s="50"/>
      <c r="BE1384" s="20"/>
      <c r="BF1384" s="518"/>
      <c r="BG1384" s="484"/>
      <c r="BH1384" s="484"/>
      <c r="BI1384" s="527"/>
      <c r="BJ1384" s="484"/>
      <c r="BK1384" s="484"/>
      <c r="BL1384" s="484"/>
      <c r="BM1384" s="484"/>
    </row>
    <row r="1385" spans="1:65" s="22" customFormat="1" x14ac:dyDescent="0.25">
      <c r="A1385" s="20"/>
      <c r="B1385" s="515"/>
      <c r="C1385" s="11"/>
      <c r="D1385" s="11"/>
      <c r="E1385" s="11"/>
      <c r="F1385" s="21"/>
      <c r="G1385" s="11"/>
      <c r="H1385" s="50"/>
      <c r="I1385" s="50"/>
      <c r="J1385" s="50"/>
      <c r="K1385" s="11"/>
      <c r="L1385" s="50"/>
      <c r="M1385" s="50"/>
      <c r="N1385" s="50"/>
      <c r="O1385" s="50"/>
      <c r="P1385" s="50"/>
      <c r="Q1385" s="11"/>
      <c r="R1385" s="50"/>
      <c r="S1385" s="50"/>
      <c r="T1385" s="50"/>
      <c r="U1385" s="11"/>
      <c r="V1385" s="50"/>
      <c r="W1385" s="50"/>
      <c r="X1385" s="50"/>
      <c r="Y1385" s="50"/>
      <c r="Z1385" s="50"/>
      <c r="AA1385" s="11"/>
      <c r="AB1385" s="50"/>
      <c r="AC1385" s="50"/>
      <c r="AD1385" s="50"/>
      <c r="AE1385" s="11"/>
      <c r="AF1385" s="50"/>
      <c r="AG1385" s="50"/>
      <c r="AH1385" s="50"/>
      <c r="AI1385" s="11"/>
      <c r="AJ1385" s="50"/>
      <c r="AK1385" s="50"/>
      <c r="AL1385" s="50"/>
      <c r="AM1385" s="11"/>
      <c r="AN1385" s="50"/>
      <c r="AO1385" s="50"/>
      <c r="AP1385" s="50"/>
      <c r="AQ1385" s="11"/>
      <c r="AR1385" s="50"/>
      <c r="AS1385" s="50"/>
      <c r="AT1385" s="50"/>
      <c r="AU1385" s="11"/>
      <c r="AV1385" s="50"/>
      <c r="AW1385" s="50"/>
      <c r="AX1385" s="50"/>
      <c r="AY1385" s="50"/>
      <c r="AZ1385" s="50"/>
      <c r="BA1385" s="50"/>
      <c r="BB1385" s="50"/>
      <c r="BC1385" s="50"/>
      <c r="BD1385" s="50"/>
      <c r="BE1385" s="20"/>
      <c r="BF1385" s="518"/>
      <c r="BG1385" s="484"/>
      <c r="BH1385" s="484"/>
      <c r="BI1385" s="527"/>
      <c r="BJ1385" s="484"/>
      <c r="BK1385" s="484"/>
      <c r="BL1385" s="484"/>
      <c r="BM1385" s="484"/>
    </row>
    <row r="1386" spans="1:65" s="22" customFormat="1" x14ac:dyDescent="0.25">
      <c r="A1386" s="20"/>
      <c r="B1386" s="515"/>
      <c r="C1386" s="11"/>
      <c r="D1386" s="11"/>
      <c r="E1386" s="11"/>
      <c r="F1386" s="21"/>
      <c r="G1386" s="11"/>
      <c r="H1386" s="50"/>
      <c r="I1386" s="50"/>
      <c r="J1386" s="50"/>
      <c r="K1386" s="11"/>
      <c r="L1386" s="50"/>
      <c r="M1386" s="50"/>
      <c r="N1386" s="50"/>
      <c r="O1386" s="50"/>
      <c r="P1386" s="50"/>
      <c r="Q1386" s="11"/>
      <c r="R1386" s="50"/>
      <c r="S1386" s="50"/>
      <c r="T1386" s="50"/>
      <c r="U1386" s="11"/>
      <c r="V1386" s="50"/>
      <c r="W1386" s="50"/>
      <c r="X1386" s="50"/>
      <c r="Y1386" s="50"/>
      <c r="Z1386" s="50"/>
      <c r="AA1386" s="11"/>
      <c r="AB1386" s="50"/>
      <c r="AC1386" s="50"/>
      <c r="AD1386" s="50"/>
      <c r="AE1386" s="11"/>
      <c r="AF1386" s="50"/>
      <c r="AG1386" s="50"/>
      <c r="AH1386" s="50"/>
      <c r="AI1386" s="11"/>
      <c r="AJ1386" s="50"/>
      <c r="AK1386" s="50"/>
      <c r="AL1386" s="50"/>
      <c r="AM1386" s="11"/>
      <c r="AN1386" s="50"/>
      <c r="AO1386" s="50"/>
      <c r="AP1386" s="50"/>
      <c r="AQ1386" s="11"/>
      <c r="AR1386" s="50"/>
      <c r="AS1386" s="50"/>
      <c r="AT1386" s="50"/>
      <c r="AU1386" s="11"/>
      <c r="AV1386" s="50"/>
      <c r="AW1386" s="50"/>
      <c r="AX1386" s="50"/>
      <c r="AY1386" s="50"/>
      <c r="AZ1386" s="50"/>
      <c r="BA1386" s="50"/>
      <c r="BB1386" s="50"/>
      <c r="BC1386" s="50"/>
      <c r="BD1386" s="50"/>
      <c r="BE1386" s="20"/>
      <c r="BF1386" s="518"/>
      <c r="BG1386" s="484"/>
      <c r="BH1386" s="484"/>
      <c r="BI1386" s="527"/>
      <c r="BJ1386" s="484"/>
      <c r="BK1386" s="484"/>
      <c r="BL1386" s="484"/>
      <c r="BM1386" s="484"/>
    </row>
    <row r="1387" spans="1:65" s="22" customFormat="1" x14ac:dyDescent="0.25">
      <c r="A1387" s="20"/>
      <c r="B1387" s="515"/>
      <c r="C1387" s="11"/>
      <c r="D1387" s="11"/>
      <c r="E1387" s="11"/>
      <c r="F1387" s="21"/>
      <c r="G1387" s="11"/>
      <c r="H1387" s="50"/>
      <c r="I1387" s="50"/>
      <c r="J1387" s="50"/>
      <c r="K1387" s="11"/>
      <c r="L1387" s="50"/>
      <c r="M1387" s="50"/>
      <c r="N1387" s="50"/>
      <c r="O1387" s="50"/>
      <c r="P1387" s="50"/>
      <c r="Q1387" s="11"/>
      <c r="R1387" s="50"/>
      <c r="S1387" s="50"/>
      <c r="T1387" s="50"/>
      <c r="U1387" s="11"/>
      <c r="V1387" s="50"/>
      <c r="W1387" s="50"/>
      <c r="X1387" s="50"/>
      <c r="Y1387" s="50"/>
      <c r="Z1387" s="50"/>
      <c r="AA1387" s="11"/>
      <c r="AB1387" s="50"/>
      <c r="AC1387" s="50"/>
      <c r="AD1387" s="50"/>
      <c r="AE1387" s="11"/>
      <c r="AF1387" s="50"/>
      <c r="AG1387" s="50"/>
      <c r="AH1387" s="50"/>
      <c r="AI1387" s="11"/>
      <c r="AJ1387" s="50"/>
      <c r="AK1387" s="50"/>
      <c r="AL1387" s="50"/>
      <c r="AM1387" s="11"/>
      <c r="AN1387" s="50"/>
      <c r="AO1387" s="50"/>
      <c r="AP1387" s="50"/>
      <c r="AQ1387" s="11"/>
      <c r="AR1387" s="50"/>
      <c r="AS1387" s="50"/>
      <c r="AT1387" s="50"/>
      <c r="AU1387" s="11"/>
      <c r="AV1387" s="50"/>
      <c r="AW1387" s="50"/>
      <c r="AX1387" s="50"/>
      <c r="AY1387" s="50"/>
      <c r="AZ1387" s="50"/>
      <c r="BA1387" s="50"/>
      <c r="BB1387" s="50"/>
      <c r="BC1387" s="50"/>
      <c r="BD1387" s="50"/>
      <c r="BE1387" s="20"/>
      <c r="BF1387" s="518"/>
      <c r="BG1387" s="484"/>
      <c r="BH1387" s="484"/>
      <c r="BI1387" s="527"/>
      <c r="BJ1387" s="484"/>
      <c r="BK1387" s="484"/>
      <c r="BL1387" s="484"/>
      <c r="BM1387" s="484"/>
    </row>
    <row r="1388" spans="1:65" s="22" customFormat="1" x14ac:dyDescent="0.25">
      <c r="A1388" s="20"/>
      <c r="B1388" s="515"/>
      <c r="C1388" s="11"/>
      <c r="D1388" s="11"/>
      <c r="E1388" s="11"/>
      <c r="F1388" s="21"/>
      <c r="G1388" s="11"/>
      <c r="H1388" s="50"/>
      <c r="I1388" s="50"/>
      <c r="J1388" s="50"/>
      <c r="K1388" s="11"/>
      <c r="L1388" s="50"/>
      <c r="M1388" s="50"/>
      <c r="N1388" s="50"/>
      <c r="O1388" s="50"/>
      <c r="P1388" s="50"/>
      <c r="Q1388" s="11"/>
      <c r="R1388" s="50"/>
      <c r="S1388" s="50"/>
      <c r="T1388" s="50"/>
      <c r="U1388" s="11"/>
      <c r="V1388" s="50"/>
      <c r="W1388" s="50"/>
      <c r="X1388" s="50"/>
      <c r="Y1388" s="50"/>
      <c r="Z1388" s="50"/>
      <c r="AA1388" s="11"/>
      <c r="AB1388" s="50"/>
      <c r="AC1388" s="50"/>
      <c r="AD1388" s="50"/>
      <c r="AE1388" s="11"/>
      <c r="AF1388" s="50"/>
      <c r="AG1388" s="50"/>
      <c r="AH1388" s="50"/>
      <c r="AI1388" s="11"/>
      <c r="AJ1388" s="50"/>
      <c r="AK1388" s="50"/>
      <c r="AL1388" s="50"/>
      <c r="AM1388" s="11"/>
      <c r="AN1388" s="50"/>
      <c r="AO1388" s="50"/>
      <c r="AP1388" s="50"/>
      <c r="AQ1388" s="11"/>
      <c r="AR1388" s="50"/>
      <c r="AS1388" s="50"/>
      <c r="AT1388" s="50"/>
      <c r="AU1388" s="11"/>
      <c r="AV1388" s="50"/>
      <c r="AW1388" s="50"/>
      <c r="AX1388" s="50"/>
      <c r="AY1388" s="50"/>
      <c r="AZ1388" s="50"/>
      <c r="BA1388" s="50"/>
      <c r="BB1388" s="50"/>
      <c r="BC1388" s="50"/>
      <c r="BD1388" s="50"/>
      <c r="BE1388" s="20"/>
      <c r="BF1388" s="518"/>
      <c r="BG1388" s="484"/>
      <c r="BH1388" s="484"/>
      <c r="BI1388" s="527"/>
      <c r="BJ1388" s="484"/>
      <c r="BK1388" s="484"/>
      <c r="BL1388" s="484"/>
      <c r="BM1388" s="484"/>
    </row>
    <row r="1389" spans="1:65" s="22" customFormat="1" x14ac:dyDescent="0.25">
      <c r="A1389" s="20"/>
      <c r="B1389" s="515"/>
      <c r="C1389" s="11"/>
      <c r="D1389" s="11"/>
      <c r="E1389" s="11"/>
      <c r="F1389" s="21"/>
      <c r="G1389" s="11"/>
      <c r="H1389" s="50"/>
      <c r="I1389" s="50"/>
      <c r="J1389" s="50"/>
      <c r="K1389" s="11"/>
      <c r="L1389" s="50"/>
      <c r="M1389" s="50"/>
      <c r="N1389" s="50"/>
      <c r="O1389" s="50"/>
      <c r="P1389" s="50"/>
      <c r="Q1389" s="11"/>
      <c r="R1389" s="50"/>
      <c r="S1389" s="50"/>
      <c r="T1389" s="50"/>
      <c r="U1389" s="11"/>
      <c r="V1389" s="50"/>
      <c r="W1389" s="50"/>
      <c r="X1389" s="50"/>
      <c r="Y1389" s="50"/>
      <c r="Z1389" s="50"/>
      <c r="AA1389" s="11"/>
      <c r="AB1389" s="50"/>
      <c r="AC1389" s="50"/>
      <c r="AD1389" s="50"/>
      <c r="AE1389" s="11"/>
      <c r="AF1389" s="50"/>
      <c r="AG1389" s="50"/>
      <c r="AH1389" s="50"/>
      <c r="AI1389" s="11"/>
      <c r="AJ1389" s="50"/>
      <c r="AK1389" s="50"/>
      <c r="AL1389" s="50"/>
      <c r="AM1389" s="11"/>
      <c r="AN1389" s="50"/>
      <c r="AO1389" s="50"/>
      <c r="AP1389" s="50"/>
      <c r="AQ1389" s="11"/>
      <c r="AR1389" s="50"/>
      <c r="AS1389" s="50"/>
      <c r="AT1389" s="50"/>
      <c r="AU1389" s="11"/>
      <c r="AV1389" s="50"/>
      <c r="AW1389" s="50"/>
      <c r="AX1389" s="50"/>
      <c r="AY1389" s="50"/>
      <c r="AZ1389" s="50"/>
      <c r="BA1389" s="50"/>
      <c r="BB1389" s="50"/>
      <c r="BC1389" s="50"/>
      <c r="BD1389" s="50"/>
      <c r="BE1389" s="20"/>
      <c r="BF1389" s="518"/>
      <c r="BG1389" s="484"/>
      <c r="BH1389" s="484"/>
      <c r="BI1389" s="527"/>
      <c r="BJ1389" s="484"/>
      <c r="BK1389" s="484"/>
      <c r="BL1389" s="484"/>
      <c r="BM1389" s="484"/>
    </row>
    <row r="1390" spans="1:65" s="22" customFormat="1" x14ac:dyDescent="0.25">
      <c r="A1390" s="20"/>
      <c r="B1390" s="515"/>
      <c r="C1390" s="11"/>
      <c r="D1390" s="11"/>
      <c r="E1390" s="11"/>
      <c r="F1390" s="21"/>
      <c r="G1390" s="11"/>
      <c r="H1390" s="50"/>
      <c r="I1390" s="50"/>
      <c r="J1390" s="50"/>
      <c r="K1390" s="11"/>
      <c r="L1390" s="50"/>
      <c r="M1390" s="50"/>
      <c r="N1390" s="50"/>
      <c r="O1390" s="50"/>
      <c r="P1390" s="50"/>
      <c r="Q1390" s="11"/>
      <c r="R1390" s="50"/>
      <c r="S1390" s="50"/>
      <c r="T1390" s="50"/>
      <c r="U1390" s="11"/>
      <c r="V1390" s="50"/>
      <c r="W1390" s="50"/>
      <c r="X1390" s="50"/>
      <c r="Y1390" s="50"/>
      <c r="Z1390" s="50"/>
      <c r="AA1390" s="11"/>
      <c r="AB1390" s="50"/>
      <c r="AC1390" s="50"/>
      <c r="AD1390" s="50"/>
      <c r="AE1390" s="11"/>
      <c r="AF1390" s="50"/>
      <c r="AG1390" s="50"/>
      <c r="AH1390" s="50"/>
      <c r="AI1390" s="11"/>
      <c r="AJ1390" s="50"/>
      <c r="AK1390" s="50"/>
      <c r="AL1390" s="50"/>
      <c r="AM1390" s="11"/>
      <c r="AN1390" s="50"/>
      <c r="AO1390" s="50"/>
      <c r="AP1390" s="50"/>
      <c r="AQ1390" s="11"/>
      <c r="AR1390" s="50"/>
      <c r="AS1390" s="50"/>
      <c r="AT1390" s="50"/>
      <c r="AU1390" s="11"/>
      <c r="AV1390" s="50"/>
      <c r="AW1390" s="50"/>
      <c r="AX1390" s="50"/>
      <c r="AY1390" s="50"/>
      <c r="AZ1390" s="50"/>
      <c r="BA1390" s="50"/>
      <c r="BB1390" s="50"/>
      <c r="BC1390" s="50"/>
      <c r="BD1390" s="50"/>
      <c r="BE1390" s="20"/>
      <c r="BF1390" s="518"/>
      <c r="BG1390" s="484"/>
      <c r="BH1390" s="484"/>
      <c r="BI1390" s="527"/>
      <c r="BJ1390" s="484"/>
      <c r="BK1390" s="484"/>
      <c r="BL1390" s="484"/>
      <c r="BM1390" s="484"/>
    </row>
    <row r="1391" spans="1:65" s="22" customFormat="1" x14ac:dyDescent="0.25">
      <c r="A1391" s="20"/>
      <c r="B1391" s="515"/>
      <c r="C1391" s="11"/>
      <c r="D1391" s="11"/>
      <c r="E1391" s="11"/>
      <c r="F1391" s="21"/>
      <c r="G1391" s="11"/>
      <c r="H1391" s="50"/>
      <c r="I1391" s="50"/>
      <c r="J1391" s="50"/>
      <c r="K1391" s="11"/>
      <c r="L1391" s="50"/>
      <c r="M1391" s="50"/>
      <c r="N1391" s="50"/>
      <c r="O1391" s="50"/>
      <c r="P1391" s="50"/>
      <c r="Q1391" s="11"/>
      <c r="R1391" s="50"/>
      <c r="S1391" s="50"/>
      <c r="T1391" s="50"/>
      <c r="U1391" s="11"/>
      <c r="V1391" s="50"/>
      <c r="W1391" s="50"/>
      <c r="X1391" s="50"/>
      <c r="Y1391" s="50"/>
      <c r="Z1391" s="50"/>
      <c r="AA1391" s="11"/>
      <c r="AB1391" s="50"/>
      <c r="AC1391" s="50"/>
      <c r="AD1391" s="50"/>
      <c r="AE1391" s="11"/>
      <c r="AF1391" s="50"/>
      <c r="AG1391" s="50"/>
      <c r="AH1391" s="50"/>
      <c r="AI1391" s="11"/>
      <c r="AJ1391" s="50"/>
      <c r="AK1391" s="50"/>
      <c r="AL1391" s="50"/>
      <c r="AM1391" s="11"/>
      <c r="AN1391" s="50"/>
      <c r="AO1391" s="50"/>
      <c r="AP1391" s="50"/>
      <c r="AQ1391" s="11"/>
      <c r="AR1391" s="50"/>
      <c r="AS1391" s="50"/>
      <c r="AT1391" s="50"/>
      <c r="AU1391" s="11"/>
      <c r="AV1391" s="50"/>
      <c r="AW1391" s="50"/>
      <c r="AX1391" s="50"/>
      <c r="AY1391" s="50"/>
      <c r="AZ1391" s="50"/>
      <c r="BA1391" s="50"/>
      <c r="BB1391" s="50"/>
      <c r="BC1391" s="50"/>
      <c r="BD1391" s="50"/>
      <c r="BE1391" s="20"/>
      <c r="BF1391" s="518"/>
      <c r="BG1391" s="484"/>
      <c r="BH1391" s="484"/>
      <c r="BI1391" s="527"/>
      <c r="BJ1391" s="484"/>
      <c r="BK1391" s="484"/>
      <c r="BL1391" s="484"/>
      <c r="BM1391" s="484"/>
    </row>
    <row r="1392" spans="1:65" s="22" customFormat="1" x14ac:dyDescent="0.25">
      <c r="A1392" s="20"/>
      <c r="B1392" s="515"/>
      <c r="C1392" s="11"/>
      <c r="D1392" s="11"/>
      <c r="E1392" s="11"/>
      <c r="F1392" s="21"/>
      <c r="G1392" s="11"/>
      <c r="H1392" s="50"/>
      <c r="I1392" s="50"/>
      <c r="J1392" s="50"/>
      <c r="K1392" s="11"/>
      <c r="L1392" s="50"/>
      <c r="M1392" s="50"/>
      <c r="N1392" s="50"/>
      <c r="O1392" s="50"/>
      <c r="P1392" s="50"/>
      <c r="Q1392" s="11"/>
      <c r="R1392" s="50"/>
      <c r="S1392" s="50"/>
      <c r="T1392" s="50"/>
      <c r="U1392" s="11"/>
      <c r="V1392" s="50"/>
      <c r="W1392" s="50"/>
      <c r="X1392" s="50"/>
      <c r="Y1392" s="50"/>
      <c r="Z1392" s="50"/>
      <c r="AA1392" s="11"/>
      <c r="AB1392" s="50"/>
      <c r="AC1392" s="50"/>
      <c r="AD1392" s="50"/>
      <c r="AE1392" s="11"/>
      <c r="AF1392" s="50"/>
      <c r="AG1392" s="50"/>
      <c r="AH1392" s="50"/>
      <c r="AI1392" s="11"/>
      <c r="AJ1392" s="50"/>
      <c r="AK1392" s="50"/>
      <c r="AL1392" s="50"/>
      <c r="AM1392" s="11"/>
      <c r="AN1392" s="50"/>
      <c r="AO1392" s="50"/>
      <c r="AP1392" s="50"/>
      <c r="AQ1392" s="11"/>
      <c r="AR1392" s="50"/>
      <c r="AS1392" s="50"/>
      <c r="AT1392" s="50"/>
      <c r="AU1392" s="11"/>
      <c r="AV1392" s="50"/>
      <c r="AW1392" s="50"/>
      <c r="AX1392" s="50"/>
      <c r="AY1392" s="50"/>
      <c r="AZ1392" s="50"/>
      <c r="BA1392" s="50"/>
      <c r="BB1392" s="50"/>
      <c r="BC1392" s="50"/>
      <c r="BD1392" s="50"/>
      <c r="BE1392" s="20"/>
      <c r="BF1392" s="518"/>
      <c r="BG1392" s="484"/>
      <c r="BH1392" s="484"/>
      <c r="BI1392" s="527"/>
      <c r="BJ1392" s="484"/>
      <c r="BK1392" s="484"/>
      <c r="BL1392" s="484"/>
      <c r="BM1392" s="484"/>
    </row>
    <row r="1393" spans="1:65" s="22" customFormat="1" x14ac:dyDescent="0.25">
      <c r="A1393" s="20"/>
      <c r="B1393" s="515"/>
      <c r="C1393" s="11"/>
      <c r="D1393" s="11"/>
      <c r="E1393" s="11"/>
      <c r="F1393" s="21"/>
      <c r="G1393" s="11"/>
      <c r="H1393" s="50"/>
      <c r="I1393" s="50"/>
      <c r="J1393" s="50"/>
      <c r="K1393" s="11"/>
      <c r="L1393" s="50"/>
      <c r="M1393" s="50"/>
      <c r="N1393" s="50"/>
      <c r="O1393" s="50"/>
      <c r="P1393" s="50"/>
      <c r="Q1393" s="11"/>
      <c r="R1393" s="50"/>
      <c r="S1393" s="50"/>
      <c r="T1393" s="50"/>
      <c r="U1393" s="11"/>
      <c r="V1393" s="50"/>
      <c r="W1393" s="50"/>
      <c r="X1393" s="50"/>
      <c r="Y1393" s="50"/>
      <c r="Z1393" s="50"/>
      <c r="AA1393" s="11"/>
      <c r="AB1393" s="50"/>
      <c r="AC1393" s="50"/>
      <c r="AD1393" s="50"/>
      <c r="AE1393" s="11"/>
      <c r="AF1393" s="50"/>
      <c r="AG1393" s="50"/>
      <c r="AH1393" s="50"/>
      <c r="AI1393" s="11"/>
      <c r="AJ1393" s="50"/>
      <c r="AK1393" s="50"/>
      <c r="AL1393" s="50"/>
      <c r="AM1393" s="11"/>
      <c r="AN1393" s="50"/>
      <c r="AO1393" s="50"/>
      <c r="AP1393" s="50"/>
      <c r="AQ1393" s="11"/>
      <c r="AR1393" s="50"/>
      <c r="AS1393" s="50"/>
      <c r="AT1393" s="50"/>
      <c r="AU1393" s="11"/>
      <c r="AV1393" s="50"/>
      <c r="AW1393" s="50"/>
      <c r="AX1393" s="50"/>
      <c r="AY1393" s="50"/>
      <c r="AZ1393" s="50"/>
      <c r="BA1393" s="50"/>
      <c r="BB1393" s="50"/>
      <c r="BC1393" s="50"/>
      <c r="BD1393" s="50"/>
      <c r="BE1393" s="20"/>
      <c r="BF1393" s="518"/>
      <c r="BG1393" s="484"/>
      <c r="BH1393" s="484"/>
      <c r="BI1393" s="527"/>
      <c r="BJ1393" s="484"/>
      <c r="BK1393" s="484"/>
      <c r="BL1393" s="484"/>
      <c r="BM1393" s="484"/>
    </row>
    <row r="1394" spans="1:65" s="22" customFormat="1" x14ac:dyDescent="0.25">
      <c r="A1394" s="20"/>
      <c r="B1394" s="515"/>
      <c r="C1394" s="11"/>
      <c r="D1394" s="11"/>
      <c r="E1394" s="11"/>
      <c r="F1394" s="21"/>
      <c r="G1394" s="11"/>
      <c r="H1394" s="50"/>
      <c r="I1394" s="50"/>
      <c r="J1394" s="50"/>
      <c r="K1394" s="11"/>
      <c r="L1394" s="50"/>
      <c r="M1394" s="50"/>
      <c r="N1394" s="50"/>
      <c r="O1394" s="50"/>
      <c r="P1394" s="50"/>
      <c r="Q1394" s="11"/>
      <c r="R1394" s="50"/>
      <c r="S1394" s="50"/>
      <c r="T1394" s="50"/>
      <c r="U1394" s="11"/>
      <c r="V1394" s="50"/>
      <c r="W1394" s="50"/>
      <c r="X1394" s="50"/>
      <c r="Y1394" s="50"/>
      <c r="Z1394" s="50"/>
      <c r="AA1394" s="11"/>
      <c r="AB1394" s="50"/>
      <c r="AC1394" s="50"/>
      <c r="AD1394" s="50"/>
      <c r="AE1394" s="11"/>
      <c r="AF1394" s="50"/>
      <c r="AG1394" s="50"/>
      <c r="AH1394" s="50"/>
      <c r="AI1394" s="11"/>
      <c r="AJ1394" s="50"/>
      <c r="AK1394" s="50"/>
      <c r="AL1394" s="50"/>
      <c r="AM1394" s="11"/>
      <c r="AN1394" s="50"/>
      <c r="AO1394" s="50"/>
      <c r="AP1394" s="50"/>
      <c r="AQ1394" s="11"/>
      <c r="AR1394" s="50"/>
      <c r="AS1394" s="50"/>
      <c r="AT1394" s="50"/>
      <c r="AU1394" s="11"/>
      <c r="AV1394" s="50"/>
      <c r="AW1394" s="50"/>
      <c r="AX1394" s="50"/>
      <c r="AY1394" s="50"/>
      <c r="AZ1394" s="50"/>
      <c r="BA1394" s="50"/>
      <c r="BB1394" s="50"/>
      <c r="BC1394" s="50"/>
      <c r="BD1394" s="50"/>
      <c r="BE1394" s="20"/>
      <c r="BF1394" s="518"/>
      <c r="BG1394" s="484"/>
      <c r="BH1394" s="484"/>
      <c r="BI1394" s="527"/>
      <c r="BJ1394" s="484"/>
      <c r="BK1394" s="484"/>
      <c r="BL1394" s="484"/>
      <c r="BM1394" s="484"/>
    </row>
    <row r="1395" spans="1:65" s="22" customFormat="1" x14ac:dyDescent="0.25">
      <c r="A1395" s="20"/>
      <c r="B1395" s="515"/>
      <c r="C1395" s="11"/>
      <c r="D1395" s="11"/>
      <c r="E1395" s="11"/>
      <c r="F1395" s="21"/>
      <c r="G1395" s="11"/>
      <c r="H1395" s="50"/>
      <c r="I1395" s="50"/>
      <c r="J1395" s="50"/>
      <c r="K1395" s="11"/>
      <c r="L1395" s="50"/>
      <c r="M1395" s="50"/>
      <c r="N1395" s="50"/>
      <c r="O1395" s="50"/>
      <c r="P1395" s="50"/>
      <c r="Q1395" s="11"/>
      <c r="R1395" s="50"/>
      <c r="S1395" s="50"/>
      <c r="T1395" s="50"/>
      <c r="U1395" s="11"/>
      <c r="V1395" s="50"/>
      <c r="W1395" s="50"/>
      <c r="X1395" s="50"/>
      <c r="Y1395" s="50"/>
      <c r="Z1395" s="50"/>
      <c r="AA1395" s="11"/>
      <c r="AB1395" s="50"/>
      <c r="AC1395" s="50"/>
      <c r="AD1395" s="50"/>
      <c r="AE1395" s="11"/>
      <c r="AF1395" s="50"/>
      <c r="AG1395" s="50"/>
      <c r="AH1395" s="50"/>
      <c r="AI1395" s="11"/>
      <c r="AJ1395" s="50"/>
      <c r="AK1395" s="50"/>
      <c r="AL1395" s="50"/>
      <c r="AM1395" s="11"/>
      <c r="AN1395" s="50"/>
      <c r="AO1395" s="50"/>
      <c r="AP1395" s="50"/>
      <c r="AQ1395" s="11"/>
      <c r="AR1395" s="50"/>
      <c r="AS1395" s="50"/>
      <c r="AT1395" s="50"/>
      <c r="AU1395" s="11"/>
      <c r="AV1395" s="50"/>
      <c r="AW1395" s="50"/>
      <c r="AX1395" s="50"/>
      <c r="AY1395" s="50"/>
      <c r="AZ1395" s="50"/>
      <c r="BA1395" s="50"/>
      <c r="BB1395" s="50"/>
      <c r="BC1395" s="50"/>
      <c r="BD1395" s="50"/>
      <c r="BE1395" s="20"/>
      <c r="BF1395" s="518"/>
      <c r="BG1395" s="484"/>
      <c r="BH1395" s="484"/>
      <c r="BI1395" s="527"/>
      <c r="BJ1395" s="484"/>
      <c r="BK1395" s="484"/>
      <c r="BL1395" s="484"/>
      <c r="BM1395" s="484"/>
    </row>
    <row r="1396" spans="1:65" s="22" customFormat="1" x14ac:dyDescent="0.25">
      <c r="A1396" s="20"/>
      <c r="B1396" s="515"/>
      <c r="C1396" s="11"/>
      <c r="D1396" s="11"/>
      <c r="E1396" s="11"/>
      <c r="F1396" s="21"/>
      <c r="G1396" s="11"/>
      <c r="H1396" s="50"/>
      <c r="I1396" s="50"/>
      <c r="J1396" s="50"/>
      <c r="K1396" s="11"/>
      <c r="L1396" s="50"/>
      <c r="M1396" s="50"/>
      <c r="N1396" s="50"/>
      <c r="O1396" s="50"/>
      <c r="P1396" s="50"/>
      <c r="Q1396" s="11"/>
      <c r="R1396" s="50"/>
      <c r="S1396" s="50"/>
      <c r="T1396" s="50"/>
      <c r="U1396" s="11"/>
      <c r="V1396" s="50"/>
      <c r="W1396" s="50"/>
      <c r="X1396" s="50"/>
      <c r="Y1396" s="50"/>
      <c r="Z1396" s="50"/>
      <c r="AA1396" s="11"/>
      <c r="AB1396" s="50"/>
      <c r="AC1396" s="50"/>
      <c r="AD1396" s="50"/>
      <c r="AE1396" s="11"/>
      <c r="AF1396" s="50"/>
      <c r="AG1396" s="50"/>
      <c r="AH1396" s="50"/>
      <c r="AI1396" s="11"/>
      <c r="AJ1396" s="50"/>
      <c r="AK1396" s="50"/>
      <c r="AL1396" s="50"/>
      <c r="AM1396" s="11"/>
      <c r="AN1396" s="50"/>
      <c r="AO1396" s="50"/>
      <c r="AP1396" s="50"/>
      <c r="AQ1396" s="11"/>
      <c r="AR1396" s="50"/>
      <c r="AS1396" s="50"/>
      <c r="AT1396" s="50"/>
      <c r="AU1396" s="11"/>
      <c r="AV1396" s="50"/>
      <c r="AW1396" s="50"/>
      <c r="AX1396" s="50"/>
      <c r="AY1396" s="50"/>
      <c r="AZ1396" s="50"/>
      <c r="BA1396" s="50"/>
      <c r="BB1396" s="50"/>
      <c r="BC1396" s="50"/>
      <c r="BD1396" s="50"/>
      <c r="BE1396" s="20"/>
      <c r="BF1396" s="518"/>
      <c r="BG1396" s="484"/>
      <c r="BH1396" s="484"/>
      <c r="BI1396" s="527"/>
      <c r="BJ1396" s="484"/>
      <c r="BK1396" s="484"/>
      <c r="BL1396" s="484"/>
      <c r="BM1396" s="484"/>
    </row>
    <row r="1397" spans="1:65" s="22" customFormat="1" x14ac:dyDescent="0.25">
      <c r="A1397" s="20"/>
      <c r="B1397" s="515"/>
      <c r="C1397" s="11"/>
      <c r="D1397" s="11"/>
      <c r="E1397" s="11"/>
      <c r="F1397" s="21"/>
      <c r="G1397" s="11"/>
      <c r="H1397" s="50"/>
      <c r="I1397" s="50"/>
      <c r="J1397" s="50"/>
      <c r="K1397" s="11"/>
      <c r="L1397" s="50"/>
      <c r="M1397" s="50"/>
      <c r="N1397" s="50"/>
      <c r="O1397" s="50"/>
      <c r="P1397" s="50"/>
      <c r="Q1397" s="11"/>
      <c r="R1397" s="50"/>
      <c r="S1397" s="50"/>
      <c r="T1397" s="50"/>
      <c r="U1397" s="11"/>
      <c r="V1397" s="50"/>
      <c r="W1397" s="50"/>
      <c r="X1397" s="50"/>
      <c r="Y1397" s="50"/>
      <c r="Z1397" s="50"/>
      <c r="AA1397" s="11"/>
      <c r="AB1397" s="50"/>
      <c r="AC1397" s="50"/>
      <c r="AD1397" s="50"/>
      <c r="AE1397" s="11"/>
      <c r="AF1397" s="50"/>
      <c r="AG1397" s="50"/>
      <c r="AH1397" s="50"/>
      <c r="AI1397" s="11"/>
      <c r="AJ1397" s="50"/>
      <c r="AK1397" s="50"/>
      <c r="AL1397" s="50"/>
      <c r="AM1397" s="11"/>
      <c r="AN1397" s="50"/>
      <c r="AO1397" s="50"/>
      <c r="AP1397" s="50"/>
      <c r="AQ1397" s="11"/>
      <c r="AR1397" s="50"/>
      <c r="AS1397" s="50"/>
      <c r="AT1397" s="50"/>
      <c r="AU1397" s="11"/>
      <c r="AV1397" s="50"/>
      <c r="AW1397" s="50"/>
      <c r="AX1397" s="50"/>
      <c r="AY1397" s="50"/>
      <c r="AZ1397" s="50"/>
      <c r="BA1397" s="50"/>
      <c r="BB1397" s="50"/>
      <c r="BC1397" s="50"/>
      <c r="BD1397" s="50"/>
      <c r="BE1397" s="20"/>
      <c r="BF1397" s="518"/>
      <c r="BG1397" s="484"/>
      <c r="BH1397" s="484"/>
      <c r="BI1397" s="527"/>
      <c r="BJ1397" s="484"/>
      <c r="BK1397" s="484"/>
      <c r="BL1397" s="484"/>
      <c r="BM1397" s="484"/>
    </row>
    <row r="1398" spans="1:65" s="22" customFormat="1" x14ac:dyDescent="0.25">
      <c r="A1398" s="20"/>
      <c r="B1398" s="515"/>
      <c r="C1398" s="11"/>
      <c r="D1398" s="11"/>
      <c r="E1398" s="11"/>
      <c r="F1398" s="21"/>
      <c r="G1398" s="11"/>
      <c r="H1398" s="50"/>
      <c r="I1398" s="50"/>
      <c r="J1398" s="50"/>
      <c r="K1398" s="11"/>
      <c r="L1398" s="50"/>
      <c r="M1398" s="50"/>
      <c r="N1398" s="50"/>
      <c r="O1398" s="50"/>
      <c r="P1398" s="50"/>
      <c r="Q1398" s="11"/>
      <c r="R1398" s="50"/>
      <c r="S1398" s="50"/>
      <c r="T1398" s="50"/>
      <c r="U1398" s="11"/>
      <c r="V1398" s="50"/>
      <c r="W1398" s="50"/>
      <c r="X1398" s="50"/>
      <c r="Y1398" s="50"/>
      <c r="Z1398" s="50"/>
      <c r="AA1398" s="11"/>
      <c r="AB1398" s="50"/>
      <c r="AC1398" s="50"/>
      <c r="AD1398" s="50"/>
      <c r="AE1398" s="11"/>
      <c r="AF1398" s="50"/>
      <c r="AG1398" s="50"/>
      <c r="AH1398" s="50"/>
      <c r="AI1398" s="11"/>
      <c r="AJ1398" s="50"/>
      <c r="AK1398" s="50"/>
      <c r="AL1398" s="50"/>
      <c r="AM1398" s="11"/>
      <c r="AN1398" s="50"/>
      <c r="AO1398" s="50"/>
      <c r="AP1398" s="50"/>
      <c r="AQ1398" s="11"/>
      <c r="AR1398" s="50"/>
      <c r="AS1398" s="50"/>
      <c r="AT1398" s="50"/>
      <c r="AU1398" s="11"/>
      <c r="AV1398" s="50"/>
      <c r="AW1398" s="50"/>
      <c r="AX1398" s="50"/>
      <c r="AY1398" s="50"/>
      <c r="AZ1398" s="50"/>
      <c r="BA1398" s="50"/>
      <c r="BB1398" s="50"/>
      <c r="BC1398" s="50"/>
      <c r="BD1398" s="50"/>
      <c r="BE1398" s="20"/>
      <c r="BF1398" s="518"/>
      <c r="BG1398" s="484"/>
      <c r="BH1398" s="484"/>
      <c r="BI1398" s="527"/>
      <c r="BJ1398" s="484"/>
      <c r="BK1398" s="484"/>
      <c r="BL1398" s="484"/>
      <c r="BM1398" s="484"/>
    </row>
    <row r="1399" spans="1:65" s="22" customFormat="1" x14ac:dyDescent="0.25">
      <c r="A1399" s="20"/>
      <c r="B1399" s="515"/>
      <c r="C1399" s="11"/>
      <c r="D1399" s="11"/>
      <c r="E1399" s="11"/>
      <c r="F1399" s="21"/>
      <c r="G1399" s="11"/>
      <c r="H1399" s="50"/>
      <c r="I1399" s="50"/>
      <c r="J1399" s="50"/>
      <c r="K1399" s="11"/>
      <c r="L1399" s="50"/>
      <c r="M1399" s="50"/>
      <c r="N1399" s="50"/>
      <c r="O1399" s="50"/>
      <c r="P1399" s="50"/>
      <c r="Q1399" s="11"/>
      <c r="R1399" s="50"/>
      <c r="S1399" s="50"/>
      <c r="T1399" s="50"/>
      <c r="U1399" s="11"/>
      <c r="V1399" s="50"/>
      <c r="W1399" s="50"/>
      <c r="X1399" s="50"/>
      <c r="Y1399" s="50"/>
      <c r="Z1399" s="50"/>
      <c r="AA1399" s="11"/>
      <c r="AB1399" s="50"/>
      <c r="AC1399" s="50"/>
      <c r="AD1399" s="50"/>
      <c r="AE1399" s="11"/>
      <c r="AF1399" s="50"/>
      <c r="AG1399" s="50"/>
      <c r="AH1399" s="50"/>
      <c r="AI1399" s="11"/>
      <c r="AJ1399" s="50"/>
      <c r="AK1399" s="50"/>
      <c r="AL1399" s="50"/>
      <c r="AM1399" s="11"/>
      <c r="AN1399" s="50"/>
      <c r="AO1399" s="50"/>
      <c r="AP1399" s="50"/>
      <c r="AQ1399" s="11"/>
      <c r="AR1399" s="50"/>
      <c r="AS1399" s="50"/>
      <c r="AT1399" s="50"/>
      <c r="AU1399" s="11"/>
      <c r="AV1399" s="50"/>
      <c r="AW1399" s="50"/>
      <c r="AX1399" s="50"/>
      <c r="AY1399" s="50"/>
      <c r="AZ1399" s="50"/>
      <c r="BA1399" s="50"/>
      <c r="BB1399" s="50"/>
      <c r="BC1399" s="50"/>
      <c r="BD1399" s="50"/>
      <c r="BE1399" s="20"/>
      <c r="BF1399" s="518"/>
      <c r="BG1399" s="484"/>
      <c r="BH1399" s="484"/>
      <c r="BI1399" s="527"/>
      <c r="BJ1399" s="484"/>
      <c r="BK1399" s="484"/>
      <c r="BL1399" s="484"/>
      <c r="BM1399" s="484"/>
    </row>
    <row r="1400" spans="1:65" s="22" customFormat="1" x14ac:dyDescent="0.25">
      <c r="A1400" s="20"/>
      <c r="B1400" s="515"/>
      <c r="C1400" s="11"/>
      <c r="D1400" s="11"/>
      <c r="E1400" s="11"/>
      <c r="F1400" s="21"/>
      <c r="G1400" s="11"/>
      <c r="H1400" s="50"/>
      <c r="I1400" s="50"/>
      <c r="J1400" s="50"/>
      <c r="K1400" s="11"/>
      <c r="L1400" s="50"/>
      <c r="M1400" s="50"/>
      <c r="N1400" s="50"/>
      <c r="O1400" s="50"/>
      <c r="P1400" s="50"/>
      <c r="Q1400" s="11"/>
      <c r="R1400" s="50"/>
      <c r="S1400" s="50"/>
      <c r="T1400" s="50"/>
      <c r="U1400" s="11"/>
      <c r="V1400" s="50"/>
      <c r="W1400" s="50"/>
      <c r="X1400" s="50"/>
      <c r="Y1400" s="50"/>
      <c r="Z1400" s="50"/>
      <c r="AA1400" s="11"/>
      <c r="AB1400" s="50"/>
      <c r="AC1400" s="50"/>
      <c r="AD1400" s="50"/>
      <c r="AE1400" s="11"/>
      <c r="AF1400" s="50"/>
      <c r="AG1400" s="50"/>
      <c r="AH1400" s="50"/>
      <c r="AI1400" s="11"/>
      <c r="AJ1400" s="50"/>
      <c r="AK1400" s="50"/>
      <c r="AL1400" s="50"/>
      <c r="AM1400" s="11"/>
      <c r="AN1400" s="50"/>
      <c r="AO1400" s="50"/>
      <c r="AP1400" s="50"/>
      <c r="AQ1400" s="11"/>
      <c r="AR1400" s="50"/>
      <c r="AS1400" s="50"/>
      <c r="AT1400" s="50"/>
      <c r="AU1400" s="11"/>
      <c r="AV1400" s="50"/>
      <c r="AW1400" s="50"/>
      <c r="AX1400" s="50"/>
      <c r="AY1400" s="50"/>
      <c r="AZ1400" s="50"/>
      <c r="BA1400" s="50"/>
      <c r="BB1400" s="50"/>
      <c r="BC1400" s="50"/>
      <c r="BD1400" s="50"/>
      <c r="BE1400" s="20"/>
      <c r="BF1400" s="518"/>
      <c r="BG1400" s="484"/>
      <c r="BH1400" s="484"/>
      <c r="BI1400" s="527"/>
      <c r="BJ1400" s="484"/>
      <c r="BK1400" s="484"/>
      <c r="BL1400" s="484"/>
      <c r="BM1400" s="484"/>
    </row>
    <row r="1401" spans="1:65" s="22" customFormat="1" x14ac:dyDescent="0.25">
      <c r="A1401" s="20"/>
      <c r="B1401" s="515"/>
      <c r="C1401" s="11"/>
      <c r="D1401" s="11"/>
      <c r="E1401" s="11"/>
      <c r="F1401" s="21"/>
      <c r="G1401" s="11"/>
      <c r="H1401" s="50"/>
      <c r="I1401" s="50"/>
      <c r="J1401" s="50"/>
      <c r="K1401" s="11"/>
      <c r="L1401" s="50"/>
      <c r="M1401" s="50"/>
      <c r="N1401" s="50"/>
      <c r="O1401" s="50"/>
      <c r="P1401" s="50"/>
      <c r="Q1401" s="11"/>
      <c r="R1401" s="50"/>
      <c r="S1401" s="50"/>
      <c r="T1401" s="50"/>
      <c r="U1401" s="11"/>
      <c r="V1401" s="50"/>
      <c r="W1401" s="50"/>
      <c r="X1401" s="50"/>
      <c r="Y1401" s="50"/>
      <c r="Z1401" s="50"/>
      <c r="AA1401" s="11"/>
      <c r="AB1401" s="50"/>
      <c r="AC1401" s="50"/>
      <c r="AD1401" s="50"/>
      <c r="AE1401" s="11"/>
      <c r="AF1401" s="50"/>
      <c r="AG1401" s="50"/>
      <c r="AH1401" s="50"/>
      <c r="AI1401" s="11"/>
      <c r="AJ1401" s="50"/>
      <c r="AK1401" s="50"/>
      <c r="AL1401" s="50"/>
      <c r="AM1401" s="11"/>
      <c r="AN1401" s="50"/>
      <c r="AO1401" s="50"/>
      <c r="AP1401" s="50"/>
      <c r="AQ1401" s="11"/>
      <c r="AR1401" s="50"/>
      <c r="AS1401" s="50"/>
      <c r="AT1401" s="50"/>
      <c r="AU1401" s="11"/>
      <c r="AV1401" s="50"/>
      <c r="AW1401" s="50"/>
      <c r="AX1401" s="50"/>
      <c r="AY1401" s="50"/>
      <c r="AZ1401" s="50"/>
      <c r="BA1401" s="50"/>
      <c r="BB1401" s="50"/>
      <c r="BC1401" s="50"/>
      <c r="BD1401" s="50"/>
      <c r="BE1401" s="20"/>
      <c r="BF1401" s="518"/>
      <c r="BG1401" s="484"/>
      <c r="BH1401" s="484"/>
      <c r="BI1401" s="527"/>
      <c r="BJ1401" s="484"/>
      <c r="BK1401" s="484"/>
      <c r="BL1401" s="484"/>
      <c r="BM1401" s="484"/>
    </row>
    <row r="1402" spans="1:65" s="22" customFormat="1" x14ac:dyDescent="0.25">
      <c r="A1402" s="20"/>
      <c r="B1402" s="515"/>
      <c r="C1402" s="11"/>
      <c r="D1402" s="11"/>
      <c r="E1402" s="11"/>
      <c r="F1402" s="21"/>
      <c r="G1402" s="11"/>
      <c r="H1402" s="50"/>
      <c r="I1402" s="50"/>
      <c r="J1402" s="50"/>
      <c r="K1402" s="11"/>
      <c r="L1402" s="50"/>
      <c r="M1402" s="50"/>
      <c r="N1402" s="50"/>
      <c r="O1402" s="50"/>
      <c r="P1402" s="50"/>
      <c r="Q1402" s="11"/>
      <c r="R1402" s="50"/>
      <c r="S1402" s="50"/>
      <c r="T1402" s="50"/>
      <c r="U1402" s="11"/>
      <c r="V1402" s="50"/>
      <c r="W1402" s="50"/>
      <c r="X1402" s="50"/>
      <c r="Y1402" s="50"/>
      <c r="Z1402" s="50"/>
      <c r="AA1402" s="11"/>
      <c r="AB1402" s="50"/>
      <c r="AC1402" s="50"/>
      <c r="AD1402" s="50"/>
      <c r="AE1402" s="11"/>
      <c r="AF1402" s="50"/>
      <c r="AG1402" s="50"/>
      <c r="AH1402" s="50"/>
      <c r="AI1402" s="11"/>
      <c r="AJ1402" s="50"/>
      <c r="AK1402" s="50"/>
      <c r="AL1402" s="50"/>
      <c r="AM1402" s="11"/>
      <c r="AN1402" s="50"/>
      <c r="AO1402" s="50"/>
      <c r="AP1402" s="50"/>
      <c r="AQ1402" s="11"/>
      <c r="AR1402" s="50"/>
      <c r="AS1402" s="50"/>
      <c r="AT1402" s="50"/>
      <c r="AU1402" s="11"/>
      <c r="AV1402" s="50"/>
      <c r="AW1402" s="50"/>
      <c r="AX1402" s="50"/>
      <c r="AY1402" s="50"/>
      <c r="AZ1402" s="50"/>
      <c r="BA1402" s="50"/>
      <c r="BB1402" s="50"/>
      <c r="BC1402" s="50"/>
      <c r="BD1402" s="50"/>
      <c r="BE1402" s="20"/>
      <c r="BF1402" s="518"/>
      <c r="BG1402" s="484"/>
      <c r="BH1402" s="484"/>
      <c r="BI1402" s="527"/>
      <c r="BJ1402" s="484"/>
      <c r="BK1402" s="484"/>
      <c r="BL1402" s="484"/>
      <c r="BM1402" s="484"/>
    </row>
    <row r="1403" spans="1:65" s="22" customFormat="1" x14ac:dyDescent="0.25">
      <c r="A1403" s="20"/>
      <c r="B1403" s="515"/>
      <c r="C1403" s="11"/>
      <c r="D1403" s="11"/>
      <c r="E1403" s="11"/>
      <c r="F1403" s="21"/>
      <c r="G1403" s="11"/>
      <c r="H1403" s="50"/>
      <c r="I1403" s="50"/>
      <c r="J1403" s="50"/>
      <c r="K1403" s="11"/>
      <c r="L1403" s="50"/>
      <c r="M1403" s="50"/>
      <c r="N1403" s="50"/>
      <c r="O1403" s="50"/>
      <c r="P1403" s="50"/>
      <c r="Q1403" s="11"/>
      <c r="R1403" s="50"/>
      <c r="S1403" s="50"/>
      <c r="T1403" s="50"/>
      <c r="U1403" s="11"/>
      <c r="V1403" s="50"/>
      <c r="W1403" s="50"/>
      <c r="X1403" s="50"/>
      <c r="Y1403" s="50"/>
      <c r="Z1403" s="50"/>
      <c r="AA1403" s="11"/>
      <c r="AB1403" s="50"/>
      <c r="AC1403" s="50"/>
      <c r="AD1403" s="50"/>
      <c r="AE1403" s="11"/>
      <c r="AF1403" s="50"/>
      <c r="AG1403" s="50"/>
      <c r="AH1403" s="50"/>
      <c r="AI1403" s="11"/>
      <c r="AJ1403" s="50"/>
      <c r="AK1403" s="50"/>
      <c r="AL1403" s="50"/>
      <c r="AM1403" s="11"/>
      <c r="AN1403" s="50"/>
      <c r="AO1403" s="50"/>
      <c r="AP1403" s="50"/>
      <c r="AQ1403" s="11"/>
      <c r="AR1403" s="50"/>
      <c r="AS1403" s="50"/>
      <c r="AT1403" s="50"/>
      <c r="AU1403" s="11"/>
      <c r="AV1403" s="50"/>
      <c r="AW1403" s="50"/>
      <c r="AX1403" s="50"/>
      <c r="AY1403" s="50"/>
      <c r="AZ1403" s="50"/>
      <c r="BA1403" s="50"/>
      <c r="BB1403" s="50"/>
      <c r="BC1403" s="50"/>
      <c r="BD1403" s="50"/>
      <c r="BE1403" s="20"/>
      <c r="BF1403" s="518"/>
      <c r="BG1403" s="484"/>
      <c r="BH1403" s="484"/>
      <c r="BI1403" s="527"/>
      <c r="BJ1403" s="484"/>
      <c r="BK1403" s="484"/>
      <c r="BL1403" s="484"/>
      <c r="BM1403" s="484"/>
    </row>
    <row r="1404" spans="1:65" s="22" customFormat="1" x14ac:dyDescent="0.25">
      <c r="A1404" s="20"/>
      <c r="B1404" s="515"/>
      <c r="C1404" s="11"/>
      <c r="D1404" s="11"/>
      <c r="E1404" s="11"/>
      <c r="F1404" s="21"/>
      <c r="G1404" s="11"/>
      <c r="H1404" s="50"/>
      <c r="I1404" s="50"/>
      <c r="J1404" s="50"/>
      <c r="K1404" s="11"/>
      <c r="L1404" s="50"/>
      <c r="M1404" s="50"/>
      <c r="N1404" s="50"/>
      <c r="O1404" s="50"/>
      <c r="P1404" s="50"/>
      <c r="Q1404" s="11"/>
      <c r="R1404" s="50"/>
      <c r="S1404" s="50"/>
      <c r="T1404" s="50"/>
      <c r="U1404" s="11"/>
      <c r="V1404" s="50"/>
      <c r="W1404" s="50"/>
      <c r="X1404" s="50"/>
      <c r="Y1404" s="50"/>
      <c r="Z1404" s="50"/>
      <c r="AA1404" s="11"/>
      <c r="AB1404" s="50"/>
      <c r="AC1404" s="50"/>
      <c r="AD1404" s="50"/>
      <c r="AE1404" s="11"/>
      <c r="AF1404" s="50"/>
      <c r="AG1404" s="50"/>
      <c r="AH1404" s="50"/>
      <c r="AI1404" s="11"/>
      <c r="AJ1404" s="50"/>
      <c r="AK1404" s="50"/>
      <c r="AL1404" s="50"/>
      <c r="AM1404" s="11"/>
      <c r="AN1404" s="50"/>
      <c r="AO1404" s="50"/>
      <c r="AP1404" s="50"/>
      <c r="AQ1404" s="11"/>
      <c r="AR1404" s="50"/>
      <c r="AS1404" s="50"/>
      <c r="AT1404" s="50"/>
      <c r="AU1404" s="11"/>
      <c r="AV1404" s="50"/>
      <c r="AW1404" s="50"/>
      <c r="AX1404" s="50"/>
      <c r="AY1404" s="50"/>
      <c r="AZ1404" s="50"/>
      <c r="BA1404" s="50"/>
      <c r="BB1404" s="50"/>
      <c r="BC1404" s="50"/>
      <c r="BD1404" s="50"/>
      <c r="BE1404" s="20"/>
      <c r="BF1404" s="518"/>
      <c r="BG1404" s="484"/>
      <c r="BH1404" s="484"/>
      <c r="BI1404" s="527"/>
      <c r="BJ1404" s="484"/>
      <c r="BK1404" s="484"/>
      <c r="BL1404" s="484"/>
      <c r="BM1404" s="484"/>
    </row>
    <row r="1405" spans="1:65" s="22" customFormat="1" x14ac:dyDescent="0.25">
      <c r="A1405" s="20"/>
      <c r="B1405" s="515"/>
      <c r="C1405" s="11"/>
      <c r="D1405" s="11"/>
      <c r="E1405" s="11"/>
      <c r="F1405" s="21"/>
      <c r="G1405" s="11"/>
      <c r="H1405" s="50"/>
      <c r="I1405" s="50"/>
      <c r="J1405" s="50"/>
      <c r="K1405" s="11"/>
      <c r="L1405" s="50"/>
      <c r="M1405" s="50"/>
      <c r="N1405" s="50"/>
      <c r="O1405" s="50"/>
      <c r="P1405" s="50"/>
      <c r="Q1405" s="11"/>
      <c r="R1405" s="50"/>
      <c r="S1405" s="50"/>
      <c r="T1405" s="50"/>
      <c r="U1405" s="11"/>
      <c r="V1405" s="50"/>
      <c r="W1405" s="50"/>
      <c r="X1405" s="50"/>
      <c r="Y1405" s="50"/>
      <c r="Z1405" s="50"/>
      <c r="AA1405" s="11"/>
      <c r="AB1405" s="50"/>
      <c r="AC1405" s="50"/>
      <c r="AD1405" s="50"/>
      <c r="AE1405" s="11"/>
      <c r="AF1405" s="50"/>
      <c r="AG1405" s="50"/>
      <c r="AH1405" s="50"/>
      <c r="AI1405" s="11"/>
      <c r="AJ1405" s="50"/>
      <c r="AK1405" s="50"/>
      <c r="AL1405" s="50"/>
      <c r="AM1405" s="11"/>
      <c r="AN1405" s="50"/>
      <c r="AO1405" s="50"/>
      <c r="AP1405" s="50"/>
      <c r="AQ1405" s="11"/>
      <c r="AR1405" s="50"/>
      <c r="AS1405" s="50"/>
      <c r="AT1405" s="50"/>
      <c r="AU1405" s="11"/>
      <c r="AV1405" s="50"/>
      <c r="AW1405" s="50"/>
      <c r="AX1405" s="50"/>
      <c r="AY1405" s="50"/>
      <c r="AZ1405" s="50"/>
      <c r="BA1405" s="50"/>
      <c r="BB1405" s="50"/>
      <c r="BC1405" s="50"/>
      <c r="BD1405" s="50"/>
      <c r="BE1405" s="20"/>
      <c r="BF1405" s="518"/>
      <c r="BG1405" s="484"/>
      <c r="BH1405" s="484"/>
      <c r="BI1405" s="527"/>
      <c r="BJ1405" s="484"/>
      <c r="BK1405" s="484"/>
      <c r="BL1405" s="484"/>
      <c r="BM1405" s="484"/>
    </row>
    <row r="1406" spans="1:65" s="22" customFormat="1" x14ac:dyDescent="0.25">
      <c r="A1406" s="20"/>
      <c r="B1406" s="515"/>
      <c r="C1406" s="11"/>
      <c r="D1406" s="11"/>
      <c r="E1406" s="11"/>
      <c r="F1406" s="21"/>
      <c r="G1406" s="11"/>
      <c r="H1406" s="50"/>
      <c r="I1406" s="50"/>
      <c r="J1406" s="50"/>
      <c r="K1406" s="11"/>
      <c r="L1406" s="50"/>
      <c r="M1406" s="50"/>
      <c r="N1406" s="50"/>
      <c r="O1406" s="50"/>
      <c r="P1406" s="50"/>
      <c r="Q1406" s="11"/>
      <c r="R1406" s="50"/>
      <c r="S1406" s="50"/>
      <c r="T1406" s="50"/>
      <c r="U1406" s="11"/>
      <c r="V1406" s="50"/>
      <c r="W1406" s="50"/>
      <c r="X1406" s="50"/>
      <c r="Y1406" s="50"/>
      <c r="Z1406" s="50"/>
      <c r="AA1406" s="11"/>
      <c r="AB1406" s="50"/>
      <c r="AC1406" s="50"/>
      <c r="AD1406" s="50"/>
      <c r="AE1406" s="11"/>
      <c r="AF1406" s="50"/>
      <c r="AG1406" s="50"/>
      <c r="AH1406" s="50"/>
      <c r="AI1406" s="11"/>
      <c r="AJ1406" s="50"/>
      <c r="AK1406" s="50"/>
      <c r="AL1406" s="50"/>
      <c r="AM1406" s="11"/>
      <c r="AN1406" s="50"/>
      <c r="AO1406" s="50"/>
      <c r="AP1406" s="50"/>
      <c r="AQ1406" s="11"/>
      <c r="AR1406" s="50"/>
      <c r="AS1406" s="50"/>
      <c r="AT1406" s="50"/>
      <c r="AU1406" s="11"/>
      <c r="AV1406" s="50"/>
      <c r="AW1406" s="50"/>
      <c r="AX1406" s="50"/>
      <c r="AY1406" s="50"/>
      <c r="AZ1406" s="50"/>
      <c r="BA1406" s="50"/>
      <c r="BB1406" s="50"/>
      <c r="BC1406" s="50"/>
      <c r="BD1406" s="50"/>
      <c r="BE1406" s="20"/>
      <c r="BF1406" s="518"/>
      <c r="BG1406" s="484"/>
      <c r="BH1406" s="484"/>
      <c r="BI1406" s="527"/>
      <c r="BJ1406" s="484"/>
      <c r="BK1406" s="484"/>
      <c r="BL1406" s="484"/>
      <c r="BM1406" s="484"/>
    </row>
    <row r="1407" spans="1:65" s="22" customFormat="1" x14ac:dyDescent="0.25">
      <c r="A1407" s="20"/>
      <c r="B1407" s="515"/>
      <c r="C1407" s="11"/>
      <c r="D1407" s="11"/>
      <c r="E1407" s="11"/>
      <c r="F1407" s="21"/>
      <c r="G1407" s="11"/>
      <c r="H1407" s="50"/>
      <c r="I1407" s="50"/>
      <c r="J1407" s="50"/>
      <c r="K1407" s="11"/>
      <c r="L1407" s="50"/>
      <c r="M1407" s="50"/>
      <c r="N1407" s="50"/>
      <c r="O1407" s="50"/>
      <c r="P1407" s="50"/>
      <c r="Q1407" s="11"/>
      <c r="R1407" s="50"/>
      <c r="S1407" s="50"/>
      <c r="T1407" s="50"/>
      <c r="U1407" s="11"/>
      <c r="V1407" s="50"/>
      <c r="W1407" s="50"/>
      <c r="X1407" s="50"/>
      <c r="Y1407" s="50"/>
      <c r="Z1407" s="50"/>
      <c r="AA1407" s="11"/>
      <c r="AB1407" s="50"/>
      <c r="AC1407" s="50"/>
      <c r="AD1407" s="50"/>
      <c r="AE1407" s="11"/>
      <c r="AF1407" s="50"/>
      <c r="AG1407" s="50"/>
      <c r="AH1407" s="50"/>
      <c r="AI1407" s="11"/>
      <c r="AJ1407" s="50"/>
      <c r="AK1407" s="50"/>
      <c r="AL1407" s="50"/>
      <c r="AM1407" s="11"/>
      <c r="AN1407" s="50"/>
      <c r="AO1407" s="50"/>
      <c r="AP1407" s="50"/>
      <c r="AQ1407" s="11"/>
      <c r="AR1407" s="50"/>
      <c r="AS1407" s="50"/>
      <c r="AT1407" s="50"/>
      <c r="AU1407" s="11"/>
      <c r="AV1407" s="50"/>
      <c r="AW1407" s="50"/>
      <c r="AX1407" s="50"/>
      <c r="AY1407" s="50"/>
      <c r="AZ1407" s="50"/>
      <c r="BA1407" s="50"/>
      <c r="BB1407" s="50"/>
      <c r="BC1407" s="50"/>
      <c r="BD1407" s="50"/>
      <c r="BE1407" s="20"/>
      <c r="BF1407" s="518"/>
      <c r="BG1407" s="484"/>
      <c r="BH1407" s="484"/>
      <c r="BI1407" s="527"/>
      <c r="BJ1407" s="484"/>
      <c r="BK1407" s="484"/>
      <c r="BL1407" s="484"/>
      <c r="BM1407" s="484"/>
    </row>
    <row r="1408" spans="1:65" s="22" customFormat="1" x14ac:dyDescent="0.25">
      <c r="A1408" s="20"/>
      <c r="B1408" s="515"/>
      <c r="C1408" s="11"/>
      <c r="D1408" s="11"/>
      <c r="E1408" s="11"/>
      <c r="F1408" s="21"/>
      <c r="G1408" s="11"/>
      <c r="H1408" s="50"/>
      <c r="I1408" s="50"/>
      <c r="J1408" s="50"/>
      <c r="K1408" s="11"/>
      <c r="L1408" s="50"/>
      <c r="M1408" s="50"/>
      <c r="N1408" s="50"/>
      <c r="O1408" s="50"/>
      <c r="P1408" s="50"/>
      <c r="Q1408" s="11"/>
      <c r="R1408" s="50"/>
      <c r="S1408" s="50"/>
      <c r="T1408" s="50"/>
      <c r="U1408" s="11"/>
      <c r="V1408" s="50"/>
      <c r="W1408" s="50"/>
      <c r="X1408" s="50"/>
      <c r="Y1408" s="50"/>
      <c r="Z1408" s="50"/>
      <c r="AA1408" s="11"/>
      <c r="AB1408" s="50"/>
      <c r="AC1408" s="50"/>
      <c r="AD1408" s="50"/>
      <c r="AE1408" s="11"/>
      <c r="AF1408" s="50"/>
      <c r="AG1408" s="50"/>
      <c r="AH1408" s="50"/>
      <c r="AI1408" s="11"/>
      <c r="AJ1408" s="50"/>
      <c r="AK1408" s="50"/>
      <c r="AL1408" s="50"/>
      <c r="AM1408" s="11"/>
      <c r="AN1408" s="50"/>
      <c r="AO1408" s="50"/>
      <c r="AP1408" s="50"/>
      <c r="AQ1408" s="11"/>
      <c r="AR1408" s="50"/>
      <c r="AS1408" s="50"/>
      <c r="AT1408" s="50"/>
      <c r="AU1408" s="11"/>
      <c r="AV1408" s="50"/>
      <c r="AW1408" s="50"/>
      <c r="AX1408" s="50"/>
      <c r="AY1408" s="50"/>
      <c r="AZ1408" s="50"/>
      <c r="BA1408" s="50"/>
      <c r="BB1408" s="50"/>
      <c r="BC1408" s="50"/>
      <c r="BD1408" s="50"/>
      <c r="BE1408" s="20"/>
      <c r="BF1408" s="518"/>
      <c r="BG1408" s="484"/>
      <c r="BH1408" s="484"/>
      <c r="BI1408" s="527"/>
      <c r="BJ1408" s="484"/>
      <c r="BK1408" s="484"/>
      <c r="BL1408" s="484"/>
      <c r="BM1408" s="484"/>
    </row>
    <row r="1409" spans="1:65" s="22" customFormat="1" x14ac:dyDescent="0.25">
      <c r="A1409" s="20"/>
      <c r="B1409" s="515"/>
      <c r="C1409" s="11"/>
      <c r="D1409" s="11"/>
      <c r="E1409" s="11"/>
      <c r="F1409" s="21"/>
      <c r="G1409" s="11"/>
      <c r="H1409" s="50"/>
      <c r="I1409" s="50"/>
      <c r="J1409" s="50"/>
      <c r="K1409" s="11"/>
      <c r="L1409" s="50"/>
      <c r="M1409" s="50"/>
      <c r="N1409" s="50"/>
      <c r="O1409" s="50"/>
      <c r="P1409" s="50"/>
      <c r="Q1409" s="11"/>
      <c r="R1409" s="50"/>
      <c r="S1409" s="50"/>
      <c r="T1409" s="50"/>
      <c r="U1409" s="11"/>
      <c r="V1409" s="50"/>
      <c r="W1409" s="50"/>
      <c r="X1409" s="50"/>
      <c r="Y1409" s="50"/>
      <c r="Z1409" s="50"/>
      <c r="AA1409" s="11"/>
      <c r="AB1409" s="50"/>
      <c r="AC1409" s="50"/>
      <c r="AD1409" s="50"/>
      <c r="AE1409" s="11"/>
      <c r="AF1409" s="50"/>
      <c r="AG1409" s="50"/>
      <c r="AH1409" s="50"/>
      <c r="AI1409" s="11"/>
      <c r="AJ1409" s="50"/>
      <c r="AK1409" s="50"/>
      <c r="AL1409" s="50"/>
      <c r="AM1409" s="11"/>
      <c r="AN1409" s="50"/>
      <c r="AO1409" s="50"/>
      <c r="AP1409" s="50"/>
      <c r="AQ1409" s="11"/>
      <c r="AR1409" s="50"/>
      <c r="AS1409" s="50"/>
      <c r="AT1409" s="50"/>
      <c r="AU1409" s="11"/>
      <c r="AV1409" s="50"/>
      <c r="AW1409" s="50"/>
      <c r="AX1409" s="50"/>
      <c r="AY1409" s="50"/>
      <c r="AZ1409" s="50"/>
      <c r="BA1409" s="50"/>
      <c r="BB1409" s="50"/>
      <c r="BC1409" s="50"/>
      <c r="BD1409" s="50"/>
      <c r="BE1409" s="20"/>
      <c r="BF1409" s="518"/>
      <c r="BG1409" s="484"/>
      <c r="BH1409" s="484"/>
      <c r="BI1409" s="527"/>
      <c r="BJ1409" s="484"/>
      <c r="BK1409" s="484"/>
      <c r="BL1409" s="484"/>
      <c r="BM1409" s="484"/>
    </row>
    <row r="1410" spans="1:65" s="22" customFormat="1" x14ac:dyDescent="0.25">
      <c r="A1410" s="20"/>
      <c r="B1410" s="515"/>
      <c r="C1410" s="11"/>
      <c r="D1410" s="11"/>
      <c r="E1410" s="11"/>
      <c r="F1410" s="21"/>
      <c r="G1410" s="11"/>
      <c r="H1410" s="50"/>
      <c r="I1410" s="50"/>
      <c r="J1410" s="50"/>
      <c r="K1410" s="11"/>
      <c r="L1410" s="50"/>
      <c r="M1410" s="50"/>
      <c r="N1410" s="50"/>
      <c r="O1410" s="50"/>
      <c r="P1410" s="50"/>
      <c r="Q1410" s="11"/>
      <c r="R1410" s="50"/>
      <c r="S1410" s="50"/>
      <c r="T1410" s="50"/>
      <c r="U1410" s="11"/>
      <c r="V1410" s="50"/>
      <c r="W1410" s="50"/>
      <c r="X1410" s="50"/>
      <c r="Y1410" s="50"/>
      <c r="Z1410" s="50"/>
      <c r="AA1410" s="11"/>
      <c r="AB1410" s="50"/>
      <c r="AC1410" s="50"/>
      <c r="AD1410" s="50"/>
      <c r="AE1410" s="11"/>
      <c r="AF1410" s="50"/>
      <c r="AG1410" s="50"/>
      <c r="AH1410" s="50"/>
      <c r="AI1410" s="11"/>
      <c r="AJ1410" s="50"/>
      <c r="AK1410" s="50"/>
      <c r="AL1410" s="50"/>
      <c r="AM1410" s="11"/>
      <c r="AN1410" s="50"/>
      <c r="AO1410" s="50"/>
      <c r="AP1410" s="50"/>
      <c r="AQ1410" s="11"/>
      <c r="AR1410" s="50"/>
      <c r="AS1410" s="50"/>
      <c r="AT1410" s="50"/>
      <c r="AU1410" s="11"/>
      <c r="AV1410" s="50"/>
      <c r="AW1410" s="50"/>
      <c r="AX1410" s="50"/>
      <c r="AY1410" s="50"/>
      <c r="AZ1410" s="50"/>
      <c r="BA1410" s="50"/>
      <c r="BB1410" s="50"/>
      <c r="BC1410" s="50"/>
      <c r="BD1410" s="50"/>
      <c r="BE1410" s="20"/>
      <c r="BF1410" s="518"/>
      <c r="BG1410" s="484"/>
      <c r="BH1410" s="484"/>
      <c r="BI1410" s="527"/>
      <c r="BJ1410" s="484"/>
      <c r="BK1410" s="484"/>
      <c r="BL1410" s="484"/>
      <c r="BM1410" s="484"/>
    </row>
    <row r="1411" spans="1:65" s="22" customFormat="1" x14ac:dyDescent="0.25">
      <c r="A1411" s="20"/>
      <c r="B1411" s="515"/>
      <c r="C1411" s="11"/>
      <c r="D1411" s="11"/>
      <c r="E1411" s="11"/>
      <c r="F1411" s="21"/>
      <c r="G1411" s="11"/>
      <c r="H1411" s="50"/>
      <c r="I1411" s="50"/>
      <c r="J1411" s="50"/>
      <c r="K1411" s="11"/>
      <c r="L1411" s="50"/>
      <c r="M1411" s="50"/>
      <c r="N1411" s="50"/>
      <c r="O1411" s="50"/>
      <c r="P1411" s="50"/>
      <c r="Q1411" s="11"/>
      <c r="R1411" s="50"/>
      <c r="S1411" s="50"/>
      <c r="T1411" s="50"/>
      <c r="U1411" s="11"/>
      <c r="V1411" s="50"/>
      <c r="W1411" s="50"/>
      <c r="X1411" s="50"/>
      <c r="Y1411" s="50"/>
      <c r="Z1411" s="50"/>
      <c r="AA1411" s="11"/>
      <c r="AB1411" s="50"/>
      <c r="AC1411" s="50"/>
      <c r="AD1411" s="50"/>
      <c r="AE1411" s="11"/>
      <c r="AF1411" s="50"/>
      <c r="AG1411" s="50"/>
      <c r="AH1411" s="50"/>
      <c r="AI1411" s="11"/>
      <c r="AJ1411" s="50"/>
      <c r="AK1411" s="50"/>
      <c r="AL1411" s="50"/>
      <c r="AM1411" s="11"/>
      <c r="AN1411" s="50"/>
      <c r="AO1411" s="50"/>
      <c r="AP1411" s="50"/>
      <c r="AQ1411" s="11"/>
      <c r="AR1411" s="50"/>
      <c r="AS1411" s="50"/>
      <c r="AT1411" s="50"/>
      <c r="AU1411" s="11"/>
      <c r="AV1411" s="50"/>
      <c r="AW1411" s="50"/>
      <c r="AX1411" s="50"/>
      <c r="AY1411" s="50"/>
      <c r="AZ1411" s="50"/>
      <c r="BA1411" s="50"/>
      <c r="BB1411" s="50"/>
      <c r="BC1411" s="50"/>
      <c r="BD1411" s="50"/>
      <c r="BE1411" s="20"/>
      <c r="BF1411" s="518"/>
      <c r="BG1411" s="484"/>
      <c r="BH1411" s="484"/>
      <c r="BI1411" s="527"/>
      <c r="BJ1411" s="484"/>
      <c r="BK1411" s="484"/>
      <c r="BL1411" s="484"/>
      <c r="BM1411" s="484"/>
    </row>
    <row r="1412" spans="1:65" s="22" customFormat="1" x14ac:dyDescent="0.25">
      <c r="A1412" s="20"/>
      <c r="B1412" s="515"/>
      <c r="C1412" s="11"/>
      <c r="D1412" s="11"/>
      <c r="E1412" s="11"/>
      <c r="F1412" s="21"/>
      <c r="G1412" s="11"/>
      <c r="H1412" s="50"/>
      <c r="I1412" s="50"/>
      <c r="J1412" s="50"/>
      <c r="K1412" s="11"/>
      <c r="L1412" s="50"/>
      <c r="M1412" s="50"/>
      <c r="N1412" s="50"/>
      <c r="O1412" s="50"/>
      <c r="P1412" s="50"/>
      <c r="Q1412" s="11"/>
      <c r="R1412" s="50"/>
      <c r="S1412" s="50"/>
      <c r="T1412" s="50"/>
      <c r="U1412" s="11"/>
      <c r="V1412" s="50"/>
      <c r="W1412" s="50"/>
      <c r="X1412" s="50"/>
      <c r="Y1412" s="50"/>
      <c r="Z1412" s="50"/>
      <c r="AA1412" s="11"/>
      <c r="AB1412" s="50"/>
      <c r="AC1412" s="50"/>
      <c r="AD1412" s="50"/>
      <c r="AE1412" s="11"/>
      <c r="AF1412" s="50"/>
      <c r="AG1412" s="50"/>
      <c r="AH1412" s="50"/>
      <c r="AI1412" s="11"/>
      <c r="AJ1412" s="50"/>
      <c r="AK1412" s="50"/>
      <c r="AL1412" s="50"/>
      <c r="AM1412" s="11"/>
      <c r="AN1412" s="50"/>
      <c r="AO1412" s="50"/>
      <c r="AP1412" s="50"/>
      <c r="AQ1412" s="11"/>
      <c r="AR1412" s="50"/>
      <c r="AS1412" s="50"/>
      <c r="AT1412" s="50"/>
      <c r="AU1412" s="11"/>
      <c r="AV1412" s="50"/>
      <c r="AW1412" s="50"/>
      <c r="AX1412" s="50"/>
      <c r="AY1412" s="50"/>
      <c r="AZ1412" s="50"/>
      <c r="BA1412" s="50"/>
      <c r="BB1412" s="50"/>
      <c r="BC1412" s="50"/>
      <c r="BD1412" s="50"/>
      <c r="BE1412" s="20"/>
      <c r="BF1412" s="518"/>
      <c r="BG1412" s="484"/>
      <c r="BH1412" s="484"/>
      <c r="BI1412" s="527"/>
      <c r="BJ1412" s="484"/>
      <c r="BK1412" s="484"/>
      <c r="BL1412" s="484"/>
      <c r="BM1412" s="484"/>
    </row>
    <row r="1413" spans="1:65" s="22" customFormat="1" x14ac:dyDescent="0.25">
      <c r="A1413" s="20"/>
      <c r="B1413" s="515"/>
      <c r="C1413" s="11"/>
      <c r="D1413" s="11"/>
      <c r="E1413" s="11"/>
      <c r="F1413" s="21"/>
      <c r="G1413" s="11"/>
      <c r="H1413" s="50"/>
      <c r="I1413" s="50"/>
      <c r="J1413" s="50"/>
      <c r="K1413" s="11"/>
      <c r="L1413" s="50"/>
      <c r="M1413" s="50"/>
      <c r="N1413" s="50"/>
      <c r="O1413" s="50"/>
      <c r="P1413" s="50"/>
      <c r="Q1413" s="11"/>
      <c r="R1413" s="50"/>
      <c r="S1413" s="50"/>
      <c r="T1413" s="50"/>
      <c r="U1413" s="11"/>
      <c r="V1413" s="50"/>
      <c r="W1413" s="50"/>
      <c r="X1413" s="50"/>
      <c r="Y1413" s="50"/>
      <c r="Z1413" s="50"/>
      <c r="AA1413" s="11"/>
      <c r="AB1413" s="50"/>
      <c r="AC1413" s="50"/>
      <c r="AD1413" s="50"/>
      <c r="AE1413" s="11"/>
      <c r="AF1413" s="50"/>
      <c r="AG1413" s="50"/>
      <c r="AH1413" s="50"/>
      <c r="AI1413" s="11"/>
      <c r="AJ1413" s="50"/>
      <c r="AK1413" s="50"/>
      <c r="AL1413" s="50"/>
      <c r="AM1413" s="11"/>
      <c r="AN1413" s="50"/>
      <c r="AO1413" s="50"/>
      <c r="AP1413" s="50"/>
      <c r="AQ1413" s="11"/>
      <c r="AR1413" s="50"/>
      <c r="AS1413" s="50"/>
      <c r="AT1413" s="50"/>
      <c r="AU1413" s="11"/>
      <c r="AV1413" s="50"/>
      <c r="AW1413" s="50"/>
      <c r="AX1413" s="50"/>
      <c r="AY1413" s="50"/>
      <c r="AZ1413" s="50"/>
      <c r="BA1413" s="50"/>
      <c r="BB1413" s="50"/>
      <c r="BC1413" s="50"/>
      <c r="BD1413" s="50"/>
      <c r="BE1413" s="20"/>
      <c r="BF1413" s="518"/>
      <c r="BG1413" s="484"/>
      <c r="BH1413" s="484"/>
      <c r="BI1413" s="527"/>
      <c r="BJ1413" s="484"/>
      <c r="BK1413" s="484"/>
      <c r="BL1413" s="484"/>
      <c r="BM1413" s="484"/>
    </row>
    <row r="1414" spans="1:65" s="22" customFormat="1" x14ac:dyDescent="0.25">
      <c r="A1414" s="20"/>
      <c r="B1414" s="515"/>
      <c r="C1414" s="11"/>
      <c r="D1414" s="11"/>
      <c r="E1414" s="11"/>
      <c r="F1414" s="21"/>
      <c r="G1414" s="11"/>
      <c r="H1414" s="50"/>
      <c r="I1414" s="50"/>
      <c r="J1414" s="50"/>
      <c r="K1414" s="11"/>
      <c r="L1414" s="50"/>
      <c r="M1414" s="50"/>
      <c r="N1414" s="50"/>
      <c r="O1414" s="50"/>
      <c r="P1414" s="50"/>
      <c r="Q1414" s="11"/>
      <c r="R1414" s="50"/>
      <c r="S1414" s="50"/>
      <c r="T1414" s="50"/>
      <c r="U1414" s="11"/>
      <c r="V1414" s="50"/>
      <c r="W1414" s="50"/>
      <c r="X1414" s="50"/>
      <c r="Y1414" s="50"/>
      <c r="Z1414" s="50"/>
      <c r="AA1414" s="11"/>
      <c r="AB1414" s="50"/>
      <c r="AC1414" s="50"/>
      <c r="AD1414" s="50"/>
      <c r="AE1414" s="11"/>
      <c r="AF1414" s="50"/>
      <c r="AG1414" s="50"/>
      <c r="AH1414" s="50"/>
      <c r="AI1414" s="11"/>
      <c r="AJ1414" s="50"/>
      <c r="AK1414" s="50"/>
      <c r="AL1414" s="50"/>
      <c r="AM1414" s="11"/>
      <c r="AN1414" s="50"/>
      <c r="AO1414" s="50"/>
      <c r="AP1414" s="50"/>
      <c r="AQ1414" s="11"/>
      <c r="AR1414" s="50"/>
      <c r="AS1414" s="50"/>
      <c r="AT1414" s="50"/>
      <c r="AU1414" s="11"/>
      <c r="AV1414" s="50"/>
      <c r="AW1414" s="50"/>
      <c r="AX1414" s="50"/>
      <c r="AY1414" s="50"/>
      <c r="AZ1414" s="50"/>
      <c r="BA1414" s="50"/>
      <c r="BB1414" s="50"/>
      <c r="BC1414" s="50"/>
      <c r="BD1414" s="50"/>
      <c r="BE1414" s="20"/>
      <c r="BF1414" s="518"/>
      <c r="BG1414" s="484"/>
      <c r="BH1414" s="484"/>
      <c r="BI1414" s="527"/>
      <c r="BJ1414" s="484"/>
      <c r="BK1414" s="484"/>
      <c r="BL1414" s="484"/>
      <c r="BM1414" s="484"/>
    </row>
    <row r="1415" spans="1:65" s="22" customFormat="1" x14ac:dyDescent="0.25">
      <c r="A1415" s="20"/>
      <c r="B1415" s="515"/>
      <c r="C1415" s="11"/>
      <c r="D1415" s="11"/>
      <c r="E1415" s="11"/>
      <c r="F1415" s="21"/>
      <c r="G1415" s="11"/>
      <c r="H1415" s="50"/>
      <c r="I1415" s="50"/>
      <c r="J1415" s="50"/>
      <c r="K1415" s="11"/>
      <c r="L1415" s="50"/>
      <c r="M1415" s="50"/>
      <c r="N1415" s="50"/>
      <c r="O1415" s="50"/>
      <c r="P1415" s="50"/>
      <c r="Q1415" s="11"/>
      <c r="R1415" s="50"/>
      <c r="S1415" s="50"/>
      <c r="T1415" s="50"/>
      <c r="U1415" s="11"/>
      <c r="V1415" s="50"/>
      <c r="W1415" s="50"/>
      <c r="X1415" s="50"/>
      <c r="Y1415" s="50"/>
      <c r="Z1415" s="50"/>
      <c r="AA1415" s="11"/>
      <c r="AB1415" s="50"/>
      <c r="AC1415" s="50"/>
      <c r="AD1415" s="50"/>
      <c r="AE1415" s="11"/>
      <c r="AF1415" s="50"/>
      <c r="AG1415" s="50"/>
      <c r="AH1415" s="50"/>
      <c r="AI1415" s="11"/>
      <c r="AJ1415" s="50"/>
      <c r="AK1415" s="50"/>
      <c r="AL1415" s="50"/>
      <c r="AM1415" s="11"/>
      <c r="AN1415" s="50"/>
      <c r="AO1415" s="50"/>
      <c r="AP1415" s="50"/>
      <c r="AQ1415" s="11"/>
      <c r="AR1415" s="50"/>
      <c r="AS1415" s="50"/>
      <c r="AT1415" s="50"/>
      <c r="AU1415" s="11"/>
      <c r="AV1415" s="50"/>
      <c r="AW1415" s="50"/>
      <c r="AX1415" s="50"/>
      <c r="AY1415" s="50"/>
      <c r="AZ1415" s="50"/>
      <c r="BA1415" s="50"/>
      <c r="BB1415" s="50"/>
      <c r="BC1415" s="50"/>
      <c r="BD1415" s="50"/>
      <c r="BE1415" s="20"/>
      <c r="BF1415" s="518"/>
      <c r="BG1415" s="484"/>
      <c r="BH1415" s="484"/>
      <c r="BI1415" s="527"/>
      <c r="BJ1415" s="484"/>
      <c r="BK1415" s="484"/>
      <c r="BL1415" s="484"/>
      <c r="BM1415" s="484"/>
    </row>
  </sheetData>
  <mergeCells count="55">
    <mergeCell ref="AB8:AW8"/>
    <mergeCell ref="H36:M36"/>
    <mergeCell ref="N36:AA36"/>
    <mergeCell ref="AB36:AW36"/>
    <mergeCell ref="AX36:AZ36"/>
    <mergeCell ref="H5:M5"/>
    <mergeCell ref="BA5:BA7"/>
    <mergeCell ref="BB5:BB7"/>
    <mergeCell ref="H8:M8"/>
    <mergeCell ref="N5:AA5"/>
    <mergeCell ref="AB5:AW5"/>
    <mergeCell ref="AR6:AR7"/>
    <mergeCell ref="AX5:AX7"/>
    <mergeCell ref="X6:X7"/>
    <mergeCell ref="AB6:AB7"/>
    <mergeCell ref="AF6:AF7"/>
    <mergeCell ref="AJ6:AJ7"/>
    <mergeCell ref="AN6:AN7"/>
    <mergeCell ref="A8:G8"/>
    <mergeCell ref="A36:G36"/>
    <mergeCell ref="A35:B35"/>
    <mergeCell ref="AC6:AC7"/>
    <mergeCell ref="AD6:AD7"/>
    <mergeCell ref="AG6:AG7"/>
    <mergeCell ref="AH6:AH7"/>
    <mergeCell ref="AK6:AK7"/>
    <mergeCell ref="AL6:AL7"/>
    <mergeCell ref="AO6:AO7"/>
    <mergeCell ref="AP6:AP7"/>
    <mergeCell ref="BC5:BC7"/>
    <mergeCell ref="AY5:AY7"/>
    <mergeCell ref="BA36:BC36"/>
    <mergeCell ref="BE5:BE7"/>
    <mergeCell ref="A5:A7"/>
    <mergeCell ref="B5:B7"/>
    <mergeCell ref="C5:C6"/>
    <mergeCell ref="D5:D6"/>
    <mergeCell ref="E5:E6"/>
    <mergeCell ref="I6:I7"/>
    <mergeCell ref="V6:V7"/>
    <mergeCell ref="AZ5:AZ7"/>
    <mergeCell ref="AS6:AS7"/>
    <mergeCell ref="AT6:AT7"/>
    <mergeCell ref="AV6:AV7"/>
    <mergeCell ref="AW6:AW7"/>
    <mergeCell ref="W6:W7"/>
    <mergeCell ref="F5:F6"/>
    <mergeCell ref="G5:G6"/>
    <mergeCell ref="H6:H7"/>
    <mergeCell ref="BD5:BD7"/>
    <mergeCell ref="Y6:Y7"/>
    <mergeCell ref="J6:J7"/>
    <mergeCell ref="L6:L7"/>
    <mergeCell ref="M6:M7"/>
    <mergeCell ref="Z6:Z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428"/>
  <sheetViews>
    <sheetView topLeftCell="A202" zoomScaleNormal="100" workbookViewId="0">
      <selection activeCell="AZ30" sqref="AZ30"/>
    </sheetView>
  </sheetViews>
  <sheetFormatPr defaultRowHeight="15" x14ac:dyDescent="0.25"/>
  <cols>
    <col min="1" max="1" width="6.7109375" style="20" customWidth="1"/>
    <col min="2" max="2" width="36.5703125" style="16" customWidth="1"/>
    <col min="3" max="4" width="11.28515625" style="473" customWidth="1"/>
    <col min="5" max="5" width="11.28515625" style="1164" customWidth="1"/>
    <col min="6" max="7" width="11.28515625" style="473" customWidth="1"/>
    <col min="8" max="8" width="11.28515625" style="1164" customWidth="1"/>
    <col min="9" max="10" width="11.28515625" style="473" customWidth="1"/>
    <col min="11" max="11" width="11.28515625" style="1164" customWidth="1"/>
    <col min="12" max="13" width="11.28515625" style="473" customWidth="1"/>
    <col min="14" max="14" width="11.28515625" style="1164" customWidth="1"/>
    <col min="15" max="16" width="11.28515625" style="473" customWidth="1"/>
    <col min="17" max="17" width="11.28515625" style="1164" customWidth="1"/>
    <col min="18" max="19" width="11.28515625" style="473" customWidth="1"/>
    <col min="20" max="21" width="11.28515625" style="1164" customWidth="1"/>
    <col min="22" max="23" width="11.28515625" style="473" customWidth="1"/>
    <col min="24" max="24" width="11.28515625" style="1164" customWidth="1"/>
    <col min="25" max="26" width="11.28515625" style="473" customWidth="1"/>
    <col min="27" max="27" width="11.28515625" style="1164" customWidth="1"/>
    <col min="28" max="28" width="11.28515625" style="473" customWidth="1"/>
    <col min="29" max="29" width="11.28515625" style="1164" customWidth="1"/>
    <col min="30" max="30" width="11.28515625" style="473" customWidth="1"/>
    <col min="31" max="31" width="11.28515625" style="1164" customWidth="1"/>
    <col min="32" max="32" width="11.28515625" style="473" customWidth="1"/>
    <col min="33" max="33" width="11.28515625" style="1164" customWidth="1"/>
    <col min="34" max="35" width="11.28515625" style="473" customWidth="1"/>
    <col min="36" max="36" width="11.28515625" style="1164" customWidth="1"/>
    <col min="37" max="38" width="11.28515625" style="473" customWidth="1"/>
    <col min="39" max="39" width="11.28515625" style="1164" customWidth="1"/>
    <col min="40" max="41" width="11.28515625" style="473" customWidth="1"/>
    <col min="42" max="42" width="11.28515625" style="1164" customWidth="1"/>
    <col min="43" max="44" width="11.28515625" style="473" customWidth="1"/>
    <col min="45" max="45" width="11.28515625" style="1236" customWidth="1"/>
    <col min="46" max="47" width="12.28515625" style="473" customWidth="1"/>
    <col min="48" max="49" width="11.28515625" style="1164" customWidth="1"/>
    <col min="50" max="50" width="11.28515625" style="1236" customWidth="1"/>
    <col min="51" max="51" width="11.28515625" style="473" customWidth="1"/>
    <col min="52" max="52" width="11.28515625" style="1236" customWidth="1"/>
    <col min="53" max="54" width="11.28515625" style="473" customWidth="1"/>
    <col min="55" max="55" width="11.28515625" style="1164" customWidth="1"/>
    <col min="56" max="56" width="12.140625" style="20" customWidth="1"/>
    <col min="57" max="57" width="11.28515625" style="473" customWidth="1"/>
    <col min="58" max="58" width="12.7109375" style="610" bestFit="1" customWidth="1"/>
    <col min="59" max="59" width="16.5703125" style="610" customWidth="1"/>
    <col min="60" max="60" width="13.85546875" style="610" customWidth="1"/>
    <col min="61" max="61" width="9.140625" style="214"/>
    <col min="62" max="148" width="9.140625" style="39"/>
  </cols>
  <sheetData>
    <row r="1" spans="1:148" s="22" customFormat="1" x14ac:dyDescent="0.25">
      <c r="A1" s="25" t="s">
        <v>155</v>
      </c>
      <c r="B1" s="26"/>
      <c r="C1" s="26"/>
      <c r="D1" s="1905"/>
      <c r="E1" s="1905"/>
      <c r="F1" s="1905"/>
      <c r="G1" s="1905"/>
      <c r="H1" s="1905"/>
      <c r="I1" s="1905"/>
      <c r="J1" s="1905"/>
      <c r="K1" s="1164"/>
      <c r="L1" s="473"/>
      <c r="M1" s="473"/>
      <c r="N1" s="1164"/>
      <c r="O1" s="473"/>
      <c r="P1" s="473"/>
      <c r="Q1" s="1164"/>
      <c r="R1" s="473"/>
      <c r="S1" s="473"/>
      <c r="T1" s="1164"/>
      <c r="U1" s="1164"/>
      <c r="V1" s="32"/>
      <c r="W1" s="32"/>
      <c r="X1" s="1206"/>
      <c r="Y1" s="32"/>
      <c r="Z1" s="32"/>
      <c r="AA1" s="1206"/>
      <c r="AB1" s="32"/>
      <c r="AC1" s="1206"/>
      <c r="AD1" s="32"/>
      <c r="AE1" s="1206"/>
      <c r="AF1" s="32"/>
      <c r="AG1" s="1206"/>
      <c r="AH1" s="32"/>
      <c r="AI1" s="32"/>
      <c r="AJ1" s="1206"/>
      <c r="AK1" s="32"/>
      <c r="AL1" s="32"/>
      <c r="AM1" s="1206"/>
      <c r="AN1" s="32"/>
      <c r="AO1" s="32"/>
      <c r="AP1" s="1206"/>
      <c r="AQ1" s="32"/>
      <c r="AR1" s="32"/>
      <c r="AS1" s="1226"/>
      <c r="AT1" s="32"/>
      <c r="AU1" s="32"/>
      <c r="AV1" s="1206"/>
      <c r="AW1" s="1206"/>
      <c r="AX1" s="1226"/>
      <c r="AY1" s="32"/>
      <c r="AZ1" s="1226"/>
      <c r="BA1" s="32"/>
      <c r="BB1" s="32"/>
      <c r="BC1" s="1206"/>
      <c r="BD1" s="25"/>
      <c r="BE1" s="32"/>
      <c r="BF1" s="610"/>
      <c r="BG1" s="610"/>
      <c r="BH1" s="610"/>
      <c r="BI1" s="610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</row>
    <row r="2" spans="1:148" s="22" customFormat="1" x14ac:dyDescent="0.25">
      <c r="A2" s="26" t="s">
        <v>156</v>
      </c>
      <c r="B2" s="26"/>
      <c r="C2" s="26"/>
      <c r="D2" s="1905"/>
      <c r="E2" s="1905"/>
      <c r="F2" s="1905"/>
      <c r="G2" s="1905"/>
      <c r="H2" s="1905"/>
      <c r="I2" s="1905"/>
      <c r="J2" s="1905"/>
      <c r="K2" s="1178"/>
      <c r="L2" s="26"/>
      <c r="M2" s="26"/>
      <c r="N2" s="1164"/>
      <c r="O2" s="473"/>
      <c r="P2" s="473"/>
      <c r="Q2" s="1164"/>
      <c r="R2" s="473"/>
      <c r="S2" s="473"/>
      <c r="T2" s="1164"/>
      <c r="U2" s="1164"/>
      <c r="V2" s="32"/>
      <c r="W2" s="32"/>
      <c r="X2" s="1206"/>
      <c r="Y2" s="32"/>
      <c r="Z2" s="32"/>
      <c r="AA2" s="1206"/>
      <c r="AB2" s="32"/>
      <c r="AC2" s="1206"/>
      <c r="AD2" s="32"/>
      <c r="AE2" s="1206"/>
      <c r="AF2" s="32"/>
      <c r="AG2" s="1206"/>
      <c r="AH2" s="32"/>
      <c r="AI2" s="32"/>
      <c r="AJ2" s="1206"/>
      <c r="AK2" s="32"/>
      <c r="AL2" s="32"/>
      <c r="AM2" s="1206"/>
      <c r="AN2" s="32"/>
      <c r="AO2" s="32"/>
      <c r="AP2" s="1206"/>
      <c r="AQ2" s="32"/>
      <c r="AR2" s="32"/>
      <c r="AS2" s="1226"/>
      <c r="AT2" s="32"/>
      <c r="AU2" s="32"/>
      <c r="AV2" s="1206"/>
      <c r="AW2" s="1206"/>
      <c r="AX2" s="1226"/>
      <c r="AY2" s="32"/>
      <c r="AZ2" s="1226"/>
      <c r="BA2" s="32"/>
      <c r="BB2" s="32"/>
      <c r="BC2" s="1206"/>
      <c r="BD2" s="26"/>
      <c r="BE2" s="32"/>
      <c r="BF2" s="610"/>
      <c r="BG2" s="610"/>
      <c r="BH2" s="610"/>
      <c r="BI2" s="610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</row>
    <row r="3" spans="1:148" s="22" customFormat="1" x14ac:dyDescent="0.25">
      <c r="A3" s="26"/>
      <c r="B3" s="26"/>
      <c r="C3" s="473"/>
      <c r="D3" s="473"/>
      <c r="E3" s="1164"/>
      <c r="F3" s="473"/>
      <c r="G3" s="473"/>
      <c r="H3" s="1164"/>
      <c r="I3" s="473"/>
      <c r="J3" s="473"/>
      <c r="K3" s="1164"/>
      <c r="L3" s="473"/>
      <c r="M3" s="473"/>
      <c r="N3" s="1164"/>
      <c r="O3" s="473"/>
      <c r="P3" s="473"/>
      <c r="Q3" s="1164"/>
      <c r="R3" s="473"/>
      <c r="S3" s="473"/>
      <c r="T3" s="1164"/>
      <c r="U3" s="1164"/>
      <c r="V3" s="32"/>
      <c r="W3" s="32"/>
      <c r="X3" s="1206"/>
      <c r="Y3" s="32"/>
      <c r="Z3" s="32"/>
      <c r="AA3" s="1206"/>
      <c r="AB3" s="32"/>
      <c r="AC3" s="1206"/>
      <c r="AD3" s="32"/>
      <c r="AE3" s="1206"/>
      <c r="AF3" s="32"/>
      <c r="AG3" s="1206"/>
      <c r="AH3" s="32"/>
      <c r="AI3" s="32"/>
      <c r="AJ3" s="1206"/>
      <c r="AK3" s="32"/>
      <c r="AL3" s="32"/>
      <c r="AM3" s="1206"/>
      <c r="AN3" s="32"/>
      <c r="AO3" s="32"/>
      <c r="AP3" s="1206"/>
      <c r="AQ3" s="32"/>
      <c r="AR3" s="32"/>
      <c r="AS3" s="1226"/>
      <c r="AT3" s="32"/>
      <c r="AU3" s="32"/>
      <c r="AV3" s="1206"/>
      <c r="AW3" s="1206"/>
      <c r="AX3" s="1226"/>
      <c r="AY3" s="32"/>
      <c r="AZ3" s="1226"/>
      <c r="BA3" s="32"/>
      <c r="BB3" s="32"/>
      <c r="BC3" s="1206"/>
      <c r="BD3" s="26"/>
      <c r="BE3" s="32"/>
      <c r="BF3" s="610"/>
      <c r="BG3" s="610"/>
      <c r="BH3" s="610"/>
      <c r="BI3" s="610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</row>
    <row r="4" spans="1:148" s="22" customFormat="1" ht="15.75" thickBot="1" x14ac:dyDescent="0.3">
      <c r="A4" s="18"/>
      <c r="B4" s="27" t="s">
        <v>280</v>
      </c>
      <c r="C4" s="473"/>
      <c r="D4" s="473"/>
      <c r="E4" s="1164"/>
      <c r="F4" s="473"/>
      <c r="G4" s="473"/>
      <c r="H4" s="1164"/>
      <c r="I4" s="473"/>
      <c r="J4" s="473"/>
      <c r="K4" s="1164"/>
      <c r="L4" s="473"/>
      <c r="M4" s="473"/>
      <c r="N4" s="1164"/>
      <c r="O4" s="473"/>
      <c r="P4" s="473"/>
      <c r="Q4" s="1164"/>
      <c r="R4" s="473"/>
      <c r="S4" s="473"/>
      <c r="T4" s="1164"/>
      <c r="U4" s="1164"/>
      <c r="V4" s="32"/>
      <c r="W4" s="32"/>
      <c r="X4" s="1206"/>
      <c r="Y4" s="32"/>
      <c r="Z4" s="32"/>
      <c r="AA4" s="1206"/>
      <c r="AB4" s="32"/>
      <c r="AC4" s="1206"/>
      <c r="AD4" s="32"/>
      <c r="AE4" s="1206"/>
      <c r="AF4" s="32"/>
      <c r="AG4" s="1206"/>
      <c r="AH4" s="32"/>
      <c r="AI4" s="32"/>
      <c r="AJ4" s="1206"/>
      <c r="AK4" s="32"/>
      <c r="AL4" s="32"/>
      <c r="AM4" s="1206"/>
      <c r="AN4" s="32"/>
      <c r="AO4" s="32"/>
      <c r="AP4" s="1206"/>
      <c r="AQ4" s="32"/>
      <c r="AR4" s="32"/>
      <c r="AS4" s="1226"/>
      <c r="AT4" s="32"/>
      <c r="AU4" s="32"/>
      <c r="AV4" s="1206"/>
      <c r="AW4" s="1206"/>
      <c r="AX4" s="1226"/>
      <c r="AY4" s="32"/>
      <c r="AZ4" s="1226"/>
      <c r="BA4" s="32"/>
      <c r="BB4" s="32"/>
      <c r="BC4" s="1206"/>
      <c r="BD4" s="18"/>
      <c r="BE4" s="32"/>
      <c r="BF4" s="610"/>
      <c r="BG4" s="610"/>
      <c r="BH4" s="610"/>
      <c r="BI4" s="610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</row>
    <row r="5" spans="1:148" s="28" customFormat="1" ht="15" customHeight="1" thickBot="1" x14ac:dyDescent="0.3">
      <c r="A5" s="1913" t="s">
        <v>6</v>
      </c>
      <c r="B5" s="1915" t="s">
        <v>7</v>
      </c>
      <c r="C5" s="1923" t="s">
        <v>132</v>
      </c>
      <c r="D5" s="1924"/>
      <c r="E5" s="1924"/>
      <c r="F5" s="1924"/>
      <c r="G5" s="1924"/>
      <c r="H5" s="1924"/>
      <c r="I5" s="1924"/>
      <c r="J5" s="1924"/>
      <c r="K5" s="1924"/>
      <c r="L5" s="1920" t="s">
        <v>171</v>
      </c>
      <c r="M5" s="1921"/>
      <c r="N5" s="1921"/>
      <c r="O5" s="1921"/>
      <c r="P5" s="1921"/>
      <c r="Q5" s="1921"/>
      <c r="R5" s="1921"/>
      <c r="S5" s="1921"/>
      <c r="T5" s="1921"/>
      <c r="U5" s="1922"/>
      <c r="V5" s="1925" t="s">
        <v>133</v>
      </c>
      <c r="W5" s="1926"/>
      <c r="X5" s="1926"/>
      <c r="Y5" s="1926"/>
      <c r="Z5" s="1926"/>
      <c r="AA5" s="1926"/>
      <c r="AB5" s="1926"/>
      <c r="AC5" s="1926"/>
      <c r="AD5" s="1926"/>
      <c r="AE5" s="1926"/>
      <c r="AF5" s="1926"/>
      <c r="AG5" s="1926"/>
      <c r="AH5" s="1926"/>
      <c r="AI5" s="1926"/>
      <c r="AJ5" s="1926"/>
      <c r="AK5" s="1926"/>
      <c r="AL5" s="1926"/>
      <c r="AM5" s="1927"/>
      <c r="AN5" s="1928" t="s">
        <v>227</v>
      </c>
      <c r="AO5" s="1929"/>
      <c r="AP5" s="1929"/>
      <c r="AQ5" s="1929"/>
      <c r="AR5" s="1929"/>
      <c r="AS5" s="1930"/>
      <c r="AT5" s="1931" t="s">
        <v>245</v>
      </c>
      <c r="AU5" s="1932"/>
      <c r="AV5" s="1932"/>
      <c r="AW5" s="1932"/>
      <c r="AX5" s="1933"/>
      <c r="AY5" s="1934" t="s">
        <v>417</v>
      </c>
      <c r="AZ5" s="1935"/>
      <c r="BA5" s="1917" t="s">
        <v>371</v>
      </c>
      <c r="BB5" s="1917" t="s">
        <v>232</v>
      </c>
      <c r="BC5" s="1906" t="s">
        <v>233</v>
      </c>
      <c r="BD5" s="1909" t="s">
        <v>6</v>
      </c>
      <c r="BE5" s="130"/>
      <c r="BF5" s="1648"/>
      <c r="BG5" s="1648"/>
      <c r="BH5" s="1648"/>
      <c r="BI5" s="1653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</row>
    <row r="6" spans="1:148" s="31" customFormat="1" ht="54.75" thickBot="1" x14ac:dyDescent="0.3">
      <c r="A6" s="1914"/>
      <c r="B6" s="1916"/>
      <c r="C6" s="611" t="s">
        <v>345</v>
      </c>
      <c r="D6" s="612" t="s">
        <v>238</v>
      </c>
      <c r="E6" s="1163" t="s">
        <v>410</v>
      </c>
      <c r="F6" s="613" t="s">
        <v>346</v>
      </c>
      <c r="G6" s="613" t="s">
        <v>209</v>
      </c>
      <c r="H6" s="1175" t="s">
        <v>411</v>
      </c>
      <c r="I6" s="614" t="s">
        <v>347</v>
      </c>
      <c r="J6" s="613" t="s">
        <v>210</v>
      </c>
      <c r="K6" s="1179" t="s">
        <v>412</v>
      </c>
      <c r="L6" s="1075" t="s">
        <v>348</v>
      </c>
      <c r="M6" s="697" t="s">
        <v>208</v>
      </c>
      <c r="N6" s="1187" t="s">
        <v>413</v>
      </c>
      <c r="O6" s="698" t="s">
        <v>349</v>
      </c>
      <c r="P6" s="698" t="s">
        <v>211</v>
      </c>
      <c r="Q6" s="1187" t="s">
        <v>469</v>
      </c>
      <c r="R6" s="698" t="s">
        <v>350</v>
      </c>
      <c r="S6" s="698" t="s">
        <v>189</v>
      </c>
      <c r="T6" s="1187" t="s">
        <v>471</v>
      </c>
      <c r="U6" s="1196" t="s">
        <v>472</v>
      </c>
      <c r="V6" s="1019" t="s">
        <v>351</v>
      </c>
      <c r="W6" s="725" t="s">
        <v>190</v>
      </c>
      <c r="X6" s="1207" t="s">
        <v>473</v>
      </c>
      <c r="Y6" s="726" t="s">
        <v>352</v>
      </c>
      <c r="Z6" s="726" t="s">
        <v>197</v>
      </c>
      <c r="AA6" s="1207" t="s">
        <v>474</v>
      </c>
      <c r="AB6" s="726" t="s">
        <v>368</v>
      </c>
      <c r="AC6" s="1207" t="s">
        <v>475</v>
      </c>
      <c r="AD6" s="726" t="s">
        <v>191</v>
      </c>
      <c r="AE6" s="1207" t="s">
        <v>476</v>
      </c>
      <c r="AF6" s="726" t="s">
        <v>192</v>
      </c>
      <c r="AG6" s="1207" t="s">
        <v>477</v>
      </c>
      <c r="AH6" s="726" t="s">
        <v>353</v>
      </c>
      <c r="AI6" s="726" t="s">
        <v>205</v>
      </c>
      <c r="AJ6" s="1207" t="s">
        <v>478</v>
      </c>
      <c r="AK6" s="727" t="s">
        <v>354</v>
      </c>
      <c r="AL6" s="726" t="s">
        <v>195</v>
      </c>
      <c r="AM6" s="1215" t="s">
        <v>479</v>
      </c>
      <c r="AN6" s="981" t="s">
        <v>355</v>
      </c>
      <c r="AO6" s="775" t="s">
        <v>200</v>
      </c>
      <c r="AP6" s="1221" t="s">
        <v>480</v>
      </c>
      <c r="AQ6" s="776" t="s">
        <v>356</v>
      </c>
      <c r="AR6" s="933" t="s">
        <v>202</v>
      </c>
      <c r="AS6" s="1227" t="s">
        <v>481</v>
      </c>
      <c r="AT6" s="934" t="s">
        <v>357</v>
      </c>
      <c r="AU6" s="857" t="s">
        <v>252</v>
      </c>
      <c r="AV6" s="1237" t="s">
        <v>482</v>
      </c>
      <c r="AW6" s="1238" t="s">
        <v>483</v>
      </c>
      <c r="AX6" s="1239" t="s">
        <v>484</v>
      </c>
      <c r="AY6" s="903" t="s">
        <v>418</v>
      </c>
      <c r="AZ6" s="1235" t="s">
        <v>485</v>
      </c>
      <c r="BA6" s="1918"/>
      <c r="BB6" s="1918"/>
      <c r="BC6" s="1907"/>
      <c r="BD6" s="1910"/>
      <c r="BE6" s="130"/>
      <c r="BF6" s="1649"/>
      <c r="BG6" s="1649"/>
      <c r="BH6" s="1649"/>
      <c r="BI6" s="1654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</row>
    <row r="7" spans="1:148" s="159" customFormat="1" ht="15.75" thickBot="1" x14ac:dyDescent="0.3">
      <c r="A7" s="156" t="s">
        <v>172</v>
      </c>
      <c r="B7" s="157"/>
      <c r="C7" s="156"/>
      <c r="D7" s="157"/>
      <c r="E7" s="157"/>
      <c r="F7" s="157"/>
      <c r="G7" s="157"/>
      <c r="H7" s="157"/>
      <c r="I7" s="157"/>
      <c r="J7" s="157"/>
      <c r="K7" s="157"/>
      <c r="L7" s="904"/>
      <c r="M7" s="157"/>
      <c r="N7" s="157"/>
      <c r="O7" s="157"/>
      <c r="P7" s="157"/>
      <c r="Q7" s="157"/>
      <c r="R7" s="157"/>
      <c r="S7" s="157"/>
      <c r="T7" s="157"/>
      <c r="U7" s="1122"/>
      <c r="V7" s="904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122"/>
      <c r="AN7" s="904"/>
      <c r="AO7" s="157"/>
      <c r="AP7" s="157"/>
      <c r="AQ7" s="157"/>
      <c r="AR7" s="583"/>
      <c r="AS7" s="1123"/>
      <c r="AT7" s="904"/>
      <c r="AU7" s="157"/>
      <c r="AV7" s="157"/>
      <c r="AW7" s="157"/>
      <c r="AX7" s="1123"/>
      <c r="AY7" s="904"/>
      <c r="AZ7" s="584"/>
      <c r="BA7" s="1919"/>
      <c r="BB7" s="1919"/>
      <c r="BC7" s="1908"/>
      <c r="BD7" s="183" t="s">
        <v>172</v>
      </c>
      <c r="BE7" s="130"/>
      <c r="BF7" s="1649"/>
      <c r="BG7" s="1649"/>
      <c r="BH7" s="1649"/>
      <c r="BI7" s="1649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</row>
    <row r="8" spans="1:148" x14ac:dyDescent="0.25">
      <c r="A8" s="45">
        <v>636120</v>
      </c>
      <c r="B8" s="30" t="s">
        <v>9</v>
      </c>
      <c r="C8" s="615">
        <f>6698760.72/7.5345</f>
        <v>889078.33565598237</v>
      </c>
      <c r="D8" s="615">
        <v>1130067</v>
      </c>
      <c r="E8" s="654">
        <f>68733.37+1580.15+248.86+2588.93+70381.78+698.71+280+11943.32+75472.71+653.72-501.3+280+3008.39+74461.34+624.11+280+199.09+74095.07+392.63+280+1392.8+82583.42+263.43+280+344.02+13871.13+926.34+875.12+88210.9+265.5+280+499.09+75910.85+280+78103.81+211.66+154.53+280+94126.81+320.11+280+1327.23+37+1846.83+98447.38+314.26+280+4000+1228.82+101975.56+758.44+168.5+280+16229.85+26.55+4.03+10.08+1700</f>
        <v>1053794.9300000002</v>
      </c>
      <c r="F8" s="617">
        <f>815828.12/7.5345</f>
        <v>108278.99927002455</v>
      </c>
      <c r="G8" s="617">
        <v>1330</v>
      </c>
      <c r="H8" s="654">
        <f>27.13+27.13+27.14+27.13+27.68+27.68+10.79</f>
        <v>174.68</v>
      </c>
      <c r="I8" s="616">
        <f>1307289.95/7.5345</f>
        <v>173507.19357621606</v>
      </c>
      <c r="J8" s="616">
        <v>237700</v>
      </c>
      <c r="K8" s="1066">
        <f>2851.64+2884.88+2891.36+2906.83+40291.85+2973.46+2959.23+394.33+3265.09+30462.69+3122.64+3117.03+21476.49+1833.86+29062.43+1945.45+1927.15+692.48+14520.19</f>
        <v>169579.08000000002</v>
      </c>
      <c r="L8" s="1076"/>
      <c r="M8" s="378"/>
      <c r="N8" s="708"/>
      <c r="O8" s="699"/>
      <c r="P8" s="699"/>
      <c r="Q8" s="708"/>
      <c r="R8" s="699"/>
      <c r="S8" s="699"/>
      <c r="T8" s="708"/>
      <c r="U8" s="1094"/>
      <c r="V8" s="1020"/>
      <c r="W8" s="728"/>
      <c r="X8" s="750"/>
      <c r="Y8" s="729"/>
      <c r="Z8" s="729"/>
      <c r="AA8" s="750"/>
      <c r="AB8" s="729"/>
      <c r="AC8" s="750"/>
      <c r="AD8" s="729"/>
      <c r="AE8" s="750"/>
      <c r="AF8" s="729"/>
      <c r="AG8" s="750"/>
      <c r="AH8" s="729"/>
      <c r="AI8" s="729"/>
      <c r="AJ8" s="750"/>
      <c r="AK8" s="729"/>
      <c r="AL8" s="729"/>
      <c r="AM8" s="1036"/>
      <c r="AN8" s="982"/>
      <c r="AO8" s="777"/>
      <c r="AP8" s="814"/>
      <c r="AQ8" s="778"/>
      <c r="AR8" s="779"/>
      <c r="AS8" s="999"/>
      <c r="AT8" s="935"/>
      <c r="AU8" s="858"/>
      <c r="AV8" s="875"/>
      <c r="AW8" s="876"/>
      <c r="AX8" s="954"/>
      <c r="AY8" s="905"/>
      <c r="AZ8" s="600"/>
      <c r="BA8" s="137">
        <f>AQ8+AN8+AK8+AH8+AC8+Y8+V8+R8+O8+L8+I8+F8+C8+AT8</f>
        <v>1170864.5285022231</v>
      </c>
      <c r="BB8" s="143">
        <f>AR8+AO8+AL8+AI8+AF8+AB8+AD8+Z8+W8+S8+P8+M8+J8+G8+D8+AU8</f>
        <v>1369097</v>
      </c>
      <c r="BC8" s="1263">
        <f>E8+H8+K8+N8+Q8+T8+U8+X8+AA8+AC8+AE8+AG8+AJ8+AM8+AP8+AS8</f>
        <v>1223548.6900000002</v>
      </c>
      <c r="BD8" s="186">
        <v>636120</v>
      </c>
      <c r="BE8" s="34"/>
    </row>
    <row r="9" spans="1:148" x14ac:dyDescent="0.25">
      <c r="A9" s="45">
        <v>636130</v>
      </c>
      <c r="B9" s="30" t="s">
        <v>370</v>
      </c>
      <c r="C9" s="615"/>
      <c r="D9" s="615">
        <v>664</v>
      </c>
      <c r="E9" s="654"/>
      <c r="F9" s="617"/>
      <c r="G9" s="617"/>
      <c r="H9" s="654"/>
      <c r="I9" s="616"/>
      <c r="J9" s="616"/>
      <c r="K9" s="1066"/>
      <c r="L9" s="1076"/>
      <c r="M9" s="378"/>
      <c r="N9" s="708"/>
      <c r="O9" s="699"/>
      <c r="P9" s="699"/>
      <c r="Q9" s="708"/>
      <c r="R9" s="699"/>
      <c r="S9" s="699"/>
      <c r="T9" s="708"/>
      <c r="U9" s="1094"/>
      <c r="V9" s="1020"/>
      <c r="W9" s="728"/>
      <c r="X9" s="750"/>
      <c r="Y9" s="729"/>
      <c r="Z9" s="729"/>
      <c r="AA9" s="750"/>
      <c r="AB9" s="729"/>
      <c r="AC9" s="750"/>
      <c r="AD9" s="729"/>
      <c r="AE9" s="750"/>
      <c r="AF9" s="729"/>
      <c r="AG9" s="750"/>
      <c r="AH9" s="729"/>
      <c r="AI9" s="729"/>
      <c r="AJ9" s="750"/>
      <c r="AK9" s="729"/>
      <c r="AL9" s="729"/>
      <c r="AM9" s="1036"/>
      <c r="AN9" s="982"/>
      <c r="AO9" s="777"/>
      <c r="AP9" s="814"/>
      <c r="AQ9" s="778"/>
      <c r="AR9" s="779"/>
      <c r="AS9" s="999"/>
      <c r="AT9" s="935"/>
      <c r="AU9" s="858"/>
      <c r="AV9" s="875"/>
      <c r="AW9" s="876"/>
      <c r="AX9" s="954"/>
      <c r="AY9" s="905"/>
      <c r="AZ9" s="600"/>
      <c r="BA9" s="136">
        <f t="shared" ref="BA9:BA10" si="0">AQ9+AN9+AK9+AH9+AC9+Y9+V9+R9+O9+L9+I9+F9+C9+AT9</f>
        <v>0</v>
      </c>
      <c r="BB9" s="139">
        <f>AR9+AO9+AL9+AI9+AF9+AB9+AD9+Z9+W9+S9+P9+M9+J9+G9+D9+AU9</f>
        <v>664</v>
      </c>
      <c r="BC9" s="1264">
        <f>E9+H9+K9+N9+Q9+T9+U9+X9+AA9+AC9+AE9+AG9+AJ9+AM9+AP9+AS9</f>
        <v>0</v>
      </c>
      <c r="BD9" s="186">
        <v>636130</v>
      </c>
      <c r="BE9" s="34"/>
    </row>
    <row r="10" spans="1:148" ht="15.75" thickBot="1" x14ac:dyDescent="0.3">
      <c r="A10" s="46">
        <v>636220</v>
      </c>
      <c r="B10" s="29" t="s">
        <v>9</v>
      </c>
      <c r="C10" s="618">
        <f>12500/7.5345</f>
        <v>1659.0351051828256</v>
      </c>
      <c r="D10" s="618">
        <v>2827</v>
      </c>
      <c r="E10" s="657">
        <v>598</v>
      </c>
      <c r="F10" s="620"/>
      <c r="G10" s="620">
        <v>7545</v>
      </c>
      <c r="H10" s="657"/>
      <c r="I10" s="619"/>
      <c r="J10" s="619">
        <v>44580</v>
      </c>
      <c r="K10" s="1067"/>
      <c r="L10" s="1077"/>
      <c r="M10" s="379"/>
      <c r="N10" s="709"/>
      <c r="O10" s="700"/>
      <c r="P10" s="700"/>
      <c r="Q10" s="709"/>
      <c r="R10" s="700"/>
      <c r="S10" s="700"/>
      <c r="T10" s="709"/>
      <c r="U10" s="1096"/>
      <c r="V10" s="1021"/>
      <c r="W10" s="730"/>
      <c r="X10" s="752"/>
      <c r="Y10" s="731"/>
      <c r="Z10" s="731"/>
      <c r="AA10" s="752"/>
      <c r="AB10" s="731"/>
      <c r="AC10" s="752"/>
      <c r="AD10" s="731"/>
      <c r="AE10" s="752"/>
      <c r="AF10" s="731"/>
      <c r="AG10" s="752"/>
      <c r="AH10" s="731"/>
      <c r="AI10" s="731"/>
      <c r="AJ10" s="752"/>
      <c r="AK10" s="731"/>
      <c r="AL10" s="731"/>
      <c r="AM10" s="1038"/>
      <c r="AN10" s="983"/>
      <c r="AO10" s="780"/>
      <c r="AP10" s="818"/>
      <c r="AQ10" s="781"/>
      <c r="AR10" s="782"/>
      <c r="AS10" s="1001"/>
      <c r="AT10" s="936"/>
      <c r="AU10" s="859"/>
      <c r="AV10" s="877"/>
      <c r="AW10" s="878"/>
      <c r="AX10" s="956"/>
      <c r="AY10" s="906"/>
      <c r="AZ10" s="601"/>
      <c r="BA10" s="136">
        <f t="shared" si="0"/>
        <v>1659.0351051828256</v>
      </c>
      <c r="BB10" s="139">
        <f>AR10+AO10+AL10+AI10+AF10+AB10+AD10+Z10+W10+S10+P10+M10+J10+G10+D10+AU10</f>
        <v>54952</v>
      </c>
      <c r="BC10" s="1264">
        <f>E10+H10+K10+N10+Q10+T10+U10+X10+AA10+AC10+AE10+AG10+AJ10+AM10+AP10+AS10</f>
        <v>598</v>
      </c>
      <c r="BD10" s="187">
        <v>636220</v>
      </c>
      <c r="BE10" s="34"/>
    </row>
    <row r="11" spans="1:148" s="2" customFormat="1" ht="15.75" thickBot="1" x14ac:dyDescent="0.3">
      <c r="A11" s="76">
        <v>636</v>
      </c>
      <c r="B11" s="81" t="s">
        <v>8</v>
      </c>
      <c r="C11" s="621">
        <f t="shared" ref="C11" si="1">SUM(C8:C10)</f>
        <v>890737.37076116516</v>
      </c>
      <c r="D11" s="621">
        <f t="shared" ref="D11:AM11" si="2">SUM(D8:D10)</f>
        <v>1133558</v>
      </c>
      <c r="E11" s="622">
        <f>SUM(E8:E10)</f>
        <v>1054392.9300000002</v>
      </c>
      <c r="F11" s="623">
        <f t="shared" ref="F11:G11" si="3">SUM(F8:F10)</f>
        <v>108278.99927002455</v>
      </c>
      <c r="G11" s="623">
        <f t="shared" si="3"/>
        <v>8875</v>
      </c>
      <c r="H11" s="622">
        <f>SUM(H8:H10)</f>
        <v>174.68</v>
      </c>
      <c r="I11" s="622">
        <f>SUM(I8:I10)</f>
        <v>173507.19357621606</v>
      </c>
      <c r="J11" s="622">
        <f>SUM(J8:J10)</f>
        <v>282280</v>
      </c>
      <c r="K11" s="1060">
        <f>SUM(K8:K10)</f>
        <v>169579.08000000002</v>
      </c>
      <c r="L11" s="1078">
        <f t="shared" ref="L11:M11" si="4">SUM(L8:L10)</f>
        <v>0</v>
      </c>
      <c r="M11" s="381">
        <f t="shared" si="4"/>
        <v>0</v>
      </c>
      <c r="N11" s="382">
        <f t="shared" ref="N11" si="5">SUM(N8:N10)</f>
        <v>0</v>
      </c>
      <c r="O11" s="382">
        <f t="shared" ref="O11:P11" si="6">SUM(O8:O10)</f>
        <v>0</v>
      </c>
      <c r="P11" s="382">
        <f t="shared" si="6"/>
        <v>0</v>
      </c>
      <c r="Q11" s="382">
        <f t="shared" ref="Q11" si="7">SUM(Q8:Q10)</f>
        <v>0</v>
      </c>
      <c r="R11" s="382">
        <f t="shared" ref="R11" si="8">SUM(R8:R10)</f>
        <v>0</v>
      </c>
      <c r="S11" s="382">
        <f t="shared" si="2"/>
        <v>0</v>
      </c>
      <c r="T11" s="382">
        <f t="shared" si="2"/>
        <v>0</v>
      </c>
      <c r="U11" s="1079">
        <f t="shared" si="2"/>
        <v>0</v>
      </c>
      <c r="V11" s="1022">
        <f t="shared" ref="V11" si="9">SUM(V8:V10)</f>
        <v>0</v>
      </c>
      <c r="W11" s="732">
        <f t="shared" si="2"/>
        <v>0</v>
      </c>
      <c r="X11" s="733">
        <f t="shared" si="2"/>
        <v>0</v>
      </c>
      <c r="Y11" s="733">
        <f t="shared" ref="Y11" si="10">SUM(Y8:Y10)</f>
        <v>0</v>
      </c>
      <c r="Z11" s="733">
        <f t="shared" si="2"/>
        <v>0</v>
      </c>
      <c r="AA11" s="733">
        <f t="shared" si="2"/>
        <v>0</v>
      </c>
      <c r="AB11" s="733">
        <f t="shared" ref="AB11" si="11">SUM(AB8:AB10)</f>
        <v>0</v>
      </c>
      <c r="AC11" s="733">
        <f t="shared" ref="AC11" si="12">SUM(AC8:AC10)</f>
        <v>0</v>
      </c>
      <c r="AD11" s="733">
        <f t="shared" si="2"/>
        <v>0</v>
      </c>
      <c r="AE11" s="733">
        <f t="shared" si="2"/>
        <v>0</v>
      </c>
      <c r="AF11" s="733">
        <f t="shared" ref="AF11" si="13">SUM(AF8:AF10)</f>
        <v>0</v>
      </c>
      <c r="AG11" s="733">
        <f t="shared" ref="AG11" si="14">SUM(AG8:AG10)</f>
        <v>0</v>
      </c>
      <c r="AH11" s="733">
        <f t="shared" ref="AH11:AI11" si="15">SUM(AH8:AH10)</f>
        <v>0</v>
      </c>
      <c r="AI11" s="733">
        <f t="shared" si="15"/>
        <v>0</v>
      </c>
      <c r="AJ11" s="733">
        <f t="shared" ref="AJ11" si="16">SUM(AJ8:AJ10)</f>
        <v>0</v>
      </c>
      <c r="AK11" s="733">
        <f t="shared" ref="AK11" si="17">SUM(AK8:AK10)</f>
        <v>0</v>
      </c>
      <c r="AL11" s="733">
        <f t="shared" si="2"/>
        <v>0</v>
      </c>
      <c r="AM11" s="1023">
        <f t="shared" si="2"/>
        <v>0</v>
      </c>
      <c r="AN11" s="984">
        <f t="shared" ref="AN11:AO11" si="18">SUM(AN8:AN10)</f>
        <v>0</v>
      </c>
      <c r="AO11" s="783">
        <f t="shared" si="18"/>
        <v>0</v>
      </c>
      <c r="AP11" s="784">
        <f t="shared" ref="AP11" si="19">SUM(AP8:AP10)</f>
        <v>0</v>
      </c>
      <c r="AQ11" s="785"/>
      <c r="AR11" s="786"/>
      <c r="AS11" s="985"/>
      <c r="AT11" s="937">
        <f t="shared" ref="AT11:AU11" si="20">SUM(AT8:AT10)</f>
        <v>0</v>
      </c>
      <c r="AU11" s="860">
        <f t="shared" si="20"/>
        <v>0</v>
      </c>
      <c r="AV11" s="860">
        <f t="shared" ref="AV11:AW11" si="21">SUM(AV8:AV10)</f>
        <v>0</v>
      </c>
      <c r="AW11" s="861">
        <f t="shared" si="21"/>
        <v>0</v>
      </c>
      <c r="AX11" s="938"/>
      <c r="AY11" s="907">
        <f t="shared" ref="AY11" si="22">SUM(AY8:AY10)</f>
        <v>0</v>
      </c>
      <c r="AZ11" s="586"/>
      <c r="BA11" s="147">
        <f>SUM(BA8:BA10)</f>
        <v>1172523.5636074059</v>
      </c>
      <c r="BB11" s="135">
        <f>SUM(BB8:BB10)</f>
        <v>1424713</v>
      </c>
      <c r="BC11" s="1265">
        <f>SUM(BC8:BC10)</f>
        <v>1224146.6900000002</v>
      </c>
      <c r="BD11" s="188">
        <v>636</v>
      </c>
      <c r="BE11" s="131"/>
      <c r="BF11" s="1650"/>
      <c r="BG11" s="610"/>
      <c r="BH11" s="610"/>
      <c r="BI11" s="1655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</row>
    <row r="12" spans="1:148" s="2" customFormat="1" x14ac:dyDescent="0.25">
      <c r="A12" s="74">
        <v>638110</v>
      </c>
      <c r="B12" s="85" t="s">
        <v>174</v>
      </c>
      <c r="C12" s="625"/>
      <c r="D12" s="625"/>
      <c r="E12" s="626"/>
      <c r="F12" s="627"/>
      <c r="G12" s="627"/>
      <c r="H12" s="626"/>
      <c r="I12" s="626"/>
      <c r="J12" s="626"/>
      <c r="K12" s="1061"/>
      <c r="L12" s="1080">
        <f>10931554.75/7.5345</f>
        <v>1450866.6467582453</v>
      </c>
      <c r="M12" s="383">
        <v>171000</v>
      </c>
      <c r="N12" s="708">
        <f>495.11+495.07+495.08+16580.62+495.08+127656.7+504.99+504.99+196.78+23361.48+7735.43</f>
        <v>178521.33</v>
      </c>
      <c r="O12" s="701">
        <f>7407976.28/7.5345</f>
        <v>983207.4165505342</v>
      </c>
      <c r="P12" s="701">
        <v>1346968</v>
      </c>
      <c r="Q12" s="708">
        <f>16159.27+16347.64+16384.34+16472.04+228320.48+16849.65+16768.95+2234.54+18502.15+172621.89+17695+17663.2+121700.08+10391.86+164687.07+11024.19+10920.55+3924.02+82281.06</f>
        <v>960947.98</v>
      </c>
      <c r="R12" s="701">
        <f>(29324.74+130288.1)/7.5345</f>
        <v>21184.264383834361</v>
      </c>
      <c r="S12" s="701"/>
      <c r="T12" s="708"/>
      <c r="U12" s="1094">
        <f>32518.4+47002.4</f>
        <v>79520.800000000003</v>
      </c>
      <c r="V12" s="1024"/>
      <c r="W12" s="734"/>
      <c r="X12" s="735"/>
      <c r="Y12" s="735"/>
      <c r="Z12" s="735"/>
      <c r="AA12" s="735"/>
      <c r="AB12" s="735"/>
      <c r="AC12" s="735"/>
      <c r="AD12" s="735"/>
      <c r="AE12" s="735"/>
      <c r="AF12" s="735"/>
      <c r="AG12" s="735"/>
      <c r="AH12" s="735"/>
      <c r="AI12" s="735"/>
      <c r="AJ12" s="735"/>
      <c r="AK12" s="735"/>
      <c r="AL12" s="735"/>
      <c r="AM12" s="1025"/>
      <c r="AN12" s="986"/>
      <c r="AO12" s="787"/>
      <c r="AP12" s="788"/>
      <c r="AQ12" s="789"/>
      <c r="AR12" s="790"/>
      <c r="AS12" s="987"/>
      <c r="AT12" s="939"/>
      <c r="AU12" s="862"/>
      <c r="AV12" s="862"/>
      <c r="AW12" s="863"/>
      <c r="AX12" s="940"/>
      <c r="AY12" s="908"/>
      <c r="AZ12" s="589"/>
      <c r="BA12" s="136">
        <f>AQ12+AN12+AK12+AH12+AC12+Y12+V12+R12+O12+L12+I12+F12+C12+AT12</f>
        <v>2455258.3276926139</v>
      </c>
      <c r="BB12" s="139">
        <f>AR12+AO12+AL12+AI12+AF12+AB12+AD12+Z12+W12+S12+P12+M12+J12+G12+D12+AU12</f>
        <v>1517968</v>
      </c>
      <c r="BC12" s="1264">
        <f>E12+H12+K12+N12+Q12+T12+U12+X12+AA12+AC12+AE12+AG12+AJ12+AM12+AP12+AS12</f>
        <v>1218990.1100000001</v>
      </c>
      <c r="BD12" s="185">
        <v>638110</v>
      </c>
      <c r="BE12" s="34"/>
      <c r="BF12" s="1650"/>
      <c r="BG12" s="610"/>
      <c r="BH12" s="610"/>
      <c r="BI12" s="1655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</row>
    <row r="13" spans="1:148" s="6" customFormat="1" x14ac:dyDescent="0.25">
      <c r="A13" s="45">
        <v>638130</v>
      </c>
      <c r="B13" s="30" t="s">
        <v>175</v>
      </c>
      <c r="C13" s="615"/>
      <c r="D13" s="615"/>
      <c r="E13" s="654"/>
      <c r="F13" s="617"/>
      <c r="G13" s="617"/>
      <c r="H13" s="654"/>
      <c r="I13" s="616"/>
      <c r="J13" s="616"/>
      <c r="K13" s="1066"/>
      <c r="L13" s="1076"/>
      <c r="M13" s="378"/>
      <c r="N13" s="708"/>
      <c r="O13" s="699"/>
      <c r="P13" s="699"/>
      <c r="Q13" s="708"/>
      <c r="R13" s="699"/>
      <c r="S13" s="699">
        <f>4360+32520+47100</f>
        <v>83980</v>
      </c>
      <c r="T13" s="708"/>
      <c r="U13" s="1094"/>
      <c r="V13" s="1020"/>
      <c r="W13" s="728"/>
      <c r="X13" s="750"/>
      <c r="Y13" s="729"/>
      <c r="Z13" s="729"/>
      <c r="AA13" s="750"/>
      <c r="AB13" s="729"/>
      <c r="AC13" s="750"/>
      <c r="AD13" s="729"/>
      <c r="AE13" s="750"/>
      <c r="AF13" s="729"/>
      <c r="AG13" s="750"/>
      <c r="AH13" s="729"/>
      <c r="AI13" s="729"/>
      <c r="AJ13" s="750"/>
      <c r="AK13" s="729"/>
      <c r="AL13" s="729"/>
      <c r="AM13" s="1036"/>
      <c r="AN13" s="982"/>
      <c r="AO13" s="777"/>
      <c r="AP13" s="814"/>
      <c r="AQ13" s="778"/>
      <c r="AR13" s="779"/>
      <c r="AS13" s="999"/>
      <c r="AT13" s="935"/>
      <c r="AU13" s="858"/>
      <c r="AV13" s="875"/>
      <c r="AW13" s="876"/>
      <c r="AX13" s="954"/>
      <c r="AY13" s="905"/>
      <c r="AZ13" s="600"/>
      <c r="BA13" s="136">
        <f t="shared" ref="BA13:BA14" si="23">AQ13+AN13+AK13+AH13+AC13+Y13+V13+R13+O13+L13+I13+F13+C13+AT13</f>
        <v>0</v>
      </c>
      <c r="BB13" s="139">
        <f>AR13+AO13+AL13+AI13+AF13+AB13+AD13+Z13+W13+S13+P13+M13+J13+G13+D13+AU13</f>
        <v>83980</v>
      </c>
      <c r="BC13" s="1264">
        <f>E13+H13+K13+N13+Q13+T13+U13+X13+AA13+AC13+AE13+AG13+AJ13+AM13+AP13+AS13</f>
        <v>0</v>
      </c>
      <c r="BD13" s="186">
        <v>638130</v>
      </c>
      <c r="BE13" s="34"/>
      <c r="BF13" s="1651"/>
      <c r="BG13" s="610"/>
      <c r="BH13" s="610"/>
      <c r="BI13" s="1656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</row>
    <row r="14" spans="1:148" s="6" customFormat="1" ht="15.75" thickBot="1" x14ac:dyDescent="0.3">
      <c r="A14" s="46">
        <v>638210</v>
      </c>
      <c r="B14" s="29" t="s">
        <v>168</v>
      </c>
      <c r="C14" s="618"/>
      <c r="D14" s="618"/>
      <c r="E14" s="657"/>
      <c r="F14" s="620"/>
      <c r="G14" s="620"/>
      <c r="H14" s="657"/>
      <c r="I14" s="619"/>
      <c r="J14" s="619"/>
      <c r="K14" s="1067"/>
      <c r="L14" s="1077"/>
      <c r="M14" s="379">
        <v>0</v>
      </c>
      <c r="N14" s="709">
        <v>765639.93</v>
      </c>
      <c r="O14" s="700"/>
      <c r="P14" s="700">
        <v>252620</v>
      </c>
      <c r="Q14" s="709"/>
      <c r="R14" s="700"/>
      <c r="S14" s="700"/>
      <c r="T14" s="709"/>
      <c r="U14" s="1096"/>
      <c r="V14" s="1021"/>
      <c r="W14" s="730"/>
      <c r="X14" s="752"/>
      <c r="Y14" s="731"/>
      <c r="Z14" s="731"/>
      <c r="AA14" s="752"/>
      <c r="AB14" s="731"/>
      <c r="AC14" s="752"/>
      <c r="AD14" s="731"/>
      <c r="AE14" s="752"/>
      <c r="AF14" s="731"/>
      <c r="AG14" s="752"/>
      <c r="AH14" s="731"/>
      <c r="AI14" s="731"/>
      <c r="AJ14" s="752"/>
      <c r="AK14" s="731"/>
      <c r="AL14" s="731"/>
      <c r="AM14" s="1038"/>
      <c r="AN14" s="983"/>
      <c r="AO14" s="780"/>
      <c r="AP14" s="818"/>
      <c r="AQ14" s="781"/>
      <c r="AR14" s="782"/>
      <c r="AS14" s="1001"/>
      <c r="AT14" s="936"/>
      <c r="AU14" s="859"/>
      <c r="AV14" s="877"/>
      <c r="AW14" s="878"/>
      <c r="AX14" s="956"/>
      <c r="AY14" s="906"/>
      <c r="AZ14" s="601"/>
      <c r="BA14" s="136">
        <f t="shared" si="23"/>
        <v>0</v>
      </c>
      <c r="BB14" s="139">
        <f>AR14+AO14+AL14+AI14+AF14+AB14+AD14+Z14+W14+S14+P14+M14+J14+G14+D14+AU14</f>
        <v>252620</v>
      </c>
      <c r="BC14" s="1264">
        <f>E14+H14+K14+N14+Q14+T14+U14+X14+AA14+AC14+AE14+AG14+AJ14+AM14+AP14+AS14</f>
        <v>765639.93</v>
      </c>
      <c r="BD14" s="187">
        <v>638210</v>
      </c>
      <c r="BE14" s="34"/>
      <c r="BF14" s="1651"/>
      <c r="BG14" s="610"/>
      <c r="BH14" s="610"/>
      <c r="BI14" s="1656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</row>
    <row r="15" spans="1:148" s="2" customFormat="1" ht="15.75" thickBot="1" x14ac:dyDescent="0.3">
      <c r="A15" s="76">
        <v>638</v>
      </c>
      <c r="B15" s="81" t="s">
        <v>157</v>
      </c>
      <c r="C15" s="621">
        <f>SUM(C12:C14)</f>
        <v>0</v>
      </c>
      <c r="D15" s="621">
        <f>SUM(D12:D14)</f>
        <v>0</v>
      </c>
      <c r="E15" s="622">
        <f t="shared" ref="E15" si="24">SUM(E12:E14)</f>
        <v>0</v>
      </c>
      <c r="F15" s="623">
        <f>SUM(F12:F14)</f>
        <v>0</v>
      </c>
      <c r="G15" s="623">
        <f>SUM(G12:G14)</f>
        <v>0</v>
      </c>
      <c r="H15" s="623">
        <f t="shared" ref="H15" si="25">SUM(H12:H14)</f>
        <v>0</v>
      </c>
      <c r="I15" s="623">
        <f>SUM(I12:I14)</f>
        <v>0</v>
      </c>
      <c r="J15" s="623">
        <f>SUM(J12:J14)</f>
        <v>0</v>
      </c>
      <c r="K15" s="1062">
        <f t="shared" ref="K15" si="26">SUM(K12:K14)</f>
        <v>0</v>
      </c>
      <c r="L15" s="1078">
        <f>SUM(L12:L14)</f>
        <v>1450866.6467582453</v>
      </c>
      <c r="M15" s="381">
        <f t="shared" ref="M15" si="27">SUM(M12:M14)</f>
        <v>171000</v>
      </c>
      <c r="N15" s="382">
        <f>SUM(N12:N14)</f>
        <v>944161.26</v>
      </c>
      <c r="O15" s="382">
        <f>SUM(O12:O14)</f>
        <v>983207.4165505342</v>
      </c>
      <c r="P15" s="382">
        <f t="shared" ref="P15" si="28">SUM(P12:P14)</f>
        <v>1599588</v>
      </c>
      <c r="Q15" s="702">
        <f t="shared" ref="Q15:W15" si="29">SUM(Q12:Q14)</f>
        <v>960947.98</v>
      </c>
      <c r="R15" s="380">
        <f>SUM(R12:R14)</f>
        <v>21184.264383834361</v>
      </c>
      <c r="S15" s="380">
        <f t="shared" si="29"/>
        <v>83980</v>
      </c>
      <c r="T15" s="380">
        <f t="shared" si="29"/>
        <v>0</v>
      </c>
      <c r="U15" s="1081">
        <f t="shared" si="29"/>
        <v>79520.800000000003</v>
      </c>
      <c r="V15" s="1022">
        <f t="shared" si="29"/>
        <v>0</v>
      </c>
      <c r="W15" s="732">
        <f t="shared" si="29"/>
        <v>0</v>
      </c>
      <c r="X15" s="733">
        <f t="shared" ref="X15:AP15" si="30">SUM(X12:X14)</f>
        <v>0</v>
      </c>
      <c r="Y15" s="733">
        <f t="shared" ref="Y15" si="31">SUM(Y12:Y14)</f>
        <v>0</v>
      </c>
      <c r="Z15" s="733">
        <f t="shared" si="30"/>
        <v>0</v>
      </c>
      <c r="AA15" s="733">
        <f t="shared" si="30"/>
        <v>0</v>
      </c>
      <c r="AB15" s="733">
        <f t="shared" si="30"/>
        <v>0</v>
      </c>
      <c r="AC15" s="733">
        <f t="shared" si="30"/>
        <v>0</v>
      </c>
      <c r="AD15" s="733">
        <f t="shared" si="30"/>
        <v>0</v>
      </c>
      <c r="AE15" s="733">
        <f t="shared" si="30"/>
        <v>0</v>
      </c>
      <c r="AF15" s="733">
        <f t="shared" si="30"/>
        <v>0</v>
      </c>
      <c r="AG15" s="733">
        <f t="shared" si="30"/>
        <v>0</v>
      </c>
      <c r="AH15" s="733">
        <f t="shared" ref="AH15" si="32">SUM(AH12:AH14)</f>
        <v>0</v>
      </c>
      <c r="AI15" s="733">
        <f t="shared" si="30"/>
        <v>0</v>
      </c>
      <c r="AJ15" s="733">
        <f t="shared" si="30"/>
        <v>0</v>
      </c>
      <c r="AK15" s="733">
        <f t="shared" ref="AK15" si="33">SUM(AK12:AK14)</f>
        <v>0</v>
      </c>
      <c r="AL15" s="733">
        <f t="shared" si="30"/>
        <v>0</v>
      </c>
      <c r="AM15" s="1023">
        <f t="shared" si="30"/>
        <v>0</v>
      </c>
      <c r="AN15" s="984">
        <f t="shared" ref="AN15" si="34">SUM(AN12:AN14)</f>
        <v>0</v>
      </c>
      <c r="AO15" s="783">
        <f t="shared" si="30"/>
        <v>0</v>
      </c>
      <c r="AP15" s="784">
        <f t="shared" si="30"/>
        <v>0</v>
      </c>
      <c r="AQ15" s="785"/>
      <c r="AR15" s="786"/>
      <c r="AS15" s="985"/>
      <c r="AT15" s="937">
        <f t="shared" ref="AT15:AU15" si="35">SUM(AT12:AT14)</f>
        <v>0</v>
      </c>
      <c r="AU15" s="860">
        <f t="shared" si="35"/>
        <v>0</v>
      </c>
      <c r="AV15" s="860">
        <f t="shared" ref="AV15:AW15" si="36">SUM(AV12:AV14)</f>
        <v>0</v>
      </c>
      <c r="AW15" s="861">
        <f t="shared" si="36"/>
        <v>0</v>
      </c>
      <c r="AX15" s="938"/>
      <c r="AY15" s="907">
        <f t="shared" ref="AY15" si="37">SUM(AY12:AY14)</f>
        <v>0</v>
      </c>
      <c r="AZ15" s="586"/>
      <c r="BA15" s="481">
        <f>SUM(BA12:BA14)</f>
        <v>2455258.3276926139</v>
      </c>
      <c r="BB15" s="155">
        <f>SUM(BB12:BB14)</f>
        <v>1854568</v>
      </c>
      <c r="BC15" s="1265">
        <f>SUM(BC12:BC14)</f>
        <v>1984630.04</v>
      </c>
      <c r="BD15" s="188">
        <v>638</v>
      </c>
      <c r="BE15" s="131"/>
      <c r="BF15" s="1650"/>
      <c r="BG15" s="610"/>
      <c r="BH15" s="610"/>
      <c r="BI15" s="1655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</row>
    <row r="16" spans="1:148" ht="15.75" thickBot="1" x14ac:dyDescent="0.3">
      <c r="A16" s="78">
        <v>641320</v>
      </c>
      <c r="B16" s="79" t="s">
        <v>0</v>
      </c>
      <c r="C16" s="628"/>
      <c r="D16" s="628"/>
      <c r="E16" s="1165"/>
      <c r="F16" s="630"/>
      <c r="G16" s="630"/>
      <c r="H16" s="1165"/>
      <c r="I16" s="629"/>
      <c r="J16" s="629"/>
      <c r="K16" s="1180"/>
      <c r="L16" s="1082"/>
      <c r="M16" s="384"/>
      <c r="N16" s="1188"/>
      <c r="O16" s="703"/>
      <c r="P16" s="703"/>
      <c r="Q16" s="1188"/>
      <c r="R16" s="703"/>
      <c r="S16" s="703"/>
      <c r="T16" s="1188"/>
      <c r="U16" s="1197"/>
      <c r="V16" s="1026"/>
      <c r="W16" s="736"/>
      <c r="X16" s="1208"/>
      <c r="Y16" s="737"/>
      <c r="Z16" s="737"/>
      <c r="AA16" s="1208"/>
      <c r="AB16" s="737"/>
      <c r="AC16" s="1208"/>
      <c r="AD16" s="737"/>
      <c r="AE16" s="1208"/>
      <c r="AF16" s="737"/>
      <c r="AG16" s="1208"/>
      <c r="AH16" s="737"/>
      <c r="AI16" s="737"/>
      <c r="AJ16" s="1208"/>
      <c r="AK16" s="737"/>
      <c r="AL16" s="737"/>
      <c r="AM16" s="1216"/>
      <c r="AN16" s="988">
        <f>1179.9/7.5345</f>
        <v>156.59964164841728</v>
      </c>
      <c r="AO16" s="791">
        <v>133</v>
      </c>
      <c r="AP16" s="1222">
        <v>109.17</v>
      </c>
      <c r="AQ16" s="792"/>
      <c r="AR16" s="793"/>
      <c r="AS16" s="996"/>
      <c r="AT16" s="941"/>
      <c r="AU16" s="864"/>
      <c r="AV16" s="1240"/>
      <c r="AW16" s="1241"/>
      <c r="AX16" s="951"/>
      <c r="AY16" s="909"/>
      <c r="AZ16" s="595"/>
      <c r="BA16" s="136">
        <f>AQ16+AN16+AK16+AH16+AC16+Y16+V16+R16+O16+L16+I16+F16+C16+AT16</f>
        <v>156.59964164841728</v>
      </c>
      <c r="BB16" s="139">
        <f>AR16+AO16+AL16+AI16+AF16+AB16+AD16+Z16+W16+S16+P16+M16+J16+G16+D16+AU16</f>
        <v>133</v>
      </c>
      <c r="BC16" s="1264">
        <f>E16+H16+K16+N16+Q16+T16+U16+X16+AA16+AC16+AE16+AG16+AJ16+AM16+AP16+AS16</f>
        <v>109.17</v>
      </c>
      <c r="BD16" s="189">
        <v>641320</v>
      </c>
      <c r="BE16" s="34"/>
    </row>
    <row r="17" spans="1:148" s="2" customFormat="1" ht="15.75" thickBot="1" x14ac:dyDescent="0.3">
      <c r="A17" s="76">
        <v>641</v>
      </c>
      <c r="B17" s="81" t="s">
        <v>10</v>
      </c>
      <c r="C17" s="621">
        <f t="shared" ref="C17" si="38">C16</f>
        <v>0</v>
      </c>
      <c r="D17" s="621">
        <f t="shared" ref="D17:K17" si="39">D16</f>
        <v>0</v>
      </c>
      <c r="E17" s="622">
        <f t="shared" si="39"/>
        <v>0</v>
      </c>
      <c r="F17" s="623">
        <f t="shared" ref="F17" si="40">F16</f>
        <v>0</v>
      </c>
      <c r="G17" s="623">
        <f t="shared" si="39"/>
        <v>0</v>
      </c>
      <c r="H17" s="622">
        <f t="shared" si="39"/>
        <v>0</v>
      </c>
      <c r="I17" s="622">
        <f t="shared" ref="I17" si="41">I16</f>
        <v>0</v>
      </c>
      <c r="J17" s="622">
        <f t="shared" si="39"/>
        <v>0</v>
      </c>
      <c r="K17" s="1060">
        <f t="shared" si="39"/>
        <v>0</v>
      </c>
      <c r="L17" s="1078"/>
      <c r="M17" s="381"/>
      <c r="N17" s="382"/>
      <c r="O17" s="382">
        <f t="shared" ref="O17" si="42">O16</f>
        <v>0</v>
      </c>
      <c r="P17" s="382">
        <f t="shared" ref="P17:Q17" si="43">P16</f>
        <v>0</v>
      </c>
      <c r="Q17" s="382">
        <f t="shared" si="43"/>
        <v>0</v>
      </c>
      <c r="R17" s="382">
        <f>R16</f>
        <v>0</v>
      </c>
      <c r="S17" s="382">
        <f>S16</f>
        <v>0</v>
      </c>
      <c r="T17" s="382">
        <f>T16</f>
        <v>0</v>
      </c>
      <c r="U17" s="1079">
        <f>U16</f>
        <v>0</v>
      </c>
      <c r="V17" s="1022">
        <f t="shared" ref="V17:W17" si="44">V16</f>
        <v>0</v>
      </c>
      <c r="W17" s="732">
        <f t="shared" si="44"/>
        <v>0</v>
      </c>
      <c r="X17" s="733">
        <f t="shared" ref="X17:Y17" si="45">X16</f>
        <v>0</v>
      </c>
      <c r="Y17" s="733">
        <f t="shared" si="45"/>
        <v>0</v>
      </c>
      <c r="Z17" s="733">
        <f t="shared" ref="Z17:AA17" si="46">Z16</f>
        <v>0</v>
      </c>
      <c r="AA17" s="733">
        <f t="shared" si="46"/>
        <v>0</v>
      </c>
      <c r="AB17" s="733">
        <f t="shared" ref="AB17:AC17" si="47">AB16</f>
        <v>0</v>
      </c>
      <c r="AC17" s="733">
        <f t="shared" si="47"/>
        <v>0</v>
      </c>
      <c r="AD17" s="733">
        <f t="shared" ref="AD17:AL17" si="48">AD16</f>
        <v>0</v>
      </c>
      <c r="AE17" s="733">
        <f t="shared" ref="AE17:AF17" si="49">AE16</f>
        <v>0</v>
      </c>
      <c r="AF17" s="733">
        <f t="shared" si="49"/>
        <v>0</v>
      </c>
      <c r="AG17" s="733">
        <f t="shared" ref="AG17:AK17" si="50">AG16</f>
        <v>0</v>
      </c>
      <c r="AH17" s="733">
        <f t="shared" ref="AH17" si="51">AH16</f>
        <v>0</v>
      </c>
      <c r="AI17" s="733">
        <f t="shared" si="50"/>
        <v>0</v>
      </c>
      <c r="AJ17" s="733">
        <f t="shared" si="50"/>
        <v>0</v>
      </c>
      <c r="AK17" s="733">
        <f t="shared" si="50"/>
        <v>0</v>
      </c>
      <c r="AL17" s="733">
        <f t="shared" si="48"/>
        <v>0</v>
      </c>
      <c r="AM17" s="1023">
        <f t="shared" ref="AM17:AO17" si="52">AM16</f>
        <v>0</v>
      </c>
      <c r="AN17" s="984">
        <f t="shared" ref="AN17" si="53">AN16</f>
        <v>156.59964164841728</v>
      </c>
      <c r="AO17" s="783">
        <f t="shared" si="52"/>
        <v>133</v>
      </c>
      <c r="AP17" s="784">
        <f t="shared" ref="AP17" si="54">AP16</f>
        <v>109.17</v>
      </c>
      <c r="AQ17" s="785"/>
      <c r="AR17" s="786"/>
      <c r="AS17" s="985"/>
      <c r="AT17" s="937">
        <f t="shared" ref="AT17:AU17" si="55">AT16</f>
        <v>0</v>
      </c>
      <c r="AU17" s="860">
        <f t="shared" si="55"/>
        <v>0</v>
      </c>
      <c r="AV17" s="860">
        <f t="shared" ref="AV17:AW17" si="56">AV16</f>
        <v>0</v>
      </c>
      <c r="AW17" s="861">
        <f t="shared" si="56"/>
        <v>0</v>
      </c>
      <c r="AX17" s="938"/>
      <c r="AY17" s="907">
        <f t="shared" ref="AY17" si="57">AY16</f>
        <v>0</v>
      </c>
      <c r="AZ17" s="586"/>
      <c r="BA17" s="481">
        <f>SUM(BA16)</f>
        <v>156.59964164841728</v>
      </c>
      <c r="BB17" s="155">
        <f>SUM(BB16)</f>
        <v>133</v>
      </c>
      <c r="BC17" s="1265">
        <f>SUM(BC16)</f>
        <v>109.17</v>
      </c>
      <c r="BD17" s="188">
        <v>641</v>
      </c>
      <c r="BE17" s="131"/>
      <c r="BF17" s="1650"/>
      <c r="BG17" s="610"/>
      <c r="BH17" s="610"/>
      <c r="BI17" s="1655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</row>
    <row r="18" spans="1:148" ht="15.75" thickBot="1" x14ac:dyDescent="0.3">
      <c r="A18" s="78">
        <v>661510</v>
      </c>
      <c r="B18" s="79" t="s">
        <v>1</v>
      </c>
      <c r="C18" s="628"/>
      <c r="D18" s="628"/>
      <c r="E18" s="1165"/>
      <c r="F18" s="630"/>
      <c r="G18" s="630"/>
      <c r="H18" s="1165"/>
      <c r="I18" s="629"/>
      <c r="J18" s="629"/>
      <c r="K18" s="1180"/>
      <c r="L18" s="1082"/>
      <c r="M18" s="384"/>
      <c r="N18" s="1188"/>
      <c r="O18" s="703"/>
      <c r="P18" s="703"/>
      <c r="Q18" s="1188"/>
      <c r="R18" s="703"/>
      <c r="S18" s="703"/>
      <c r="T18" s="1188"/>
      <c r="U18" s="1197"/>
      <c r="V18" s="1026"/>
      <c r="W18" s="736"/>
      <c r="X18" s="1208"/>
      <c r="Y18" s="737"/>
      <c r="Z18" s="737"/>
      <c r="AA18" s="1208"/>
      <c r="AB18" s="737"/>
      <c r="AC18" s="1208"/>
      <c r="AD18" s="737"/>
      <c r="AE18" s="1208"/>
      <c r="AF18" s="737"/>
      <c r="AG18" s="1208"/>
      <c r="AH18" s="737"/>
      <c r="AI18" s="737"/>
      <c r="AJ18" s="1208"/>
      <c r="AK18" s="737"/>
      <c r="AL18" s="737"/>
      <c r="AM18" s="1216"/>
      <c r="AN18" s="988">
        <f>101690/7.5345</f>
        <v>13496.582387683322</v>
      </c>
      <c r="AO18" s="791">
        <v>17918</v>
      </c>
      <c r="AP18" s="1222">
        <v>13806.9</v>
      </c>
      <c r="AQ18" s="792"/>
      <c r="AR18" s="793"/>
      <c r="AS18" s="996"/>
      <c r="AT18" s="941"/>
      <c r="AU18" s="864"/>
      <c r="AV18" s="1240"/>
      <c r="AW18" s="1241"/>
      <c r="AX18" s="951"/>
      <c r="AY18" s="909"/>
      <c r="AZ18" s="595"/>
      <c r="BA18" s="136">
        <f>AQ18+AN18+AK18+AH18+AC18+Y18+V18+R18+O18+L18+I18+F18+C18+AT18</f>
        <v>13496.582387683322</v>
      </c>
      <c r="BB18" s="139">
        <f>AR18+AO18+AL18+AI18+AF18+AB18+AD18+Z18+W18+S18+P18+M18+J18+G18+D18+AU18</f>
        <v>17918</v>
      </c>
      <c r="BC18" s="1264">
        <f>E18+H18+K18+N18+Q18+T18+U18+X18+AA18+AC18+AE18+AG18+AJ18+AM18+AP18+AS18</f>
        <v>13806.9</v>
      </c>
      <c r="BD18" s="189">
        <v>661510</v>
      </c>
      <c r="BE18" s="34"/>
    </row>
    <row r="19" spans="1:148" s="2" customFormat="1" ht="15.75" thickBot="1" x14ac:dyDescent="0.3">
      <c r="A19" s="76">
        <v>661</v>
      </c>
      <c r="B19" s="81" t="s">
        <v>11</v>
      </c>
      <c r="C19" s="621">
        <f t="shared" ref="C19" si="58">C18</f>
        <v>0</v>
      </c>
      <c r="D19" s="621">
        <f t="shared" ref="D19:K19" si="59">D18</f>
        <v>0</v>
      </c>
      <c r="E19" s="622">
        <f t="shared" si="59"/>
        <v>0</v>
      </c>
      <c r="F19" s="623">
        <f t="shared" ref="F19" si="60">F18</f>
        <v>0</v>
      </c>
      <c r="G19" s="623">
        <f t="shared" si="59"/>
        <v>0</v>
      </c>
      <c r="H19" s="622">
        <f t="shared" si="59"/>
        <v>0</v>
      </c>
      <c r="I19" s="622">
        <f t="shared" ref="I19" si="61">I18</f>
        <v>0</v>
      </c>
      <c r="J19" s="622">
        <f t="shared" si="59"/>
        <v>0</v>
      </c>
      <c r="K19" s="1060">
        <f t="shared" si="59"/>
        <v>0</v>
      </c>
      <c r="L19" s="1078"/>
      <c r="M19" s="381"/>
      <c r="N19" s="382"/>
      <c r="O19" s="382">
        <f t="shared" ref="O19" si="62">O18</f>
        <v>0</v>
      </c>
      <c r="P19" s="382">
        <f t="shared" ref="P19:Q19" si="63">P18</f>
        <v>0</v>
      </c>
      <c r="Q19" s="382">
        <f t="shared" si="63"/>
        <v>0</v>
      </c>
      <c r="R19" s="382">
        <f>R18</f>
        <v>0</v>
      </c>
      <c r="S19" s="382">
        <f>S18</f>
        <v>0</v>
      </c>
      <c r="T19" s="382">
        <f>T18</f>
        <v>0</v>
      </c>
      <c r="U19" s="1079">
        <f>U18</f>
        <v>0</v>
      </c>
      <c r="V19" s="1022">
        <f t="shared" ref="V19:W19" si="64">V18</f>
        <v>0</v>
      </c>
      <c r="W19" s="732">
        <f t="shared" si="64"/>
        <v>0</v>
      </c>
      <c r="X19" s="733">
        <f t="shared" ref="X19:Y19" si="65">X18</f>
        <v>0</v>
      </c>
      <c r="Y19" s="733">
        <f t="shared" si="65"/>
        <v>0</v>
      </c>
      <c r="Z19" s="733">
        <f t="shared" ref="Z19:AA19" si="66">Z18</f>
        <v>0</v>
      </c>
      <c r="AA19" s="733">
        <f t="shared" si="66"/>
        <v>0</v>
      </c>
      <c r="AB19" s="733">
        <f t="shared" ref="AB19:AC19" si="67">AB18</f>
        <v>0</v>
      </c>
      <c r="AC19" s="733">
        <f t="shared" si="67"/>
        <v>0</v>
      </c>
      <c r="AD19" s="733">
        <f t="shared" ref="AD19:AL19" si="68">AD18</f>
        <v>0</v>
      </c>
      <c r="AE19" s="733">
        <f t="shared" ref="AE19:AF19" si="69">AE18</f>
        <v>0</v>
      </c>
      <c r="AF19" s="733">
        <f t="shared" si="69"/>
        <v>0</v>
      </c>
      <c r="AG19" s="733">
        <f t="shared" ref="AG19:AK19" si="70">AG18</f>
        <v>0</v>
      </c>
      <c r="AH19" s="733">
        <f t="shared" ref="AH19" si="71">AH18</f>
        <v>0</v>
      </c>
      <c r="AI19" s="733">
        <f t="shared" si="70"/>
        <v>0</v>
      </c>
      <c r="AJ19" s="733">
        <f t="shared" si="70"/>
        <v>0</v>
      </c>
      <c r="AK19" s="733">
        <f t="shared" si="70"/>
        <v>0</v>
      </c>
      <c r="AL19" s="733">
        <f t="shared" si="68"/>
        <v>0</v>
      </c>
      <c r="AM19" s="1023">
        <f t="shared" ref="AM19:AO19" si="72">AM18</f>
        <v>0</v>
      </c>
      <c r="AN19" s="984">
        <f t="shared" ref="AN19" si="73">AN18</f>
        <v>13496.582387683322</v>
      </c>
      <c r="AO19" s="783">
        <f t="shared" si="72"/>
        <v>17918</v>
      </c>
      <c r="AP19" s="784">
        <f t="shared" ref="AP19" si="74">AP18</f>
        <v>13806.9</v>
      </c>
      <c r="AQ19" s="785"/>
      <c r="AR19" s="786"/>
      <c r="AS19" s="985"/>
      <c r="AT19" s="937">
        <f t="shared" ref="AT19:AU19" si="75">AT18</f>
        <v>0</v>
      </c>
      <c r="AU19" s="860">
        <f t="shared" si="75"/>
        <v>0</v>
      </c>
      <c r="AV19" s="860">
        <f t="shared" ref="AV19:AW19" si="76">AV18</f>
        <v>0</v>
      </c>
      <c r="AW19" s="861">
        <f t="shared" si="76"/>
        <v>0</v>
      </c>
      <c r="AX19" s="938"/>
      <c r="AY19" s="907">
        <f t="shared" ref="AY19" si="77">AY18</f>
        <v>0</v>
      </c>
      <c r="AZ19" s="586"/>
      <c r="BA19" s="147">
        <f>SUM(BA18)</f>
        <v>13496.582387683322</v>
      </c>
      <c r="BB19" s="135">
        <f>SUM(BB18)</f>
        <v>17918</v>
      </c>
      <c r="BC19" s="1265">
        <f>SUM(BC18)</f>
        <v>13806.9</v>
      </c>
      <c r="BD19" s="188">
        <v>661</v>
      </c>
      <c r="BE19" s="131"/>
      <c r="BF19" s="1650"/>
      <c r="BG19" s="610"/>
      <c r="BH19" s="610"/>
      <c r="BI19" s="1655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</row>
    <row r="20" spans="1:148" ht="15.75" thickBot="1" x14ac:dyDescent="0.3">
      <c r="A20" s="78">
        <v>663140</v>
      </c>
      <c r="B20" s="79" t="s">
        <v>2</v>
      </c>
      <c r="C20" s="628"/>
      <c r="D20" s="628"/>
      <c r="E20" s="1165"/>
      <c r="F20" s="630"/>
      <c r="G20" s="630"/>
      <c r="H20" s="1165"/>
      <c r="I20" s="629"/>
      <c r="J20" s="629"/>
      <c r="K20" s="1180"/>
      <c r="L20" s="1082"/>
      <c r="M20" s="384"/>
      <c r="N20" s="1188"/>
      <c r="O20" s="703"/>
      <c r="P20" s="703"/>
      <c r="Q20" s="1188"/>
      <c r="R20" s="703"/>
      <c r="S20" s="703"/>
      <c r="T20" s="1188"/>
      <c r="U20" s="1197"/>
      <c r="V20" s="1026"/>
      <c r="W20" s="736"/>
      <c r="X20" s="1208"/>
      <c r="Y20" s="737"/>
      <c r="Z20" s="737"/>
      <c r="AA20" s="1208"/>
      <c r="AB20" s="737"/>
      <c r="AC20" s="1208"/>
      <c r="AD20" s="737"/>
      <c r="AE20" s="1208"/>
      <c r="AF20" s="737"/>
      <c r="AG20" s="1208"/>
      <c r="AH20" s="737"/>
      <c r="AI20" s="737"/>
      <c r="AJ20" s="1208"/>
      <c r="AK20" s="737"/>
      <c r="AL20" s="737"/>
      <c r="AM20" s="1216"/>
      <c r="AN20" s="988"/>
      <c r="AO20" s="791"/>
      <c r="AP20" s="1222"/>
      <c r="AQ20" s="792">
        <f>1800/7.5345</f>
        <v>238.90105514632688</v>
      </c>
      <c r="AR20" s="793">
        <v>1725</v>
      </c>
      <c r="AS20" s="996">
        <v>250</v>
      </c>
      <c r="AT20" s="941"/>
      <c r="AU20" s="864"/>
      <c r="AV20" s="1240"/>
      <c r="AW20" s="1241"/>
      <c r="AX20" s="951"/>
      <c r="AY20" s="909"/>
      <c r="AZ20" s="595"/>
      <c r="BA20" s="136">
        <f>AQ20+AN20+AK20+AH20+AC20+Y20+V20+R20+O20+L20+I20+F20+C20+AT20</f>
        <v>238.90105514632688</v>
      </c>
      <c r="BB20" s="139">
        <f>AR20+AO20+AL20+AI20+AF20+AB20+AD20+Z20+W20+S20+P20+M20+J20+G20+D20+AU20</f>
        <v>1725</v>
      </c>
      <c r="BC20" s="1264">
        <f>E20+H20+K20+N20+Q20+T20+U20+X20+AA20+AC20+AE20+AG20+AJ20+AM20+AP20+AS20</f>
        <v>250</v>
      </c>
      <c r="BD20" s="189">
        <v>663140</v>
      </c>
      <c r="BE20" s="34"/>
    </row>
    <row r="21" spans="1:148" s="2" customFormat="1" ht="15.75" thickBot="1" x14ac:dyDescent="0.3">
      <c r="A21" s="76">
        <v>663</v>
      </c>
      <c r="B21" s="81" t="s">
        <v>12</v>
      </c>
      <c r="C21" s="621">
        <f t="shared" ref="C21" si="78">C20</f>
        <v>0</v>
      </c>
      <c r="D21" s="621">
        <f t="shared" ref="D21:K21" si="79">D20</f>
        <v>0</v>
      </c>
      <c r="E21" s="622">
        <f t="shared" si="79"/>
        <v>0</v>
      </c>
      <c r="F21" s="623">
        <f t="shared" ref="F21" si="80">F20</f>
        <v>0</v>
      </c>
      <c r="G21" s="623">
        <f t="shared" si="79"/>
        <v>0</v>
      </c>
      <c r="H21" s="622">
        <f t="shared" si="79"/>
        <v>0</v>
      </c>
      <c r="I21" s="622">
        <f t="shared" ref="I21" si="81">I20</f>
        <v>0</v>
      </c>
      <c r="J21" s="622">
        <f t="shared" si="79"/>
        <v>0</v>
      </c>
      <c r="K21" s="1060">
        <f t="shared" si="79"/>
        <v>0</v>
      </c>
      <c r="L21" s="1078"/>
      <c r="M21" s="381"/>
      <c r="N21" s="382"/>
      <c r="O21" s="382">
        <f t="shared" ref="O21" si="82">O20</f>
        <v>0</v>
      </c>
      <c r="P21" s="382">
        <f t="shared" ref="P21:Q21" si="83">P20</f>
        <v>0</v>
      </c>
      <c r="Q21" s="382">
        <f t="shared" si="83"/>
        <v>0</v>
      </c>
      <c r="R21" s="382">
        <f>R20</f>
        <v>0</v>
      </c>
      <c r="S21" s="382">
        <f>S20</f>
        <v>0</v>
      </c>
      <c r="T21" s="382">
        <f>T20</f>
        <v>0</v>
      </c>
      <c r="U21" s="1079">
        <f>U20</f>
        <v>0</v>
      </c>
      <c r="V21" s="1022">
        <f t="shared" ref="V21:W21" si="84">V20</f>
        <v>0</v>
      </c>
      <c r="W21" s="732">
        <f t="shared" si="84"/>
        <v>0</v>
      </c>
      <c r="X21" s="733">
        <f t="shared" ref="X21:Y21" si="85">X20</f>
        <v>0</v>
      </c>
      <c r="Y21" s="733">
        <f t="shared" si="85"/>
        <v>0</v>
      </c>
      <c r="Z21" s="733">
        <f t="shared" ref="Z21:AA21" si="86">Z20</f>
        <v>0</v>
      </c>
      <c r="AA21" s="733">
        <f t="shared" si="86"/>
        <v>0</v>
      </c>
      <c r="AB21" s="733">
        <f t="shared" ref="AB21:AC21" si="87">AB20</f>
        <v>0</v>
      </c>
      <c r="AC21" s="733">
        <f t="shared" si="87"/>
        <v>0</v>
      </c>
      <c r="AD21" s="733">
        <f t="shared" ref="AD21:AL21" si="88">AD20</f>
        <v>0</v>
      </c>
      <c r="AE21" s="733">
        <f t="shared" ref="AE21:AF21" si="89">AE20</f>
        <v>0</v>
      </c>
      <c r="AF21" s="733">
        <f t="shared" si="89"/>
        <v>0</v>
      </c>
      <c r="AG21" s="733">
        <f t="shared" ref="AG21:AK21" si="90">AG20</f>
        <v>0</v>
      </c>
      <c r="AH21" s="733">
        <f t="shared" ref="AH21" si="91">AH20</f>
        <v>0</v>
      </c>
      <c r="AI21" s="733">
        <f t="shared" si="90"/>
        <v>0</v>
      </c>
      <c r="AJ21" s="733">
        <f t="shared" si="90"/>
        <v>0</v>
      </c>
      <c r="AK21" s="733">
        <f t="shared" si="90"/>
        <v>0</v>
      </c>
      <c r="AL21" s="733">
        <f t="shared" si="88"/>
        <v>0</v>
      </c>
      <c r="AM21" s="1023">
        <f t="shared" ref="AM21:AO21" si="92">AM20</f>
        <v>0</v>
      </c>
      <c r="AN21" s="984">
        <f t="shared" ref="AN21" si="93">AN20</f>
        <v>0</v>
      </c>
      <c r="AO21" s="783">
        <f t="shared" si="92"/>
        <v>0</v>
      </c>
      <c r="AP21" s="784">
        <f t="shared" ref="AP21" si="94">AP20</f>
        <v>0</v>
      </c>
      <c r="AQ21" s="785">
        <f>SUM(AQ20)</f>
        <v>238.90105514632688</v>
      </c>
      <c r="AR21" s="786">
        <f>SUM(AR20)</f>
        <v>1725</v>
      </c>
      <c r="AS21" s="985">
        <f>SUM(AS20)</f>
        <v>250</v>
      </c>
      <c r="AT21" s="937">
        <f t="shared" ref="AT21:AU21" si="95">AT20</f>
        <v>0</v>
      </c>
      <c r="AU21" s="860">
        <f t="shared" si="95"/>
        <v>0</v>
      </c>
      <c r="AV21" s="860">
        <f t="shared" ref="AV21:AW21" si="96">AV20</f>
        <v>0</v>
      </c>
      <c r="AW21" s="861">
        <f t="shared" si="96"/>
        <v>0</v>
      </c>
      <c r="AX21" s="938">
        <f>SUM(AX20)</f>
        <v>0</v>
      </c>
      <c r="AY21" s="907">
        <f t="shared" ref="AY21" si="97">AY20</f>
        <v>0</v>
      </c>
      <c r="AZ21" s="586">
        <f>SUM(AZ20)</f>
        <v>0</v>
      </c>
      <c r="BA21" s="147">
        <f>SUM(BA20)</f>
        <v>238.90105514632688</v>
      </c>
      <c r="BB21" s="135">
        <f>SUM(BB20)</f>
        <v>1725</v>
      </c>
      <c r="BC21" s="1265">
        <f>SUM(BC20)</f>
        <v>250</v>
      </c>
      <c r="BD21" s="188">
        <v>663</v>
      </c>
      <c r="BE21" s="131"/>
      <c r="BF21" s="1650"/>
      <c r="BG21" s="610"/>
      <c r="BH21" s="610"/>
      <c r="BI21" s="1655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</row>
    <row r="22" spans="1:148" x14ac:dyDescent="0.25">
      <c r="A22" s="74">
        <v>671110</v>
      </c>
      <c r="B22" s="85" t="s">
        <v>3</v>
      </c>
      <c r="C22" s="631"/>
      <c r="D22" s="631"/>
      <c r="E22" s="626"/>
      <c r="F22" s="633"/>
      <c r="G22" s="633"/>
      <c r="H22" s="626"/>
      <c r="I22" s="632"/>
      <c r="J22" s="632"/>
      <c r="K22" s="1061"/>
      <c r="L22" s="1083"/>
      <c r="M22" s="385"/>
      <c r="N22" s="701"/>
      <c r="O22" s="704"/>
      <c r="P22" s="704"/>
      <c r="Q22" s="701"/>
      <c r="R22" s="704"/>
      <c r="S22" s="704"/>
      <c r="T22" s="701"/>
      <c r="U22" s="1106"/>
      <c r="V22" s="1027">
        <f>757759.37/7.5345</f>
        <v>100571.95168889774</v>
      </c>
      <c r="W22" s="738">
        <v>113431</v>
      </c>
      <c r="X22" s="735">
        <f>82735.51-2513.88-118.55-345-40-57.08-79.45-100+4598.88+2150.75+4756.99+1726.59+3684.88+5688.82+2563.72+8807.2</f>
        <v>113459.37999999999</v>
      </c>
      <c r="Y22" s="739"/>
      <c r="Z22" s="739">
        <v>19135</v>
      </c>
      <c r="AA22" s="735">
        <f>2513.88+18.19+2919.9+248.85+90.15+1499.5+33.47+3.28+256.07+17.34+562.5+945.06+10.35+3999+34.43+20.7+16.67+17.25+597.49</f>
        <v>13804.080000000002</v>
      </c>
      <c r="AB22" s="739">
        <v>3200</v>
      </c>
      <c r="AC22" s="735">
        <v>1157.26</v>
      </c>
      <c r="AD22" s="739">
        <v>0</v>
      </c>
      <c r="AE22" s="735"/>
      <c r="AF22" s="739">
        <v>0</v>
      </c>
      <c r="AG22" s="735"/>
      <c r="AH22" s="739">
        <f>1750/7.5345</f>
        <v>232.26491472559559</v>
      </c>
      <c r="AI22" s="739">
        <v>500</v>
      </c>
      <c r="AJ22" s="735">
        <v>349.4</v>
      </c>
      <c r="AK22" s="739">
        <f>2690/7.5345</f>
        <v>357.02435463534408</v>
      </c>
      <c r="AL22" s="739">
        <v>1460</v>
      </c>
      <c r="AM22" s="1025">
        <f>100+79.45+57.08+40+345+118.55+25+69.13+471.92+25</f>
        <v>1331.1299999999999</v>
      </c>
      <c r="AN22" s="989"/>
      <c r="AO22" s="794"/>
      <c r="AP22" s="788"/>
      <c r="AQ22" s="795"/>
      <c r="AR22" s="796"/>
      <c r="AS22" s="987"/>
      <c r="AT22" s="942">
        <f>(6274.61+1107.28+701.98)/7.5345</f>
        <v>1072.9139292587429</v>
      </c>
      <c r="AU22" s="865">
        <v>0</v>
      </c>
      <c r="AV22" s="862"/>
      <c r="AW22" s="863"/>
      <c r="AX22" s="940"/>
      <c r="AY22" s="910"/>
      <c r="AZ22" s="589"/>
      <c r="BA22" s="136">
        <f>AQ22+AN22+AK22+AH22+Y22+V22+R22+O22+L22+I22+F22+C22+AT22</f>
        <v>102234.15488751743</v>
      </c>
      <c r="BB22" s="139">
        <f>AR22+AO22+AL22+AI22+AF22+AB22+AD22+Z22+W22+S22+P22+M22+J22+G22+D22+AU22</f>
        <v>137726</v>
      </c>
      <c r="BC22" s="1264">
        <f>E22+H22+K22+N22+Q22+T22+U22+X22+AA22+AC22+AE22+AG22+AJ22+AM22+AP22+AS22+AV22+AW22+AX22</f>
        <v>130101.24999999999</v>
      </c>
      <c r="BD22" s="185">
        <v>671110</v>
      </c>
      <c r="BE22" s="34"/>
    </row>
    <row r="23" spans="1:148" x14ac:dyDescent="0.25">
      <c r="A23" s="46">
        <v>671210</v>
      </c>
      <c r="B23" s="29" t="s">
        <v>143</v>
      </c>
      <c r="C23" s="618"/>
      <c r="D23" s="618"/>
      <c r="E23" s="657"/>
      <c r="F23" s="620"/>
      <c r="G23" s="620"/>
      <c r="H23" s="657"/>
      <c r="I23" s="619"/>
      <c r="J23" s="619"/>
      <c r="K23" s="1067"/>
      <c r="L23" s="1077"/>
      <c r="M23" s="379"/>
      <c r="N23" s="709"/>
      <c r="O23" s="700"/>
      <c r="P23" s="700"/>
      <c r="Q23" s="709"/>
      <c r="R23" s="700"/>
      <c r="S23" s="700"/>
      <c r="T23" s="709"/>
      <c r="U23" s="1096"/>
      <c r="V23" s="1021">
        <f>516035.43/7.5345</f>
        <v>68489.671511049164</v>
      </c>
      <c r="W23" s="730">
        <v>1747</v>
      </c>
      <c r="X23" s="752">
        <f>59.77+64.62+81.05+31.49+663.45+523.33+198.9+96.01</f>
        <v>1718.6200000000001</v>
      </c>
      <c r="Y23" s="731">
        <f>750000/7.5345</f>
        <v>99542.106310969539</v>
      </c>
      <c r="Z23" s="731">
        <v>146400</v>
      </c>
      <c r="AA23" s="752">
        <f>22000+1103.25+22411.94+4163.44+16725.71+3750+69334.85+4655.33+3002.37+3708.6+3362.39+4811.88+4142.58+3825.55</f>
        <v>166997.88999999998</v>
      </c>
      <c r="AB23" s="731"/>
      <c r="AC23" s="752"/>
      <c r="AD23" s="731"/>
      <c r="AE23" s="752"/>
      <c r="AF23" s="731"/>
      <c r="AG23" s="752"/>
      <c r="AH23" s="731"/>
      <c r="AI23" s="731"/>
      <c r="AJ23" s="752"/>
      <c r="AK23" s="731"/>
      <c r="AL23" s="731"/>
      <c r="AM23" s="1038"/>
      <c r="AN23" s="983"/>
      <c r="AO23" s="780"/>
      <c r="AP23" s="818"/>
      <c r="AQ23" s="781"/>
      <c r="AR23" s="782"/>
      <c r="AS23" s="1001"/>
      <c r="AT23" s="936"/>
      <c r="AU23" s="859"/>
      <c r="AV23" s="877"/>
      <c r="AW23" s="878"/>
      <c r="AX23" s="956"/>
      <c r="AY23" s="906"/>
      <c r="AZ23" s="601"/>
      <c r="BA23" s="136">
        <f t="shared" ref="BA23:BA26" si="98">AQ23+AN23+AK23+AH23+AC23+Y23+V23+R23+O23+L23+I23+F23+C23+AT23</f>
        <v>168031.77782201872</v>
      </c>
      <c r="BB23" s="139">
        <f>AR23+AO23+AL23+AI23+AF23+AB23+AD23+Z23+W23+S23+P23+M23+J23+G23+D23+AU23</f>
        <v>148147</v>
      </c>
      <c r="BC23" s="1264">
        <f>E23+H23+K23+N23+Q23+T23+U23+X23+AA23+AC23+AE23+AG23+AJ23+AM23+AP23+AS23</f>
        <v>168716.50999999998</v>
      </c>
      <c r="BD23" s="187">
        <v>671210</v>
      </c>
      <c r="BE23" s="34"/>
    </row>
    <row r="24" spans="1:148" ht="15.75" thickBot="1" x14ac:dyDescent="0.3">
      <c r="A24" s="46">
        <v>671410</v>
      </c>
      <c r="B24" s="29" t="s">
        <v>263</v>
      </c>
      <c r="C24" s="618"/>
      <c r="D24" s="618"/>
      <c r="E24" s="657"/>
      <c r="F24" s="620"/>
      <c r="G24" s="620"/>
      <c r="H24" s="657"/>
      <c r="I24" s="619"/>
      <c r="J24" s="619"/>
      <c r="K24" s="1067"/>
      <c r="L24" s="1077"/>
      <c r="M24" s="379"/>
      <c r="N24" s="709"/>
      <c r="O24" s="700"/>
      <c r="P24" s="700"/>
      <c r="Q24" s="709"/>
      <c r="R24" s="700"/>
      <c r="S24" s="700"/>
      <c r="T24" s="709"/>
      <c r="U24" s="1096"/>
      <c r="V24" s="1021"/>
      <c r="W24" s="730"/>
      <c r="X24" s="752"/>
      <c r="Y24" s="731"/>
      <c r="Z24" s="731">
        <v>0</v>
      </c>
      <c r="AA24" s="752"/>
      <c r="AB24" s="731"/>
      <c r="AC24" s="752"/>
      <c r="AD24" s="731"/>
      <c r="AE24" s="752"/>
      <c r="AF24" s="731"/>
      <c r="AG24" s="752"/>
      <c r="AH24" s="731"/>
      <c r="AI24" s="731"/>
      <c r="AJ24" s="752"/>
      <c r="AK24" s="731"/>
      <c r="AL24" s="731"/>
      <c r="AM24" s="1038"/>
      <c r="AN24" s="983"/>
      <c r="AO24" s="780"/>
      <c r="AP24" s="818"/>
      <c r="AQ24" s="781"/>
      <c r="AR24" s="782"/>
      <c r="AS24" s="1001"/>
      <c r="AT24" s="936"/>
      <c r="AU24" s="859"/>
      <c r="AV24" s="877"/>
      <c r="AW24" s="878"/>
      <c r="AX24" s="956"/>
      <c r="AY24" s="906"/>
      <c r="AZ24" s="601"/>
      <c r="BA24" s="136">
        <f t="shared" si="98"/>
        <v>0</v>
      </c>
      <c r="BB24" s="139">
        <f>AR24+AO24+AL24+AI24+AF24+AB24+AD24+Z24+W24+S24+P24+M24+J24+G24+D24+AU24</f>
        <v>0</v>
      </c>
      <c r="BC24" s="1264">
        <f>E24+H24+K24+N24+Q24+T24+U24+X24+AA24+AC24+AE24+AG24+AJ24+AM24+AP24+AS24</f>
        <v>0</v>
      </c>
      <c r="BD24" s="187">
        <v>671410</v>
      </c>
      <c r="BE24" s="34"/>
    </row>
    <row r="25" spans="1:148" s="2" customFormat="1" ht="15.75" thickBot="1" x14ac:dyDescent="0.3">
      <c r="A25" s="76">
        <v>671</v>
      </c>
      <c r="B25" s="81" t="s">
        <v>13</v>
      </c>
      <c r="C25" s="621">
        <f>SUM(C22:C23)</f>
        <v>0</v>
      </c>
      <c r="D25" s="621">
        <f>SUM(D22:D23)</f>
        <v>0</v>
      </c>
      <c r="E25" s="622">
        <f>SUM(E22:E23)</f>
        <v>0</v>
      </c>
      <c r="F25" s="623">
        <f t="shared" ref="F25:G25" si="99">SUM(F22:F23)</f>
        <v>0</v>
      </c>
      <c r="G25" s="623">
        <f t="shared" si="99"/>
        <v>0</v>
      </c>
      <c r="H25" s="622">
        <f t="shared" ref="H25" si="100">SUM(H22:H23)</f>
        <v>0</v>
      </c>
      <c r="I25" s="622">
        <f t="shared" ref="I25:J25" si="101">SUM(I22:I23)</f>
        <v>0</v>
      </c>
      <c r="J25" s="622">
        <f t="shared" si="101"/>
        <v>0</v>
      </c>
      <c r="K25" s="1060">
        <f t="shared" ref="K25" si="102">SUM(K22:K23)</f>
        <v>0</v>
      </c>
      <c r="L25" s="1078"/>
      <c r="M25" s="381"/>
      <c r="N25" s="382"/>
      <c r="O25" s="382">
        <f t="shared" ref="O25:P25" si="103">SUM(O22:O23)</f>
        <v>0</v>
      </c>
      <c r="P25" s="382">
        <f t="shared" si="103"/>
        <v>0</v>
      </c>
      <c r="Q25" s="382">
        <f t="shared" ref="Q25:R25" si="104">SUM(Q22:Q23)</f>
        <v>0</v>
      </c>
      <c r="R25" s="382">
        <f t="shared" si="104"/>
        <v>0</v>
      </c>
      <c r="S25" s="382">
        <f t="shared" ref="S25:AM25" si="105">SUM(S22:S23)</f>
        <v>0</v>
      </c>
      <c r="T25" s="382">
        <f t="shared" si="105"/>
        <v>0</v>
      </c>
      <c r="U25" s="1079">
        <f t="shared" si="105"/>
        <v>0</v>
      </c>
      <c r="V25" s="1022">
        <f>SUM(V22:V23)</f>
        <v>169061.62319994689</v>
      </c>
      <c r="W25" s="732">
        <f>SUM(W22:W23)</f>
        <v>115178</v>
      </c>
      <c r="X25" s="733">
        <f>SUM(X22:X23)</f>
        <v>115177.99999999999</v>
      </c>
      <c r="Y25" s="733">
        <f>SUM(Y22:Y24)</f>
        <v>99542.106310969539</v>
      </c>
      <c r="Z25" s="733">
        <f>SUM(Z22:Z24)</f>
        <v>165535</v>
      </c>
      <c r="AA25" s="733">
        <f>SUM(AA22:AA23)</f>
        <v>180801.96999999997</v>
      </c>
      <c r="AB25" s="733">
        <f t="shared" ref="AB25" si="106">SUM(AB22:AB23)</f>
        <v>3200</v>
      </c>
      <c r="AC25" s="733">
        <f t="shared" ref="AC25" si="107">SUM(AC22:AC23)</f>
        <v>1157.26</v>
      </c>
      <c r="AD25" s="733">
        <f t="shared" si="105"/>
        <v>0</v>
      </c>
      <c r="AE25" s="733">
        <f t="shared" si="105"/>
        <v>0</v>
      </c>
      <c r="AF25" s="733">
        <f t="shared" ref="AF25" si="108">SUM(AF22:AF23)</f>
        <v>0</v>
      </c>
      <c r="AG25" s="733">
        <f t="shared" ref="AG25" si="109">SUM(AG22:AG23)</f>
        <v>0</v>
      </c>
      <c r="AH25" s="733">
        <f>SUM(AH22:AH23)</f>
        <v>232.26491472559559</v>
      </c>
      <c r="AI25" s="733">
        <f>SUM(AI22:AI23)</f>
        <v>500</v>
      </c>
      <c r="AJ25" s="733">
        <f>SUM(AJ22:AJ23)</f>
        <v>349.4</v>
      </c>
      <c r="AK25" s="733">
        <f t="shared" ref="AK25" si="110">SUM(AK22:AK23)</f>
        <v>357.02435463534408</v>
      </c>
      <c r="AL25" s="733">
        <f t="shared" si="105"/>
        <v>1460</v>
      </c>
      <c r="AM25" s="1023">
        <f t="shared" si="105"/>
        <v>1331.1299999999999</v>
      </c>
      <c r="AN25" s="984">
        <f t="shared" ref="AN25:AO25" si="111">SUM(AN22:AN23)</f>
        <v>0</v>
      </c>
      <c r="AO25" s="783">
        <f t="shared" si="111"/>
        <v>0</v>
      </c>
      <c r="AP25" s="784">
        <f t="shared" ref="AP25" si="112">SUM(AP22:AP23)</f>
        <v>0</v>
      </c>
      <c r="AQ25" s="785"/>
      <c r="AR25" s="786"/>
      <c r="AS25" s="985"/>
      <c r="AT25" s="937">
        <f t="shared" ref="AT25:AU25" si="113">SUM(AT22:AT23)</f>
        <v>1072.9139292587429</v>
      </c>
      <c r="AU25" s="860">
        <f t="shared" si="113"/>
        <v>0</v>
      </c>
      <c r="AV25" s="860">
        <f t="shared" ref="AV25:AX25" si="114">SUM(AV22:AV23)</f>
        <v>0</v>
      </c>
      <c r="AW25" s="861">
        <f t="shared" si="114"/>
        <v>0</v>
      </c>
      <c r="AX25" s="943">
        <f t="shared" si="114"/>
        <v>0</v>
      </c>
      <c r="AY25" s="907">
        <f t="shared" ref="AY25:AZ25" si="115">SUM(AY22:AY23)</f>
        <v>0</v>
      </c>
      <c r="AZ25" s="585">
        <f t="shared" si="115"/>
        <v>0</v>
      </c>
      <c r="BA25" s="147">
        <f>SUM(BA22:BA24)</f>
        <v>270265.93270953617</v>
      </c>
      <c r="BB25" s="135">
        <f>SUM(BB22:BB24)</f>
        <v>285873</v>
      </c>
      <c r="BC25" s="1265">
        <f>SUM(BC22:BC23)</f>
        <v>298817.75999999995</v>
      </c>
      <c r="BD25" s="188">
        <v>671</v>
      </c>
      <c r="BE25" s="131"/>
      <c r="BF25" s="1650"/>
      <c r="BG25" s="610"/>
      <c r="BH25" s="610"/>
      <c r="BI25" s="1655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</row>
    <row r="26" spans="1:148" ht="15.75" thickBot="1" x14ac:dyDescent="0.3">
      <c r="A26" s="78">
        <v>683110</v>
      </c>
      <c r="B26" s="79" t="s">
        <v>4</v>
      </c>
      <c r="C26" s="628"/>
      <c r="D26" s="628"/>
      <c r="E26" s="1165"/>
      <c r="F26" s="630"/>
      <c r="G26" s="630"/>
      <c r="H26" s="1165"/>
      <c r="I26" s="629"/>
      <c r="J26" s="629"/>
      <c r="K26" s="1180"/>
      <c r="L26" s="1082"/>
      <c r="M26" s="384"/>
      <c r="N26" s="1188"/>
      <c r="O26" s="703"/>
      <c r="P26" s="703"/>
      <c r="Q26" s="1188"/>
      <c r="R26" s="703"/>
      <c r="S26" s="703"/>
      <c r="T26" s="1188"/>
      <c r="U26" s="1197"/>
      <c r="V26" s="1026"/>
      <c r="W26" s="736"/>
      <c r="X26" s="1208"/>
      <c r="Y26" s="737"/>
      <c r="Z26" s="737"/>
      <c r="AA26" s="1208"/>
      <c r="AB26" s="737"/>
      <c r="AC26" s="1208"/>
      <c r="AD26" s="737"/>
      <c r="AE26" s="1208"/>
      <c r="AF26" s="737"/>
      <c r="AG26" s="1208"/>
      <c r="AH26" s="737"/>
      <c r="AI26" s="737"/>
      <c r="AJ26" s="1208"/>
      <c r="AK26" s="737"/>
      <c r="AL26" s="737"/>
      <c r="AM26" s="1216"/>
      <c r="AN26" s="988">
        <f>61563.97/7.5345</f>
        <v>8170.9429955537853</v>
      </c>
      <c r="AO26" s="791">
        <v>12476</v>
      </c>
      <c r="AP26" s="1222">
        <v>5607.03</v>
      </c>
      <c r="AQ26" s="792"/>
      <c r="AR26" s="793"/>
      <c r="AS26" s="996"/>
      <c r="AT26" s="941"/>
      <c r="AU26" s="864"/>
      <c r="AV26" s="1240"/>
      <c r="AW26" s="1241"/>
      <c r="AX26" s="951"/>
      <c r="AY26" s="909"/>
      <c r="AZ26" s="595"/>
      <c r="BA26" s="136">
        <f t="shared" si="98"/>
        <v>8170.9429955537853</v>
      </c>
      <c r="BB26" s="139">
        <f>AR26+AO26+AL26+AI26+AF26+AB26+AD26+Z26+W26+S26+P26+M26+J26+G26+D26+AU26</f>
        <v>12476</v>
      </c>
      <c r="BC26" s="1264">
        <f>E26+H26+K26+N26+Q26+T26+U26+X26+AA26+AC26+AE26+AG26+AJ26+AM26+AP26+AS26</f>
        <v>5607.03</v>
      </c>
      <c r="BD26" s="189">
        <v>683110</v>
      </c>
      <c r="BE26" s="34"/>
    </row>
    <row r="27" spans="1:148" s="2" customFormat="1" ht="15.75" thickBot="1" x14ac:dyDescent="0.3">
      <c r="A27" s="76">
        <v>683</v>
      </c>
      <c r="B27" s="81" t="s">
        <v>4</v>
      </c>
      <c r="C27" s="621">
        <f t="shared" ref="C27" si="116">C26</f>
        <v>0</v>
      </c>
      <c r="D27" s="621">
        <f t="shared" ref="D27:K27" si="117">D26</f>
        <v>0</v>
      </c>
      <c r="E27" s="622">
        <f t="shared" si="117"/>
        <v>0</v>
      </c>
      <c r="F27" s="623">
        <f t="shared" ref="F27" si="118">F26</f>
        <v>0</v>
      </c>
      <c r="G27" s="623">
        <f t="shared" si="117"/>
        <v>0</v>
      </c>
      <c r="H27" s="622">
        <f t="shared" si="117"/>
        <v>0</v>
      </c>
      <c r="I27" s="622">
        <f t="shared" ref="I27" si="119">I26</f>
        <v>0</v>
      </c>
      <c r="J27" s="622">
        <f t="shared" si="117"/>
        <v>0</v>
      </c>
      <c r="K27" s="1060">
        <f t="shared" si="117"/>
        <v>0</v>
      </c>
      <c r="L27" s="1078"/>
      <c r="M27" s="381"/>
      <c r="N27" s="382"/>
      <c r="O27" s="382">
        <f t="shared" ref="O27" si="120">O26</f>
        <v>0</v>
      </c>
      <c r="P27" s="382">
        <f t="shared" ref="P27:Q27" si="121">P26</f>
        <v>0</v>
      </c>
      <c r="Q27" s="382">
        <f t="shared" si="121"/>
        <v>0</v>
      </c>
      <c r="R27" s="382">
        <f>R26</f>
        <v>0</v>
      </c>
      <c r="S27" s="382">
        <f>S26</f>
        <v>0</v>
      </c>
      <c r="T27" s="382">
        <f>T26</f>
        <v>0</v>
      </c>
      <c r="U27" s="1079">
        <f>U26</f>
        <v>0</v>
      </c>
      <c r="V27" s="1022">
        <f t="shared" ref="V27:W27" si="122">V26</f>
        <v>0</v>
      </c>
      <c r="W27" s="732">
        <f t="shared" si="122"/>
        <v>0</v>
      </c>
      <c r="X27" s="733">
        <f t="shared" ref="X27:Y27" si="123">X26</f>
        <v>0</v>
      </c>
      <c r="Y27" s="733">
        <f t="shared" si="123"/>
        <v>0</v>
      </c>
      <c r="Z27" s="733">
        <f t="shared" ref="Z27:AA27" si="124">Z26</f>
        <v>0</v>
      </c>
      <c r="AA27" s="733">
        <f t="shared" si="124"/>
        <v>0</v>
      </c>
      <c r="AB27" s="733">
        <f t="shared" ref="AB27:AC27" si="125">AB26</f>
        <v>0</v>
      </c>
      <c r="AC27" s="733">
        <f t="shared" si="125"/>
        <v>0</v>
      </c>
      <c r="AD27" s="733">
        <f t="shared" ref="AD27:AL27" si="126">AD26</f>
        <v>0</v>
      </c>
      <c r="AE27" s="733">
        <f t="shared" ref="AE27:AF27" si="127">AE26</f>
        <v>0</v>
      </c>
      <c r="AF27" s="733">
        <f t="shared" si="127"/>
        <v>0</v>
      </c>
      <c r="AG27" s="733">
        <f t="shared" ref="AG27:AK27" si="128">AG26</f>
        <v>0</v>
      </c>
      <c r="AH27" s="733">
        <f t="shared" ref="AH27" si="129">AH26</f>
        <v>0</v>
      </c>
      <c r="AI27" s="733">
        <f t="shared" si="128"/>
        <v>0</v>
      </c>
      <c r="AJ27" s="733">
        <f t="shared" si="128"/>
        <v>0</v>
      </c>
      <c r="AK27" s="733">
        <f t="shared" si="128"/>
        <v>0</v>
      </c>
      <c r="AL27" s="733">
        <f t="shared" si="126"/>
        <v>0</v>
      </c>
      <c r="AM27" s="1023">
        <f t="shared" ref="AM27:AO27" si="130">AM26</f>
        <v>0</v>
      </c>
      <c r="AN27" s="984">
        <f t="shared" ref="AN27" si="131">AN26</f>
        <v>8170.9429955537853</v>
      </c>
      <c r="AO27" s="783">
        <f t="shared" si="130"/>
        <v>12476</v>
      </c>
      <c r="AP27" s="784">
        <f t="shared" ref="AP27" si="132">AP26</f>
        <v>5607.03</v>
      </c>
      <c r="AQ27" s="785"/>
      <c r="AR27" s="786"/>
      <c r="AS27" s="985"/>
      <c r="AT27" s="937">
        <f t="shared" ref="AT27:AU27" si="133">AT26</f>
        <v>0</v>
      </c>
      <c r="AU27" s="860">
        <f t="shared" si="133"/>
        <v>0</v>
      </c>
      <c r="AV27" s="860">
        <f t="shared" ref="AV27:AW27" si="134">AV26</f>
        <v>0</v>
      </c>
      <c r="AW27" s="861">
        <f t="shared" si="134"/>
        <v>0</v>
      </c>
      <c r="AX27" s="938"/>
      <c r="AY27" s="907">
        <f t="shared" ref="AY27" si="135">AY26</f>
        <v>0</v>
      </c>
      <c r="AZ27" s="586"/>
      <c r="BA27" s="147">
        <f>SUM(BA26)</f>
        <v>8170.9429955537853</v>
      </c>
      <c r="BB27" s="135">
        <f>SUM(BB26)</f>
        <v>12476</v>
      </c>
      <c r="BC27" s="1265">
        <f>SUM(BC26)</f>
        <v>5607.03</v>
      </c>
      <c r="BD27" s="188">
        <v>683</v>
      </c>
      <c r="BE27" s="131"/>
      <c r="BF27" s="1650"/>
      <c r="BG27" s="610"/>
      <c r="BH27" s="610"/>
      <c r="BI27" s="1655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</row>
    <row r="28" spans="1:148" s="2" customFormat="1" ht="15.75" thickBot="1" x14ac:dyDescent="0.3">
      <c r="A28" s="76">
        <v>6</v>
      </c>
      <c r="B28" s="81" t="s">
        <v>14</v>
      </c>
      <c r="C28" s="621">
        <f t="shared" ref="C28" si="136">C11+C15+C17+C19+C21+C25+C27</f>
        <v>890737.37076116516</v>
      </c>
      <c r="D28" s="621">
        <f t="shared" ref="D28:AV28" si="137">D11+D15+D17+D19+D21+D25+D27</f>
        <v>1133558</v>
      </c>
      <c r="E28" s="622">
        <f>E11+E15+E17+E19+E21+E25+E27</f>
        <v>1054392.9300000002</v>
      </c>
      <c r="F28" s="623">
        <f t="shared" ref="F28:G28" si="138">F11+F15+F17+F19+F21+F25+F27</f>
        <v>108278.99927002455</v>
      </c>
      <c r="G28" s="623">
        <f t="shared" si="138"/>
        <v>8875</v>
      </c>
      <c r="H28" s="622">
        <f>H11+H15+H17+H19+H21+H25+H27</f>
        <v>174.68</v>
      </c>
      <c r="I28" s="622">
        <f>I11+I15+I17+I19+I21+I25+I27</f>
        <v>173507.19357621606</v>
      </c>
      <c r="J28" s="622">
        <f>J11+J15+J17+J19+J21+J25+J27</f>
        <v>282280</v>
      </c>
      <c r="K28" s="1060">
        <f t="shared" ref="K28" si="139">K11+K15+K17+K19+K21+K25+K27</f>
        <v>169579.08000000002</v>
      </c>
      <c r="L28" s="1078">
        <f>L11+L15+L17+L19+L21+L25+L27</f>
        <v>1450866.6467582453</v>
      </c>
      <c r="M28" s="381">
        <f>M11+M15+M17+M19+M21+M25+M27</f>
        <v>171000</v>
      </c>
      <c r="N28" s="382">
        <f>N11+N15+N17+N19+N21+N25+N27</f>
        <v>944161.26</v>
      </c>
      <c r="O28" s="382">
        <f t="shared" ref="O28:P28" si="140">O11+O15+O17+O19+O21+O25+O27</f>
        <v>983207.4165505342</v>
      </c>
      <c r="P28" s="382">
        <f t="shared" si="140"/>
        <v>1599588</v>
      </c>
      <c r="Q28" s="382">
        <f t="shared" ref="Q28:R28" si="141">Q11+Q15+Q17+Q19+Q21+Q25+Q27</f>
        <v>960947.98</v>
      </c>
      <c r="R28" s="382">
        <f t="shared" si="141"/>
        <v>21184.264383834361</v>
      </c>
      <c r="S28" s="382">
        <f t="shared" si="137"/>
        <v>83980</v>
      </c>
      <c r="T28" s="382">
        <f t="shared" si="137"/>
        <v>0</v>
      </c>
      <c r="U28" s="1079">
        <f t="shared" si="137"/>
        <v>79520.800000000003</v>
      </c>
      <c r="V28" s="1022">
        <f t="shared" ref="V28" si="142">V11+V15+V17+V19+V21+V25+V27</f>
        <v>169061.62319994689</v>
      </c>
      <c r="W28" s="732">
        <f t="shared" si="137"/>
        <v>115178</v>
      </c>
      <c r="X28" s="733">
        <f t="shared" si="137"/>
        <v>115177.99999999999</v>
      </c>
      <c r="Y28" s="733">
        <f t="shared" ref="Y28" si="143">Y11+Y15+Y17+Y19+Y21+Y25+Y27</f>
        <v>99542.106310969539</v>
      </c>
      <c r="Z28" s="733">
        <f t="shared" si="137"/>
        <v>165535</v>
      </c>
      <c r="AA28" s="733">
        <f t="shared" si="137"/>
        <v>180801.96999999997</v>
      </c>
      <c r="AB28" s="733">
        <f t="shared" ref="AB28" si="144">AB11+AB15+AB17+AB19+AB21+AB25+AB27</f>
        <v>3200</v>
      </c>
      <c r="AC28" s="733">
        <f t="shared" ref="AC28" si="145">AC11+AC15+AC17+AC19+AC21+AC25+AC27</f>
        <v>1157.26</v>
      </c>
      <c r="AD28" s="733">
        <f t="shared" si="137"/>
        <v>0</v>
      </c>
      <c r="AE28" s="733">
        <f t="shared" si="137"/>
        <v>0</v>
      </c>
      <c r="AF28" s="733">
        <f t="shared" ref="AF28" si="146">AF11+AF15+AF17+AF19+AF21+AF25+AF27</f>
        <v>0</v>
      </c>
      <c r="AG28" s="733">
        <f t="shared" ref="AG28" si="147">AG11+AG15+AG17+AG19+AG21+AG25+AG27</f>
        <v>0</v>
      </c>
      <c r="AH28" s="733">
        <f t="shared" ref="AH28:AI28" si="148">AH11+AH15+AH17+AH19+AH21+AH25+AH27</f>
        <v>232.26491472559559</v>
      </c>
      <c r="AI28" s="733">
        <f t="shared" si="148"/>
        <v>500</v>
      </c>
      <c r="AJ28" s="733">
        <f t="shared" ref="AJ28:AK28" si="149">AJ11+AJ15+AJ17+AJ19+AJ21+AJ25+AJ27</f>
        <v>349.4</v>
      </c>
      <c r="AK28" s="733">
        <f t="shared" si="149"/>
        <v>357.02435463534408</v>
      </c>
      <c r="AL28" s="733">
        <f t="shared" si="137"/>
        <v>1460</v>
      </c>
      <c r="AM28" s="1023">
        <f t="shared" si="137"/>
        <v>1331.1299999999999</v>
      </c>
      <c r="AN28" s="984">
        <f>AN11+AN15+AN17+AN19+AN21+AN25+AN27</f>
        <v>21824.125024885525</v>
      </c>
      <c r="AO28" s="783">
        <f t="shared" ref="AO28" si="150">AO11+AO15+AO17+AO19+AO21+AO25+AO27</f>
        <v>30527</v>
      </c>
      <c r="AP28" s="784">
        <f>AP11+AP15+AP17+AP19+AP21+AP25+AP27</f>
        <v>19523.099999999999</v>
      </c>
      <c r="AQ28" s="785">
        <f t="shared" ref="AQ28" si="151">AQ11+AQ15+AQ17+AQ19+AQ21+AQ25+AQ27</f>
        <v>238.90105514632688</v>
      </c>
      <c r="AR28" s="786">
        <f t="shared" si="137"/>
        <v>1725</v>
      </c>
      <c r="AS28" s="985">
        <f t="shared" si="137"/>
        <v>250</v>
      </c>
      <c r="AT28" s="937">
        <f t="shared" ref="AT28:AU28" si="152">AT11+AT15+AT17+AT19+AT21+AT25+AT27</f>
        <v>1072.9139292587429</v>
      </c>
      <c r="AU28" s="860">
        <f t="shared" si="152"/>
        <v>0</v>
      </c>
      <c r="AV28" s="860">
        <f t="shared" si="137"/>
        <v>0</v>
      </c>
      <c r="AW28" s="861">
        <f>AW11+AW15+AW17+AW19+AW21+AW25+AW27</f>
        <v>0</v>
      </c>
      <c r="AX28" s="938">
        <f t="shared" ref="AX28:AZ28" si="153">AX11+AX15+AX17+AX19+AX21+AX25+AX27</f>
        <v>0</v>
      </c>
      <c r="AY28" s="907">
        <f>AY11+AY15+AY17+AY19+AY21+AY25+AY27</f>
        <v>0</v>
      </c>
      <c r="AZ28" s="586">
        <f t="shared" si="153"/>
        <v>0</v>
      </c>
      <c r="BA28" s="136">
        <f>AQ28+AN28+AK28+AH28+Y28+V28+R28+O28+L28+I28+F28+C28+AT28</f>
        <v>3920110.8500895877</v>
      </c>
      <c r="BB28" s="139">
        <f>AR28+AO28+AL28+AI28+AF28+AB28+AD28+Z28+W28+S28+P28+M28+J28+G28+D28+AU28</f>
        <v>3597406</v>
      </c>
      <c r="BC28" s="1264">
        <f>E28+H28+K28+N28+Q28+T28+U28+X28+AA28+AC28+AE28+AG28+AJ28+AM28+AP28+AS28+AV28+AW28+AX28</f>
        <v>3527367.59</v>
      </c>
      <c r="BD28" s="188">
        <v>6</v>
      </c>
      <c r="BE28" s="34"/>
      <c r="BF28" s="1650"/>
      <c r="BG28" s="610"/>
      <c r="BH28" s="610"/>
      <c r="BI28" s="1655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</row>
    <row r="29" spans="1:148" ht="15.75" thickBot="1" x14ac:dyDescent="0.3">
      <c r="A29" s="204">
        <v>844</v>
      </c>
      <c r="B29" s="340"/>
      <c r="C29" s="634"/>
      <c r="D29" s="634"/>
      <c r="E29" s="635"/>
      <c r="F29" s="636"/>
      <c r="G29" s="636"/>
      <c r="H29" s="635"/>
      <c r="I29" s="635"/>
      <c r="J29" s="635"/>
      <c r="K29" s="1063"/>
      <c r="L29" s="1084"/>
      <c r="M29" s="386"/>
      <c r="N29" s="387"/>
      <c r="O29" s="387"/>
      <c r="P29" s="387"/>
      <c r="Q29" s="387"/>
      <c r="R29" s="387"/>
      <c r="S29" s="387"/>
      <c r="T29" s="387"/>
      <c r="U29" s="1085"/>
      <c r="V29" s="1028"/>
      <c r="W29" s="740"/>
      <c r="X29" s="741"/>
      <c r="Y29" s="741"/>
      <c r="Z29" s="741"/>
      <c r="AA29" s="741"/>
      <c r="AB29" s="741"/>
      <c r="AC29" s="741"/>
      <c r="AD29" s="741"/>
      <c r="AE29" s="741"/>
      <c r="AF29" s="741"/>
      <c r="AG29" s="741"/>
      <c r="AH29" s="741"/>
      <c r="AI29" s="741"/>
      <c r="AJ29" s="741"/>
      <c r="AK29" s="741"/>
      <c r="AL29" s="741"/>
      <c r="AM29" s="1029"/>
      <c r="AN29" s="990"/>
      <c r="AO29" s="797"/>
      <c r="AP29" s="798"/>
      <c r="AQ29" s="799"/>
      <c r="AR29" s="800"/>
      <c r="AS29" s="991"/>
      <c r="AT29" s="944"/>
      <c r="AU29" s="866"/>
      <c r="AV29" s="866"/>
      <c r="AW29" s="867"/>
      <c r="AX29" s="945"/>
      <c r="AY29" s="911"/>
      <c r="AZ29" s="592"/>
      <c r="BA29" s="482"/>
      <c r="BB29" s="162"/>
      <c r="BC29" s="1266"/>
      <c r="BD29" s="346"/>
      <c r="BE29" s="131"/>
    </row>
    <row r="30" spans="1:148" ht="15.75" thickTop="1" x14ac:dyDescent="0.25">
      <c r="A30" s="171">
        <v>844320</v>
      </c>
      <c r="B30" s="172" t="s">
        <v>259</v>
      </c>
      <c r="C30" s="638"/>
      <c r="D30" s="638"/>
      <c r="E30" s="672"/>
      <c r="F30" s="640"/>
      <c r="G30" s="640"/>
      <c r="H30" s="672"/>
      <c r="I30" s="639"/>
      <c r="J30" s="639"/>
      <c r="K30" s="1071"/>
      <c r="L30" s="1086"/>
      <c r="M30" s="388"/>
      <c r="N30" s="713"/>
      <c r="O30" s="705"/>
      <c r="P30" s="705"/>
      <c r="Q30" s="713"/>
      <c r="R30" s="705"/>
      <c r="S30" s="705"/>
      <c r="T30" s="713"/>
      <c r="U30" s="1104"/>
      <c r="V30" s="1030"/>
      <c r="W30" s="742"/>
      <c r="X30" s="760"/>
      <c r="Y30" s="743"/>
      <c r="Z30" s="743"/>
      <c r="AA30" s="760"/>
      <c r="AB30" s="743"/>
      <c r="AC30" s="760"/>
      <c r="AD30" s="743"/>
      <c r="AE30" s="760"/>
      <c r="AF30" s="743"/>
      <c r="AG30" s="760"/>
      <c r="AH30" s="743"/>
      <c r="AI30" s="743"/>
      <c r="AJ30" s="760"/>
      <c r="AK30" s="743"/>
      <c r="AL30" s="743"/>
      <c r="AM30" s="1045"/>
      <c r="AN30" s="992"/>
      <c r="AO30" s="801"/>
      <c r="AP30" s="832"/>
      <c r="AQ30" s="802"/>
      <c r="AR30" s="803"/>
      <c r="AS30" s="1008"/>
      <c r="AT30" s="946"/>
      <c r="AU30" s="868"/>
      <c r="AV30" s="885"/>
      <c r="AW30" s="886"/>
      <c r="AX30" s="965"/>
      <c r="AY30" s="912">
        <f>75875+1384076</f>
        <v>1459951</v>
      </c>
      <c r="AZ30" s="604">
        <f>1634992.86-175041.97</f>
        <v>1459950.8900000001</v>
      </c>
      <c r="BA30" s="136">
        <f>AQ30+AN30+AK30+AH30+AC30+Y30+V30+R30+O30+L30+I30+F30+C30+AT30</f>
        <v>0</v>
      </c>
      <c r="BB30" s="139">
        <f>AR30+AO30+AL30+AI30+AF30+AB30+AD30+Z30+W30+S30+P30+M30+J30+G30+D30+AU30+AY30</f>
        <v>1459951</v>
      </c>
      <c r="BC30" s="1264">
        <f>E30+H30+K30+N30+Q30+T30+U30+X30+AA30+AC30+AE30+AG30+AJ30+AM30+AP30+AS30+AZ30</f>
        <v>1459950.8900000001</v>
      </c>
      <c r="BD30" s="191">
        <v>844320</v>
      </c>
      <c r="BE30" s="34"/>
    </row>
    <row r="31" spans="1:148" ht="15.75" thickBot="1" x14ac:dyDescent="0.3">
      <c r="A31" s="78">
        <v>847210</v>
      </c>
      <c r="B31" s="79" t="s">
        <v>416</v>
      </c>
      <c r="C31" s="628"/>
      <c r="D31" s="628"/>
      <c r="E31" s="1165"/>
      <c r="F31" s="630"/>
      <c r="G31" s="630"/>
      <c r="H31" s="1165"/>
      <c r="I31" s="629"/>
      <c r="J31" s="629"/>
      <c r="K31" s="1180"/>
      <c r="L31" s="1082"/>
      <c r="M31" s="384"/>
      <c r="N31" s="1188"/>
      <c r="O31" s="703"/>
      <c r="P31" s="703"/>
      <c r="Q31" s="1188"/>
      <c r="R31" s="703"/>
      <c r="S31" s="703"/>
      <c r="T31" s="1188"/>
      <c r="U31" s="1197"/>
      <c r="V31" s="1026"/>
      <c r="W31" s="736"/>
      <c r="X31" s="1208"/>
      <c r="Y31" s="737"/>
      <c r="Z31" s="737"/>
      <c r="AA31" s="1208"/>
      <c r="AB31" s="737"/>
      <c r="AC31" s="1208"/>
      <c r="AD31" s="737"/>
      <c r="AE31" s="1208"/>
      <c r="AF31" s="737"/>
      <c r="AG31" s="1208"/>
      <c r="AH31" s="737"/>
      <c r="AI31" s="737"/>
      <c r="AJ31" s="1208"/>
      <c r="AK31" s="737"/>
      <c r="AL31" s="737"/>
      <c r="AM31" s="1216"/>
      <c r="AN31" s="988"/>
      <c r="AO31" s="791"/>
      <c r="AP31" s="1222"/>
      <c r="AQ31" s="792"/>
      <c r="AR31" s="793"/>
      <c r="AS31" s="996"/>
      <c r="AT31" s="941"/>
      <c r="AU31" s="864"/>
      <c r="AV31" s="1240"/>
      <c r="AW31" s="1241"/>
      <c r="AX31" s="951"/>
      <c r="AY31" s="909"/>
      <c r="AZ31" s="595">
        <v>175041.97</v>
      </c>
      <c r="BA31" s="149"/>
      <c r="BB31" s="148"/>
      <c r="BC31" s="1264">
        <f>E31+H31+K31+N31+Q31+T31+U31+X31+AA31+AC31+AE31+AG31+AJ31+AM31+AP31+AS31+AZ31</f>
        <v>175041.97</v>
      </c>
      <c r="BD31" s="189">
        <v>847210</v>
      </c>
      <c r="BE31" s="34"/>
    </row>
    <row r="32" spans="1:148" s="2" customFormat="1" ht="15.75" thickBot="1" x14ac:dyDescent="0.3">
      <c r="A32" s="204">
        <v>844</v>
      </c>
      <c r="B32" s="340" t="s">
        <v>251</v>
      </c>
      <c r="C32" s="634"/>
      <c r="D32" s="634"/>
      <c r="E32" s="635"/>
      <c r="F32" s="636"/>
      <c r="G32" s="636">
        <f>SUM(G30)</f>
        <v>0</v>
      </c>
      <c r="H32" s="635"/>
      <c r="I32" s="635"/>
      <c r="J32" s="635"/>
      <c r="K32" s="1063"/>
      <c r="L32" s="1084">
        <f>SUM(L30)</f>
        <v>0</v>
      </c>
      <c r="M32" s="386"/>
      <c r="N32" s="387"/>
      <c r="O32" s="387"/>
      <c r="P32" s="387"/>
      <c r="Q32" s="387"/>
      <c r="R32" s="387"/>
      <c r="S32" s="387"/>
      <c r="T32" s="387"/>
      <c r="U32" s="1085"/>
      <c r="V32" s="1028"/>
      <c r="W32" s="740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1029"/>
      <c r="AN32" s="990"/>
      <c r="AO32" s="797"/>
      <c r="AP32" s="798"/>
      <c r="AQ32" s="799"/>
      <c r="AR32" s="800"/>
      <c r="AS32" s="991"/>
      <c r="AT32" s="947"/>
      <c r="AU32" s="869"/>
      <c r="AV32" s="869"/>
      <c r="AW32" s="870"/>
      <c r="AX32" s="948"/>
      <c r="AY32" s="913">
        <f>SUM(AY30:AY31)</f>
        <v>1459951</v>
      </c>
      <c r="AZ32" s="593">
        <f>SUM(AZ30:AZ31)</f>
        <v>1634992.86</v>
      </c>
      <c r="BA32" s="482"/>
      <c r="BB32" s="162">
        <f>SUM(BB30:BB31)</f>
        <v>1459951</v>
      </c>
      <c r="BC32" s="1266">
        <f>SUM(BC30:BC31)</f>
        <v>1634992.86</v>
      </c>
      <c r="BD32" s="346">
        <v>844</v>
      </c>
      <c r="BE32" s="131"/>
      <c r="BF32" s="1650"/>
      <c r="BG32" s="610"/>
      <c r="BH32" s="610"/>
      <c r="BI32" s="1655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</row>
    <row r="33" spans="1:148" s="24" customFormat="1" ht="7.5" customHeight="1" thickTop="1" thickBot="1" x14ac:dyDescent="0.3">
      <c r="A33" s="195"/>
      <c r="B33" s="196"/>
      <c r="C33" s="475"/>
      <c r="D33" s="475"/>
      <c r="E33" s="476"/>
      <c r="F33" s="477"/>
      <c r="G33" s="477"/>
      <c r="H33" s="476"/>
      <c r="I33" s="476"/>
      <c r="J33" s="476"/>
      <c r="K33" s="479"/>
      <c r="L33" s="914"/>
      <c r="M33" s="478"/>
      <c r="N33" s="476"/>
      <c r="O33" s="476"/>
      <c r="P33" s="476"/>
      <c r="Q33" s="476"/>
      <c r="R33" s="476"/>
      <c r="S33" s="476"/>
      <c r="T33" s="476"/>
      <c r="U33" s="1124"/>
      <c r="V33" s="914"/>
      <c r="W33" s="478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1124"/>
      <c r="AN33" s="914"/>
      <c r="AO33" s="478"/>
      <c r="AP33" s="476"/>
      <c r="AQ33" s="479"/>
      <c r="AR33" s="480"/>
      <c r="AS33" s="1125"/>
      <c r="AT33" s="914"/>
      <c r="AU33" s="478"/>
      <c r="AV33" s="478"/>
      <c r="AW33" s="476"/>
      <c r="AX33" s="1125"/>
      <c r="AY33" s="914"/>
      <c r="AZ33" s="594"/>
      <c r="BA33" s="483"/>
      <c r="BB33" s="232"/>
      <c r="BC33" s="1267"/>
      <c r="BD33" s="197"/>
      <c r="BE33" s="131"/>
      <c r="BF33" s="1650"/>
      <c r="BG33" s="610"/>
      <c r="BH33" s="610"/>
      <c r="BI33" s="1650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</row>
    <row r="34" spans="1:148" s="9" customFormat="1" ht="16.5" thickTop="1" thickBot="1" x14ac:dyDescent="0.3">
      <c r="A34" s="347">
        <v>922110</v>
      </c>
      <c r="B34" s="348" t="s">
        <v>146</v>
      </c>
      <c r="C34" s="642"/>
      <c r="D34" s="642"/>
      <c r="E34" s="643"/>
      <c r="F34" s="644"/>
      <c r="G34" s="644"/>
      <c r="H34" s="643"/>
      <c r="I34" s="643"/>
      <c r="J34" s="643"/>
      <c r="K34" s="1064"/>
      <c r="L34" s="1088"/>
      <c r="M34" s="390"/>
      <c r="N34" s="706"/>
      <c r="O34" s="706"/>
      <c r="P34" s="706"/>
      <c r="Q34" s="706"/>
      <c r="R34" s="706"/>
      <c r="S34" s="706">
        <v>17292</v>
      </c>
      <c r="T34" s="706"/>
      <c r="U34" s="1089"/>
      <c r="V34" s="1032"/>
      <c r="W34" s="745"/>
      <c r="X34" s="746"/>
      <c r="Y34" s="746"/>
      <c r="Z34" s="746"/>
      <c r="AA34" s="746"/>
      <c r="AB34" s="746"/>
      <c r="AC34" s="746"/>
      <c r="AD34" s="746"/>
      <c r="AE34" s="746"/>
      <c r="AF34" s="746"/>
      <c r="AG34" s="746"/>
      <c r="AH34" s="746"/>
      <c r="AI34" s="746"/>
      <c r="AJ34" s="746"/>
      <c r="AK34" s="746"/>
      <c r="AL34" s="746"/>
      <c r="AM34" s="1033"/>
      <c r="AN34" s="995"/>
      <c r="AO34" s="806"/>
      <c r="AP34" s="807"/>
      <c r="AQ34" s="808"/>
      <c r="AR34" s="809"/>
      <c r="AS34" s="996"/>
      <c r="AT34" s="950"/>
      <c r="AU34" s="872"/>
      <c r="AV34" s="872"/>
      <c r="AW34" s="873"/>
      <c r="AX34" s="951"/>
      <c r="AY34" s="915"/>
      <c r="AZ34" s="595"/>
      <c r="BA34" s="136">
        <f>AQ34+AN34+AK34+AH34+AE34+AA34+AC34+Y34+V34+R34+O34+L34+I34+F34+C34+AT34</f>
        <v>0</v>
      </c>
      <c r="BB34" s="139">
        <f>AR34+AO34+AL34+AI34+AF34+AB34+AD34+Z34+W34+S34+P34+M34+J34+G34+D34+AU34</f>
        <v>17292</v>
      </c>
      <c r="BC34" s="1268"/>
      <c r="BD34" s="349">
        <v>922110</v>
      </c>
      <c r="BE34" s="132"/>
      <c r="BF34" s="1650"/>
      <c r="BG34" s="610"/>
      <c r="BH34" s="610"/>
      <c r="BI34" s="1657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</row>
    <row r="35" spans="1:148" s="2" customFormat="1" ht="15.75" customHeight="1" thickBot="1" x14ac:dyDescent="0.3">
      <c r="A35" s="76"/>
      <c r="B35" s="81" t="s">
        <v>5</v>
      </c>
      <c r="C35" s="621">
        <f>C28+C34</f>
        <v>890737.37076116516</v>
      </c>
      <c r="D35" s="621">
        <f>D28+D34</f>
        <v>1133558</v>
      </c>
      <c r="E35" s="622">
        <f>E28+E34</f>
        <v>1054392.9300000002</v>
      </c>
      <c r="F35" s="645">
        <f>F28+F34+F32</f>
        <v>108278.99927002455</v>
      </c>
      <c r="G35" s="645">
        <f>G28+G34+G32</f>
        <v>8875</v>
      </c>
      <c r="H35" s="622">
        <f t="shared" ref="H35:K35" si="154">H28+H34</f>
        <v>174.68</v>
      </c>
      <c r="I35" s="622">
        <f>I28+I34</f>
        <v>173507.19357621606</v>
      </c>
      <c r="J35" s="622">
        <f>J28+J34</f>
        <v>282280</v>
      </c>
      <c r="K35" s="1060">
        <f t="shared" si="154"/>
        <v>169579.08000000002</v>
      </c>
      <c r="L35" s="1078">
        <f>L28+L34+L32</f>
        <v>1450866.6467582453</v>
      </c>
      <c r="M35" s="381">
        <f>M28+M34+M32</f>
        <v>171000</v>
      </c>
      <c r="N35" s="382">
        <f t="shared" ref="N35:S35" si="155">N28+N34</f>
        <v>944161.26</v>
      </c>
      <c r="O35" s="382">
        <f t="shared" si="155"/>
        <v>983207.4165505342</v>
      </c>
      <c r="P35" s="382">
        <f t="shared" si="155"/>
        <v>1599588</v>
      </c>
      <c r="Q35" s="382">
        <f t="shared" si="155"/>
        <v>960947.98</v>
      </c>
      <c r="R35" s="382">
        <f t="shared" si="155"/>
        <v>21184.264383834361</v>
      </c>
      <c r="S35" s="382">
        <f t="shared" si="155"/>
        <v>101272</v>
      </c>
      <c r="T35" s="382">
        <f t="shared" ref="T35" si="156">T28+T34</f>
        <v>0</v>
      </c>
      <c r="U35" s="1079">
        <f t="shared" ref="U35:W35" si="157">U28+U34</f>
        <v>79520.800000000003</v>
      </c>
      <c r="V35" s="1022">
        <f t="shared" ref="V35" si="158">V28+V34</f>
        <v>169061.62319994689</v>
      </c>
      <c r="W35" s="732">
        <f t="shared" si="157"/>
        <v>115178</v>
      </c>
      <c r="X35" s="733">
        <f t="shared" ref="X35:Y35" si="159">X28+X34</f>
        <v>115177.99999999999</v>
      </c>
      <c r="Y35" s="733">
        <f t="shared" si="159"/>
        <v>99542.106310969539</v>
      </c>
      <c r="Z35" s="733">
        <f t="shared" ref="Z35:AA35" si="160">Z28+Z34</f>
        <v>165535</v>
      </c>
      <c r="AA35" s="733">
        <f t="shared" si="160"/>
        <v>180801.96999999997</v>
      </c>
      <c r="AB35" s="733">
        <f t="shared" ref="AB35:AC35" si="161">AB28+AB34</f>
        <v>3200</v>
      </c>
      <c r="AC35" s="733">
        <f t="shared" si="161"/>
        <v>1157.26</v>
      </c>
      <c r="AD35" s="733">
        <f t="shared" ref="AD35:AL35" si="162">AD28+AD34</f>
        <v>0</v>
      </c>
      <c r="AE35" s="733">
        <f t="shared" ref="AE35:AF35" si="163">AE28+AE34</f>
        <v>0</v>
      </c>
      <c r="AF35" s="733">
        <f t="shared" si="163"/>
        <v>0</v>
      </c>
      <c r="AG35" s="733">
        <f t="shared" ref="AG35:AK35" si="164">AG28+AG34</f>
        <v>0</v>
      </c>
      <c r="AH35" s="733">
        <f t="shared" ref="AH35" si="165">AH28+AH34</f>
        <v>232.26491472559559</v>
      </c>
      <c r="AI35" s="733">
        <f t="shared" si="164"/>
        <v>500</v>
      </c>
      <c r="AJ35" s="733">
        <f t="shared" si="164"/>
        <v>349.4</v>
      </c>
      <c r="AK35" s="733">
        <f t="shared" si="164"/>
        <v>357.02435463534408</v>
      </c>
      <c r="AL35" s="733">
        <f t="shared" si="162"/>
        <v>1460</v>
      </c>
      <c r="AM35" s="1023">
        <f t="shared" ref="AM35:AO35" si="166">AM28+AM34</f>
        <v>1331.1299999999999</v>
      </c>
      <c r="AN35" s="984">
        <f t="shared" ref="AN35" si="167">AN28+AN34</f>
        <v>21824.125024885525</v>
      </c>
      <c r="AO35" s="783">
        <f t="shared" si="166"/>
        <v>30527</v>
      </c>
      <c r="AP35" s="784">
        <f t="shared" ref="AP35:AR35" si="168">AP28+AP34</f>
        <v>19523.099999999999</v>
      </c>
      <c r="AQ35" s="785">
        <f t="shared" ref="AQ35" si="169">AQ28+AQ34</f>
        <v>238.90105514632688</v>
      </c>
      <c r="AR35" s="786">
        <f t="shared" si="168"/>
        <v>1725</v>
      </c>
      <c r="AS35" s="985">
        <f t="shared" ref="AS35:AX35" si="170">AS28+AS34</f>
        <v>250</v>
      </c>
      <c r="AT35" s="937">
        <f t="shared" ref="AT35:AU35" si="171">AT28+AT34</f>
        <v>1072.9139292587429</v>
      </c>
      <c r="AU35" s="860">
        <f t="shared" si="171"/>
        <v>0</v>
      </c>
      <c r="AV35" s="860">
        <f t="shared" si="170"/>
        <v>0</v>
      </c>
      <c r="AW35" s="861">
        <f t="shared" si="170"/>
        <v>0</v>
      </c>
      <c r="AX35" s="938">
        <f t="shared" si="170"/>
        <v>0</v>
      </c>
      <c r="AY35" s="907">
        <f t="shared" ref="AY35:AZ35" si="172">AY28+AY34</f>
        <v>0</v>
      </c>
      <c r="AZ35" s="586">
        <f t="shared" si="172"/>
        <v>0</v>
      </c>
      <c r="BA35" s="147">
        <f>BA27+BA25+BA21+BA19+BA17+BA15+BA11+BA34+BA30</f>
        <v>3920110.8500895877</v>
      </c>
      <c r="BB35" s="135">
        <f>BB27+BB25+BB21+BB19+BB17+BB15+BB11+BB34+BB32</f>
        <v>5074649</v>
      </c>
      <c r="BC35" s="1269">
        <f>BC27+BC25+BC21+BC19+BC17+BC15+BC11+BC34+BC32</f>
        <v>5162360.45</v>
      </c>
      <c r="BD35" s="188"/>
      <c r="BE35" s="131">
        <f>BC35-5162360.45</f>
        <v>0</v>
      </c>
      <c r="BF35" s="1650"/>
      <c r="BG35" s="610"/>
      <c r="BH35" s="610"/>
      <c r="BI35" s="1655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</row>
    <row r="36" spans="1:148" s="36" customFormat="1" ht="15.75" thickBot="1" x14ac:dyDescent="0.3">
      <c r="A36" s="1911" t="s">
        <v>173</v>
      </c>
      <c r="B36" s="1912"/>
      <c r="C36" s="597"/>
      <c r="D36" s="597"/>
      <c r="E36" s="1166"/>
      <c r="F36" s="598"/>
      <c r="G36" s="598"/>
      <c r="H36" s="1166"/>
      <c r="I36" s="598"/>
      <c r="J36" s="598"/>
      <c r="K36" s="1166"/>
      <c r="L36" s="916"/>
      <c r="M36" s="597"/>
      <c r="N36" s="1166"/>
      <c r="O36" s="598"/>
      <c r="P36" s="598"/>
      <c r="Q36" s="1166"/>
      <c r="R36" s="598"/>
      <c r="S36" s="598"/>
      <c r="T36" s="1166"/>
      <c r="U36" s="1198"/>
      <c r="V36" s="916"/>
      <c r="W36" s="597"/>
      <c r="X36" s="1166"/>
      <c r="Y36" s="598"/>
      <c r="Z36" s="598"/>
      <c r="AA36" s="1166"/>
      <c r="AB36" s="598"/>
      <c r="AC36" s="1166"/>
      <c r="AD36" s="598"/>
      <c r="AE36" s="1166"/>
      <c r="AF36" s="598"/>
      <c r="AG36" s="1166"/>
      <c r="AH36" s="598"/>
      <c r="AI36" s="598"/>
      <c r="AJ36" s="1166"/>
      <c r="AK36" s="598"/>
      <c r="AL36" s="598"/>
      <c r="AM36" s="1198"/>
      <c r="AN36" s="916"/>
      <c r="AO36" s="597"/>
      <c r="AP36" s="1166"/>
      <c r="AQ36" s="598"/>
      <c r="AR36" s="599"/>
      <c r="AS36" s="1228"/>
      <c r="AT36" s="916"/>
      <c r="AU36" s="597"/>
      <c r="AV36" s="1242"/>
      <c r="AW36" s="1166"/>
      <c r="AX36" s="1228"/>
      <c r="AY36" s="916"/>
      <c r="AZ36" s="1256"/>
      <c r="BA36" s="49"/>
      <c r="BB36" s="142"/>
      <c r="BC36" s="1270"/>
      <c r="BD36" s="184" t="s">
        <v>173</v>
      </c>
      <c r="BE36" s="33"/>
      <c r="BF36" s="1652"/>
      <c r="BG36" s="610"/>
      <c r="BH36" s="610"/>
      <c r="BI36" s="1650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</row>
    <row r="37" spans="1:148" ht="15.75" customHeight="1" x14ac:dyDescent="0.25">
      <c r="A37" s="276">
        <v>311111</v>
      </c>
      <c r="B37" s="350" t="s">
        <v>15</v>
      </c>
      <c r="C37" s="646">
        <f>5100751.13/7.5345</f>
        <v>676986.0149976773</v>
      </c>
      <c r="D37" s="646"/>
      <c r="E37" s="1167">
        <f>57703.55+511.2+57813.18+516.82+58980.74+493.18-430.3+60226.01+660.44+61852.38+471.32+67615.25+657.89+295.3+72319.46+413.93+65405.87+65863.43+1151.17+181.68+132.64+75061.91+175.17+79567.68+216.79+83031.63+190.93+651.02+14.11</f>
        <v>811744.38000000024</v>
      </c>
      <c r="F37" s="648">
        <f>2055.04/7.5345</f>
        <v>272.75068020439312</v>
      </c>
      <c r="G37" s="648"/>
      <c r="H37" s="1167">
        <f>23.3+23.29+23.29+23.29+23.76+23.76+9.26</f>
        <v>149.94999999999999</v>
      </c>
      <c r="I37" s="647">
        <f>175751.73/7.5345</f>
        <v>23326.263189329085</v>
      </c>
      <c r="J37" s="647"/>
      <c r="K37" s="1181">
        <f>2449.76+2478.29+2483.85+2496.97+2554.38+2542.17+2804.84+2682.57+2677.75+1574.13+1650.42+1640.03+594.4</f>
        <v>28629.560000000005</v>
      </c>
      <c r="L37" s="1090">
        <f>35434.11/7.5345</f>
        <v>4702.9145928727849</v>
      </c>
      <c r="M37" s="391"/>
      <c r="N37" s="1189">
        <f>401.68+401.66+401.66+401.66+409.71+409.71+159.65</f>
        <v>2585.73</v>
      </c>
      <c r="O37" s="707">
        <f>995926.54/7.5345</f>
        <v>132182.1673634614</v>
      </c>
      <c r="P37" s="707"/>
      <c r="Q37" s="1189">
        <f>13881.95+14043.66+14075.14+14149.52+14474.85+14405.6+15894.09+15201.25+15173.95+8920.06+9352.35+9293.53+3368.26</f>
        <v>162234.21000000002</v>
      </c>
      <c r="R37" s="707"/>
      <c r="S37" s="707"/>
      <c r="T37" s="1189"/>
      <c r="U37" s="1199"/>
      <c r="V37" s="1034"/>
      <c r="W37" s="747"/>
      <c r="X37" s="1209"/>
      <c r="Y37" s="748">
        <f>2055.07/7.5345</f>
        <v>272.75466188864556</v>
      </c>
      <c r="Z37" s="748"/>
      <c r="AA37" s="1209">
        <f>23.31+23.3+23.3+23.3+23.76+23.76+9.26</f>
        <v>149.98999999999998</v>
      </c>
      <c r="AB37" s="748"/>
      <c r="AC37" s="1209"/>
      <c r="AD37" s="748"/>
      <c r="AE37" s="1209"/>
      <c r="AF37" s="748"/>
      <c r="AG37" s="1209"/>
      <c r="AH37" s="748"/>
      <c r="AI37" s="748"/>
      <c r="AJ37" s="1209"/>
      <c r="AK37" s="748"/>
      <c r="AL37" s="748"/>
      <c r="AM37" s="1217"/>
      <c r="AN37" s="997"/>
      <c r="AO37" s="810"/>
      <c r="AP37" s="1223"/>
      <c r="AQ37" s="811"/>
      <c r="AR37" s="812"/>
      <c r="AS37" s="1229"/>
      <c r="AT37" s="952">
        <f>(5233.36+923.54+593.1)/7.5345</f>
        <v>895.87895679872577</v>
      </c>
      <c r="AU37" s="874"/>
      <c r="AV37" s="1243"/>
      <c r="AW37" s="1244"/>
      <c r="AX37" s="1245"/>
      <c r="AY37" s="917"/>
      <c r="AZ37" s="1132"/>
      <c r="BA37" s="136">
        <f t="shared" ref="BA37:BA39" si="173">AQ37+AN37+AK37+AH37+AC37+Y37+V37+R37+O37+L37+I37+F37+C37+AT37</f>
        <v>838638.7444422323</v>
      </c>
      <c r="BB37" s="160"/>
      <c r="BC37" s="1271">
        <f>AS37+AP37+AM37+AJ37+AG37+AE37+AC37+AA37+X37+U37+T37+Q37+N37+K37+H37+E37+AV37+AW37+AX37</f>
        <v>1005493.8200000003</v>
      </c>
      <c r="BD37" s="351">
        <v>311111</v>
      </c>
      <c r="BE37" s="34"/>
      <c r="BF37" s="1650"/>
    </row>
    <row r="38" spans="1:148" x14ac:dyDescent="0.25">
      <c r="A38" s="45">
        <v>311131</v>
      </c>
      <c r="B38" s="30" t="s">
        <v>161</v>
      </c>
      <c r="C38" s="631">
        <f>101287.22/7.5345</f>
        <v>13443.12429491008</v>
      </c>
      <c r="D38" s="631"/>
      <c r="E38" s="654"/>
      <c r="F38" s="633"/>
      <c r="G38" s="633"/>
      <c r="H38" s="626"/>
      <c r="I38" s="632"/>
      <c r="J38" s="632"/>
      <c r="K38" s="1061"/>
      <c r="L38" s="1076"/>
      <c r="M38" s="378"/>
      <c r="N38" s="708"/>
      <c r="O38" s="699"/>
      <c r="P38" s="699"/>
      <c r="Q38" s="708"/>
      <c r="R38" s="704"/>
      <c r="S38" s="704"/>
      <c r="T38" s="701"/>
      <c r="U38" s="1106"/>
      <c r="V38" s="1027"/>
      <c r="W38" s="738"/>
      <c r="X38" s="735"/>
      <c r="Y38" s="739"/>
      <c r="Z38" s="739"/>
      <c r="AA38" s="735"/>
      <c r="AB38" s="739"/>
      <c r="AC38" s="735"/>
      <c r="AD38" s="739"/>
      <c r="AE38" s="735"/>
      <c r="AF38" s="739"/>
      <c r="AG38" s="735"/>
      <c r="AH38" s="739"/>
      <c r="AI38" s="739"/>
      <c r="AJ38" s="735"/>
      <c r="AK38" s="739"/>
      <c r="AL38" s="739"/>
      <c r="AM38" s="1025"/>
      <c r="AN38" s="989">
        <f>33.72/7.5345</f>
        <v>4.4754130997411901</v>
      </c>
      <c r="AO38" s="794"/>
      <c r="AP38" s="788"/>
      <c r="AQ38" s="795"/>
      <c r="AR38" s="796"/>
      <c r="AS38" s="999"/>
      <c r="AT38" s="942"/>
      <c r="AU38" s="865"/>
      <c r="AV38" s="862"/>
      <c r="AW38" s="863"/>
      <c r="AX38" s="940"/>
      <c r="AY38" s="910"/>
      <c r="AZ38" s="589"/>
      <c r="BA38" s="136">
        <f t="shared" si="173"/>
        <v>13447.59970800982</v>
      </c>
      <c r="BB38" s="143"/>
      <c r="BC38" s="1272">
        <f>AS38+AP38+AM38+AJ38+AG38+AE38+AC38+AA38+X38+U38+T38+Q38+N38+K38+H38+E38+AV38+AW38+AX38</f>
        <v>0</v>
      </c>
      <c r="BD38" s="186">
        <v>311131</v>
      </c>
      <c r="BE38" s="34"/>
      <c r="BF38" s="1650"/>
    </row>
    <row r="39" spans="1:148" ht="15.75" thickBot="1" x14ac:dyDescent="0.3">
      <c r="A39" s="46">
        <v>311311</v>
      </c>
      <c r="B39" s="29" t="s">
        <v>16</v>
      </c>
      <c r="C39" s="618">
        <f>188867.9/7.5345</f>
        <v>25067.078107372748</v>
      </c>
      <c r="D39" s="618"/>
      <c r="E39" s="657">
        <f>20805.38+5908.92+5075.37+4677.86</f>
        <v>36467.53</v>
      </c>
      <c r="F39" s="620"/>
      <c r="G39" s="620"/>
      <c r="H39" s="657"/>
      <c r="I39" s="619"/>
      <c r="J39" s="619"/>
      <c r="K39" s="1067">
        <f>19.49+14.18</f>
        <v>33.67</v>
      </c>
      <c r="L39" s="1077"/>
      <c r="M39" s="379"/>
      <c r="N39" s="709"/>
      <c r="O39" s="700"/>
      <c r="P39" s="700"/>
      <c r="Q39" s="709">
        <f>80.33+110.47</f>
        <v>190.8</v>
      </c>
      <c r="R39" s="700"/>
      <c r="S39" s="700"/>
      <c r="T39" s="709"/>
      <c r="U39" s="1096"/>
      <c r="V39" s="1021"/>
      <c r="W39" s="730"/>
      <c r="X39" s="752"/>
      <c r="Y39" s="731"/>
      <c r="Z39" s="731"/>
      <c r="AA39" s="752"/>
      <c r="AB39" s="731"/>
      <c r="AC39" s="752"/>
      <c r="AD39" s="731"/>
      <c r="AE39" s="752"/>
      <c r="AF39" s="731"/>
      <c r="AG39" s="752"/>
      <c r="AH39" s="731"/>
      <c r="AI39" s="731"/>
      <c r="AJ39" s="752"/>
      <c r="AK39" s="731"/>
      <c r="AL39" s="731"/>
      <c r="AM39" s="1038"/>
      <c r="AN39" s="983"/>
      <c r="AO39" s="780"/>
      <c r="AP39" s="818"/>
      <c r="AQ39" s="781"/>
      <c r="AR39" s="782"/>
      <c r="AS39" s="1001"/>
      <c r="AT39" s="936"/>
      <c r="AU39" s="859"/>
      <c r="AV39" s="877"/>
      <c r="AW39" s="878"/>
      <c r="AX39" s="956"/>
      <c r="AY39" s="906"/>
      <c r="AZ39" s="601"/>
      <c r="BA39" s="136">
        <f t="shared" si="173"/>
        <v>25067.078107372748</v>
      </c>
      <c r="BB39" s="144"/>
      <c r="BC39" s="1263">
        <f>AS39+AP39+AM39+AJ39+AG39+AE39+AC39+AA39+X39+U39+T39+Q39+N39+K39+H39+E39+AV39+AW39+AX39</f>
        <v>36692</v>
      </c>
      <c r="BD39" s="187">
        <v>311311</v>
      </c>
      <c r="BE39" s="34"/>
    </row>
    <row r="40" spans="1:148" s="2" customFormat="1" ht="15.75" thickBot="1" x14ac:dyDescent="0.3">
      <c r="A40" s="76">
        <v>311</v>
      </c>
      <c r="B40" s="81" t="s">
        <v>17</v>
      </c>
      <c r="C40" s="621">
        <f>SUM(C37:C39)</f>
        <v>715496.21739996015</v>
      </c>
      <c r="D40" s="621">
        <v>910000</v>
      </c>
      <c r="E40" s="622">
        <f>SUM(E37:E39)</f>
        <v>848211.91000000027</v>
      </c>
      <c r="F40" s="622">
        <f>SUM(F37:F39)</f>
        <v>272.75068020439312</v>
      </c>
      <c r="G40" s="623">
        <v>150</v>
      </c>
      <c r="H40" s="622">
        <f>SUM(H37:H39)</f>
        <v>149.94999999999999</v>
      </c>
      <c r="I40" s="622">
        <f>SUM(I37:I39)</f>
        <v>23326.263189329085</v>
      </c>
      <c r="J40" s="622">
        <v>28500</v>
      </c>
      <c r="K40" s="1060">
        <f>SUM(K37:K39)</f>
        <v>28663.230000000003</v>
      </c>
      <c r="L40" s="1078">
        <f>SUM(L37:L39)</f>
        <v>4702.9145928727849</v>
      </c>
      <c r="M40" s="381">
        <v>2586</v>
      </c>
      <c r="N40" s="382">
        <f>SUM(N37:N39)</f>
        <v>2585.73</v>
      </c>
      <c r="O40" s="382">
        <f>SUM(O37:O39)</f>
        <v>132182.1673634614</v>
      </c>
      <c r="P40" s="382">
        <v>161500</v>
      </c>
      <c r="Q40" s="382">
        <f>SUM(Q37:Q39)</f>
        <v>162425.01</v>
      </c>
      <c r="R40" s="382">
        <f>SUM(R37:R39)</f>
        <v>0</v>
      </c>
      <c r="S40" s="382">
        <f t="shared" ref="S40:AR40" si="174">SUM(S37:S39)</f>
        <v>0</v>
      </c>
      <c r="T40" s="382">
        <f>SUM(T37:T39)</f>
        <v>0</v>
      </c>
      <c r="U40" s="1079">
        <f t="shared" si="174"/>
        <v>0</v>
      </c>
      <c r="V40" s="1022">
        <f t="shared" ref="V40" si="175">SUM(V37:V39)</f>
        <v>0</v>
      </c>
      <c r="W40" s="732">
        <f t="shared" si="174"/>
        <v>0</v>
      </c>
      <c r="X40" s="733">
        <f>SUM(X37:X39)</f>
        <v>0</v>
      </c>
      <c r="Y40" s="733">
        <f>SUM(Y37:Y39)</f>
        <v>272.75466188864556</v>
      </c>
      <c r="Z40" s="733">
        <v>150</v>
      </c>
      <c r="AA40" s="733">
        <f>SUM(AA37:AA39)</f>
        <v>149.98999999999998</v>
      </c>
      <c r="AB40" s="733">
        <f t="shared" ref="AB40" si="176">SUM(AB37:AB39)</f>
        <v>0</v>
      </c>
      <c r="AC40" s="733">
        <f>SUM(AC37:AC39)</f>
        <v>0</v>
      </c>
      <c r="AD40" s="733">
        <f t="shared" si="174"/>
        <v>0</v>
      </c>
      <c r="AE40" s="733">
        <f>SUM(AE37:AE39)</f>
        <v>0</v>
      </c>
      <c r="AF40" s="733">
        <f t="shared" ref="AF40" si="177">SUM(AF37:AF39)</f>
        <v>0</v>
      </c>
      <c r="AG40" s="733">
        <f>SUM(AG37:AG39)</f>
        <v>0</v>
      </c>
      <c r="AH40" s="733">
        <f t="shared" ref="AH40:AI40" si="178">SUM(AH37:AH39)</f>
        <v>0</v>
      </c>
      <c r="AI40" s="733">
        <f t="shared" si="178"/>
        <v>0</v>
      </c>
      <c r="AJ40" s="733">
        <f>SUM(AJ37:AJ39)</f>
        <v>0</v>
      </c>
      <c r="AK40" s="733">
        <f t="shared" ref="AK40" si="179">SUM(AK37:AK39)</f>
        <v>0</v>
      </c>
      <c r="AL40" s="733">
        <f t="shared" si="174"/>
        <v>0</v>
      </c>
      <c r="AM40" s="1023">
        <f>SUM(AM37:AM39)</f>
        <v>0</v>
      </c>
      <c r="AN40" s="984">
        <f>SUM(AN37:AN39)</f>
        <v>4.4754130997411901</v>
      </c>
      <c r="AO40" s="783">
        <v>664</v>
      </c>
      <c r="AP40" s="784">
        <f>SUM(AP37:AP39)</f>
        <v>0</v>
      </c>
      <c r="AQ40" s="785">
        <f t="shared" ref="AQ40" si="180">SUM(AQ37:AQ39)</f>
        <v>0</v>
      </c>
      <c r="AR40" s="786">
        <f t="shared" si="174"/>
        <v>0</v>
      </c>
      <c r="AS40" s="985">
        <f>SUM(AS37:AS39)</f>
        <v>0</v>
      </c>
      <c r="AT40" s="937">
        <f>SUM(AT37:AT39)</f>
        <v>895.87895679872577</v>
      </c>
      <c r="AU40" s="860">
        <v>0</v>
      </c>
      <c r="AV40" s="860">
        <f>SUM(AV37:AV39)</f>
        <v>0</v>
      </c>
      <c r="AW40" s="861">
        <f>SUM(AW37:AW39)</f>
        <v>0</v>
      </c>
      <c r="AX40" s="938">
        <f t="shared" ref="AX40:AZ40" si="181">SUM(AX37:AX39)</f>
        <v>0</v>
      </c>
      <c r="AY40" s="907">
        <f>SUM(AY37:AY39)</f>
        <v>0</v>
      </c>
      <c r="AZ40" s="586">
        <f t="shared" si="181"/>
        <v>0</v>
      </c>
      <c r="BA40" s="147">
        <f>SUM(BA37:BA39)</f>
        <v>877153.4222576149</v>
      </c>
      <c r="BB40" s="155">
        <f>AR40+AO40+AL40+AI40+AF40+AB40+AD40+Z40+W40+S40+P40+M40+J40+G40+D40+AU40</f>
        <v>1103550</v>
      </c>
      <c r="BC40" s="1265">
        <f>SUM(BC37:BC39)</f>
        <v>1042185.8200000003</v>
      </c>
      <c r="BD40" s="188">
        <v>311</v>
      </c>
      <c r="BE40" s="131"/>
      <c r="BF40" s="610"/>
      <c r="BG40" s="610"/>
      <c r="BH40" s="610"/>
      <c r="BI40" s="1655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</row>
    <row r="41" spans="1:148" x14ac:dyDescent="0.25">
      <c r="A41" s="74">
        <v>312121</v>
      </c>
      <c r="B41" s="85" t="s">
        <v>18</v>
      </c>
      <c r="C41" s="631">
        <f>146086.6/7.5345</f>
        <v>19389.023823744112</v>
      </c>
      <c r="D41" s="631"/>
      <c r="E41" s="626">
        <v>23959.72</v>
      </c>
      <c r="F41" s="633"/>
      <c r="G41" s="633"/>
      <c r="H41" s="626"/>
      <c r="I41" s="632">
        <f>2426.66/7.5345</f>
        <v>322.0731302674364</v>
      </c>
      <c r="J41" s="632"/>
      <c r="K41" s="1061"/>
      <c r="L41" s="1083"/>
      <c r="M41" s="385"/>
      <c r="N41" s="701"/>
      <c r="O41" s="704">
        <f>13751.09/7.5345</f>
        <v>1825.08328356228</v>
      </c>
      <c r="P41" s="704"/>
      <c r="Q41" s="701"/>
      <c r="R41" s="704"/>
      <c r="S41" s="704"/>
      <c r="T41" s="701"/>
      <c r="U41" s="1106"/>
      <c r="V41" s="1027"/>
      <c r="W41" s="738"/>
      <c r="X41" s="735"/>
      <c r="Y41" s="739"/>
      <c r="Z41" s="739"/>
      <c r="AA41" s="735"/>
      <c r="AB41" s="739"/>
      <c r="AC41" s="735"/>
      <c r="AD41" s="739"/>
      <c r="AE41" s="735"/>
      <c r="AF41" s="739"/>
      <c r="AG41" s="735"/>
      <c r="AH41" s="739"/>
      <c r="AI41" s="739"/>
      <c r="AJ41" s="735"/>
      <c r="AK41" s="739"/>
      <c r="AL41" s="739"/>
      <c r="AM41" s="1025"/>
      <c r="AN41" s="989"/>
      <c r="AO41" s="794"/>
      <c r="AP41" s="788"/>
      <c r="AQ41" s="795"/>
      <c r="AR41" s="796"/>
      <c r="AS41" s="987"/>
      <c r="AT41" s="942"/>
      <c r="AU41" s="865"/>
      <c r="AV41" s="862"/>
      <c r="AW41" s="863"/>
      <c r="AX41" s="940"/>
      <c r="AY41" s="910"/>
      <c r="AZ41" s="589"/>
      <c r="BA41" s="136">
        <f>AQ41+AN41+AK41+AH41+Y41+V41+R41+O41+L41+I41+F41+C41+AT41</f>
        <v>21536.180237573826</v>
      </c>
      <c r="BB41" s="143"/>
      <c r="BC41" s="1263">
        <f>AS41+AP41+AM41+AJ41+AG41+AE41+AC41+AA41+X41+U41+T41+Q41+N41+K41+H41+E41</f>
        <v>23959.72</v>
      </c>
      <c r="BD41" s="185">
        <v>312121</v>
      </c>
      <c r="BE41" s="34"/>
    </row>
    <row r="42" spans="1:148" s="6" customFormat="1" x14ac:dyDescent="0.25">
      <c r="A42" s="45">
        <v>312131</v>
      </c>
      <c r="B42" s="30" t="s">
        <v>19</v>
      </c>
      <c r="C42" s="615">
        <f>39179.7/7.5345</f>
        <v>5200.0398168425236</v>
      </c>
      <c r="D42" s="615"/>
      <c r="E42" s="654">
        <v>4000</v>
      </c>
      <c r="F42" s="617"/>
      <c r="G42" s="617"/>
      <c r="H42" s="654"/>
      <c r="I42" s="616"/>
      <c r="J42" s="616"/>
      <c r="K42" s="1066"/>
      <c r="L42" s="1076"/>
      <c r="M42" s="378"/>
      <c r="N42" s="708"/>
      <c r="O42" s="708"/>
      <c r="P42" s="708"/>
      <c r="Q42" s="708"/>
      <c r="R42" s="699"/>
      <c r="S42" s="699"/>
      <c r="T42" s="708"/>
      <c r="U42" s="1094"/>
      <c r="V42" s="1035"/>
      <c r="W42" s="749"/>
      <c r="X42" s="750"/>
      <c r="Y42" s="750"/>
      <c r="Z42" s="750"/>
      <c r="AA42" s="750"/>
      <c r="AB42" s="750"/>
      <c r="AC42" s="750"/>
      <c r="AD42" s="750"/>
      <c r="AE42" s="750"/>
      <c r="AF42" s="750"/>
      <c r="AG42" s="750"/>
      <c r="AH42" s="729"/>
      <c r="AI42" s="729"/>
      <c r="AJ42" s="750"/>
      <c r="AK42" s="729"/>
      <c r="AL42" s="729"/>
      <c r="AM42" s="1036"/>
      <c r="AN42" s="982"/>
      <c r="AO42" s="777"/>
      <c r="AP42" s="814"/>
      <c r="AQ42" s="778"/>
      <c r="AR42" s="779"/>
      <c r="AS42" s="999"/>
      <c r="AT42" s="935"/>
      <c r="AU42" s="858"/>
      <c r="AV42" s="875"/>
      <c r="AW42" s="876"/>
      <c r="AX42" s="954"/>
      <c r="AY42" s="905"/>
      <c r="AZ42" s="600"/>
      <c r="BA42" s="136">
        <f t="shared" ref="BA42:BA49" si="182">AQ42+AN42+AK42+AH42+Y42+V42+R42+O42+L42+I42+F42+C42+AT42</f>
        <v>5200.0398168425236</v>
      </c>
      <c r="BB42" s="139"/>
      <c r="BC42" s="1263">
        <f>AS42+AP42+AM42+AJ42+AG42+AE42+AC42+AA42+X42+U42+T42+Q42+N42+K42+H42+E42</f>
        <v>4000</v>
      </c>
      <c r="BD42" s="186">
        <v>312131</v>
      </c>
      <c r="BE42" s="34"/>
      <c r="BF42" s="1650"/>
      <c r="BG42" s="610"/>
      <c r="BH42" s="610"/>
      <c r="BI42" s="1656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</row>
    <row r="43" spans="1:148" x14ac:dyDescent="0.25">
      <c r="A43" s="45">
        <v>312141</v>
      </c>
      <c r="B43" s="30" t="s">
        <v>20</v>
      </c>
      <c r="C43" s="615"/>
      <c r="D43" s="615"/>
      <c r="E43" s="654"/>
      <c r="F43" s="617"/>
      <c r="G43" s="617"/>
      <c r="H43" s="654"/>
      <c r="I43" s="616"/>
      <c r="J43" s="616"/>
      <c r="K43" s="1066"/>
      <c r="L43" s="1076"/>
      <c r="M43" s="378"/>
      <c r="N43" s="708"/>
      <c r="O43" s="699"/>
      <c r="P43" s="699"/>
      <c r="Q43" s="708"/>
      <c r="R43" s="699"/>
      <c r="S43" s="699"/>
      <c r="T43" s="708"/>
      <c r="U43" s="1094"/>
      <c r="V43" s="1020"/>
      <c r="W43" s="728"/>
      <c r="X43" s="750"/>
      <c r="Y43" s="729"/>
      <c r="Z43" s="729"/>
      <c r="AA43" s="750"/>
      <c r="AB43" s="729"/>
      <c r="AC43" s="750"/>
      <c r="AD43" s="729"/>
      <c r="AE43" s="750"/>
      <c r="AF43" s="729"/>
      <c r="AG43" s="750"/>
      <c r="AH43" s="729"/>
      <c r="AI43" s="729"/>
      <c r="AJ43" s="750"/>
      <c r="AK43" s="729"/>
      <c r="AL43" s="729"/>
      <c r="AM43" s="1036"/>
      <c r="AN43" s="982"/>
      <c r="AO43" s="777"/>
      <c r="AP43" s="814"/>
      <c r="AQ43" s="778"/>
      <c r="AR43" s="779"/>
      <c r="AS43" s="999"/>
      <c r="AT43" s="935"/>
      <c r="AU43" s="858"/>
      <c r="AV43" s="875"/>
      <c r="AW43" s="876"/>
      <c r="AX43" s="954"/>
      <c r="AY43" s="905"/>
      <c r="AZ43" s="600"/>
      <c r="BA43" s="136">
        <f t="shared" si="182"/>
        <v>0</v>
      </c>
      <c r="BB43" s="139"/>
      <c r="BC43" s="1263">
        <f>AS43+AP43+AM43+AJ43+AG43+AE43+AC43+AA43+X43+U43+T43+Q43+N43+K43+H43+E43</f>
        <v>0</v>
      </c>
      <c r="BD43" s="186">
        <v>312141</v>
      </c>
      <c r="BE43" s="34"/>
    </row>
    <row r="44" spans="1:148" s="6" customFormat="1" x14ac:dyDescent="0.25">
      <c r="A44" s="45">
        <v>312151</v>
      </c>
      <c r="B44" s="30" t="s">
        <v>21</v>
      </c>
      <c r="C44" s="615">
        <f>26737.46/7.5345</f>
        <v>3548.6707810737271</v>
      </c>
      <c r="D44" s="615"/>
      <c r="E44" s="654">
        <v>1445.34</v>
      </c>
      <c r="F44" s="617"/>
      <c r="G44" s="617"/>
      <c r="H44" s="654"/>
      <c r="I44" s="616"/>
      <c r="J44" s="616"/>
      <c r="K44" s="1066"/>
      <c r="L44" s="1076"/>
      <c r="M44" s="378"/>
      <c r="N44" s="708"/>
      <c r="O44" s="708"/>
      <c r="P44" s="708"/>
      <c r="Q44" s="708"/>
      <c r="R44" s="699"/>
      <c r="S44" s="699"/>
      <c r="T44" s="708"/>
      <c r="U44" s="1094"/>
      <c r="V44" s="1035"/>
      <c r="W44" s="749"/>
      <c r="X44" s="750"/>
      <c r="Y44" s="750"/>
      <c r="Z44" s="750"/>
      <c r="AA44" s="750"/>
      <c r="AB44" s="750"/>
      <c r="AC44" s="750"/>
      <c r="AD44" s="750"/>
      <c r="AE44" s="750"/>
      <c r="AF44" s="750"/>
      <c r="AG44" s="750"/>
      <c r="AH44" s="750"/>
      <c r="AI44" s="750"/>
      <c r="AJ44" s="750"/>
      <c r="AK44" s="750"/>
      <c r="AL44" s="750"/>
      <c r="AM44" s="1036"/>
      <c r="AN44" s="998"/>
      <c r="AO44" s="813"/>
      <c r="AP44" s="814"/>
      <c r="AQ44" s="815"/>
      <c r="AR44" s="816"/>
      <c r="AS44" s="999"/>
      <c r="AT44" s="953"/>
      <c r="AU44" s="875"/>
      <c r="AV44" s="875"/>
      <c r="AW44" s="876"/>
      <c r="AX44" s="954"/>
      <c r="AY44" s="918"/>
      <c r="AZ44" s="600"/>
      <c r="BA44" s="136">
        <f t="shared" si="182"/>
        <v>3548.6707810737271</v>
      </c>
      <c r="BB44" s="140"/>
      <c r="BC44" s="1263">
        <f>AS44+AP44+AM44+AJ44+AG44+AE44+AC44+AA44+X44+U44+T44+Q44+N44+K44+H44+E44</f>
        <v>1445.34</v>
      </c>
      <c r="BD44" s="186">
        <v>312151</v>
      </c>
      <c r="BE44" s="34"/>
      <c r="BF44" s="1651"/>
      <c r="BG44" s="610"/>
      <c r="BH44" s="610"/>
      <c r="BI44" s="1656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</row>
    <row r="45" spans="1:148" s="6" customFormat="1" ht="15.75" thickBot="1" x14ac:dyDescent="0.3">
      <c r="A45" s="46">
        <v>312161</v>
      </c>
      <c r="B45" s="29" t="s">
        <v>22</v>
      </c>
      <c r="C45" s="618">
        <f>80931.91/7.5345</f>
        <v>10741.510385559759</v>
      </c>
      <c r="D45" s="618"/>
      <c r="E45" s="657">
        <f>15069.67+398.18+499.09</f>
        <v>15966.94</v>
      </c>
      <c r="F45" s="620"/>
      <c r="G45" s="620"/>
      <c r="H45" s="657"/>
      <c r="I45" s="619">
        <f>1585.21/7.5345</f>
        <v>210.39352312694936</v>
      </c>
      <c r="J45" s="619"/>
      <c r="K45" s="1067">
        <v>394.33</v>
      </c>
      <c r="L45" s="1077"/>
      <c r="M45" s="379"/>
      <c r="N45" s="709"/>
      <c r="O45" s="709">
        <f>8982.88/7.5345</f>
        <v>1192.2330612515759</v>
      </c>
      <c r="P45" s="709"/>
      <c r="Q45" s="709">
        <v>2234.54</v>
      </c>
      <c r="R45" s="700"/>
      <c r="S45" s="700"/>
      <c r="T45" s="709"/>
      <c r="U45" s="1096"/>
      <c r="V45" s="1037"/>
      <c r="W45" s="751"/>
      <c r="X45" s="752"/>
      <c r="Y45" s="752"/>
      <c r="Z45" s="752"/>
      <c r="AA45" s="752"/>
      <c r="AB45" s="752"/>
      <c r="AC45" s="752"/>
      <c r="AD45" s="752"/>
      <c r="AE45" s="752"/>
      <c r="AF45" s="752"/>
      <c r="AG45" s="752"/>
      <c r="AH45" s="752"/>
      <c r="AI45" s="752"/>
      <c r="AJ45" s="752"/>
      <c r="AK45" s="752"/>
      <c r="AL45" s="752"/>
      <c r="AM45" s="1038"/>
      <c r="AN45" s="1000"/>
      <c r="AO45" s="817"/>
      <c r="AP45" s="818"/>
      <c r="AQ45" s="819"/>
      <c r="AR45" s="820"/>
      <c r="AS45" s="1001"/>
      <c r="AT45" s="955"/>
      <c r="AU45" s="877"/>
      <c r="AV45" s="877"/>
      <c r="AW45" s="878"/>
      <c r="AX45" s="956"/>
      <c r="AY45" s="919"/>
      <c r="AZ45" s="601"/>
      <c r="BA45" s="136">
        <f t="shared" si="182"/>
        <v>12144.136969938285</v>
      </c>
      <c r="BB45" s="141"/>
      <c r="BC45" s="1263">
        <f>AS45+AP45+AM45+AJ45+AG45+AE45+AC45+AA45+X45+U45+T45+Q45+N45+K45+H45+E45</f>
        <v>18595.810000000001</v>
      </c>
      <c r="BD45" s="187">
        <v>312161</v>
      </c>
      <c r="BE45" s="34"/>
      <c r="BF45" s="610"/>
      <c r="BG45" s="610"/>
      <c r="BH45" s="610"/>
      <c r="BI45" s="1656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</row>
    <row r="46" spans="1:148" ht="15.75" thickBot="1" x14ac:dyDescent="0.3">
      <c r="A46" s="76">
        <v>312</v>
      </c>
      <c r="B46" s="81" t="s">
        <v>23</v>
      </c>
      <c r="C46" s="621">
        <f>SUM(C41:C45)</f>
        <v>38879.244807220122</v>
      </c>
      <c r="D46" s="621">
        <v>50000</v>
      </c>
      <c r="E46" s="622">
        <f>SUM(E41:E45)</f>
        <v>45372</v>
      </c>
      <c r="F46" s="621">
        <f>SUM(F41:F45)</f>
        <v>0</v>
      </c>
      <c r="G46" s="623">
        <f>SUM(G41:G45)</f>
        <v>0</v>
      </c>
      <c r="H46" s="622">
        <f>SUM(H41:H45)</f>
        <v>0</v>
      </c>
      <c r="I46" s="621">
        <f>SUM(I41:I45)</f>
        <v>532.46665339438573</v>
      </c>
      <c r="J46" s="622">
        <v>525</v>
      </c>
      <c r="K46" s="1060">
        <f>SUM(K41:K45)</f>
        <v>394.33</v>
      </c>
      <c r="L46" s="1078">
        <f>SUM(L41:L45)</f>
        <v>0</v>
      </c>
      <c r="M46" s="381">
        <f t="shared" ref="M46" si="183">SUM(M41:M45)</f>
        <v>0</v>
      </c>
      <c r="N46" s="382">
        <f>SUM(N41:N45)</f>
        <v>0</v>
      </c>
      <c r="O46" s="382">
        <f>SUM(O41:O45)</f>
        <v>3017.3163448138557</v>
      </c>
      <c r="P46" s="382">
        <v>2975</v>
      </c>
      <c r="Q46" s="382">
        <f>SUM(Q41:Q45)</f>
        <v>2234.54</v>
      </c>
      <c r="R46" s="382">
        <f>SUM(R41:R45)</f>
        <v>0</v>
      </c>
      <c r="S46" s="382">
        <f>SUM(S41:S45)</f>
        <v>0</v>
      </c>
      <c r="T46" s="382">
        <f>SUM(T41:T45)</f>
        <v>0</v>
      </c>
      <c r="U46" s="1079">
        <f>SUM(U41:U45)</f>
        <v>0</v>
      </c>
      <c r="V46" s="1022">
        <f t="shared" ref="V46" si="184">SUM(V41:V45)</f>
        <v>0</v>
      </c>
      <c r="W46" s="732">
        <f t="shared" ref="W46:AB46" si="185">SUM(W41:W45)</f>
        <v>0</v>
      </c>
      <c r="X46" s="733">
        <f>SUM(X41:X45)</f>
        <v>0</v>
      </c>
      <c r="Y46" s="733">
        <f>SUM(Y41:Y45)</f>
        <v>0</v>
      </c>
      <c r="Z46" s="733">
        <f t="shared" si="185"/>
        <v>0</v>
      </c>
      <c r="AA46" s="733">
        <f>SUM(AA41:AA45)</f>
        <v>0</v>
      </c>
      <c r="AB46" s="733">
        <f t="shared" si="185"/>
        <v>0</v>
      </c>
      <c r="AC46" s="733">
        <f>SUM(AC41:AC45)</f>
        <v>0</v>
      </c>
      <c r="AD46" s="733">
        <f t="shared" ref="AD46:AL46" si="186">SUM(AD41:AD45)</f>
        <v>0</v>
      </c>
      <c r="AE46" s="733">
        <f>SUM(AE41:AE45)</f>
        <v>0</v>
      </c>
      <c r="AF46" s="733">
        <f t="shared" ref="AF46" si="187">SUM(AF41:AF45)</f>
        <v>0</v>
      </c>
      <c r="AG46" s="733">
        <f>SUM(AG41:AG45)</f>
        <v>0</v>
      </c>
      <c r="AH46" s="733">
        <f t="shared" ref="AH46:AI46" si="188">SUM(AH41:AH45)</f>
        <v>0</v>
      </c>
      <c r="AI46" s="733">
        <f t="shared" si="188"/>
        <v>0</v>
      </c>
      <c r="AJ46" s="733">
        <f>SUM(AJ41:AJ45)</f>
        <v>0</v>
      </c>
      <c r="AK46" s="733">
        <f t="shared" ref="AK46" si="189">SUM(AK41:AK45)</f>
        <v>0</v>
      </c>
      <c r="AL46" s="733">
        <f t="shared" si="186"/>
        <v>0</v>
      </c>
      <c r="AM46" s="1023">
        <f>SUM(AM41:AM45)</f>
        <v>0</v>
      </c>
      <c r="AN46" s="984">
        <f t="shared" ref="AN46:AO46" si="190">SUM(AN41:AN45)</f>
        <v>0</v>
      </c>
      <c r="AO46" s="783">
        <f t="shared" si="190"/>
        <v>0</v>
      </c>
      <c r="AP46" s="784">
        <f>SUM(AP41:AP45)</f>
        <v>0</v>
      </c>
      <c r="AQ46" s="785">
        <f t="shared" ref="AQ46:AR46" si="191">SUM(AQ41:AQ45)</f>
        <v>0</v>
      </c>
      <c r="AR46" s="786">
        <f t="shared" si="191"/>
        <v>0</v>
      </c>
      <c r="AS46" s="985">
        <f>SUM(AS41:AS45)</f>
        <v>0</v>
      </c>
      <c r="AT46" s="937">
        <f t="shared" ref="AT46:AV46" si="192">SUM(AT41:AT45)</f>
        <v>0</v>
      </c>
      <c r="AU46" s="860">
        <v>0</v>
      </c>
      <c r="AV46" s="860">
        <f t="shared" si="192"/>
        <v>0</v>
      </c>
      <c r="AW46" s="861">
        <f>SUM(AW41:AW45)</f>
        <v>0</v>
      </c>
      <c r="AX46" s="938">
        <f t="shared" ref="AX46:AZ46" si="193">SUM(AX41:AX45)</f>
        <v>0</v>
      </c>
      <c r="AY46" s="907">
        <f>SUM(AY41:AY45)</f>
        <v>0</v>
      </c>
      <c r="AZ46" s="586">
        <f t="shared" si="193"/>
        <v>0</v>
      </c>
      <c r="BA46" s="147">
        <f>SUM(BA41:BA45)</f>
        <v>42429.027805428363</v>
      </c>
      <c r="BB46" s="155">
        <f>AR46+AO46+AL46+AI46+AF46+AB46+AD46+Z46+W46+S46+P46+M46+J46+G46+D46+AU46</f>
        <v>53500</v>
      </c>
      <c r="BC46" s="1265">
        <f>SUM(BC41:BC45)</f>
        <v>48000.87</v>
      </c>
      <c r="BD46" s="188">
        <v>312</v>
      </c>
      <c r="BE46" s="131"/>
      <c r="BF46" s="1651"/>
    </row>
    <row r="47" spans="1:148" s="6" customFormat="1" x14ac:dyDescent="0.25">
      <c r="A47" s="74">
        <v>313211</v>
      </c>
      <c r="B47" s="85" t="s">
        <v>24</v>
      </c>
      <c r="C47" s="631">
        <f>862540.5/7.5345</f>
        <v>114478.79753135575</v>
      </c>
      <c r="D47" s="631"/>
      <c r="E47" s="626">
        <f>9428.65+9655.88+10371.22-71+10242.6+10178.5+11374.51+48.72+12084.57+10422.38+10733.74+29.98+21.89+12980.81+13587.54+14075.14+107.42</f>
        <v>135272.55000000002</v>
      </c>
      <c r="F47" s="633">
        <f>339.09/7.5345</f>
        <v>45.00497710531554</v>
      </c>
      <c r="G47" s="633"/>
      <c r="H47" s="626">
        <f>3.84+3.84+3.84+3.84+3.92+3.92+1.53</f>
        <v>24.730000000000004</v>
      </c>
      <c r="I47" s="632">
        <f>28835.97/7.5345</f>
        <v>3827.1909217599045</v>
      </c>
      <c r="J47" s="632"/>
      <c r="K47" s="1061">
        <f>401.88+406.59+407.51+409.86+419.08+417.06+460.25+440.07+439.28+259.73+275.54+272.94+98.08</f>
        <v>4707.87</v>
      </c>
      <c r="L47" s="1083">
        <f>5846.64/7.5345</f>
        <v>775.98248058928925</v>
      </c>
      <c r="M47" s="385"/>
      <c r="N47" s="701">
        <f>66.28+66.27+66.27+66.27+67.6+67.6+26.34</f>
        <v>426.62999999999994</v>
      </c>
      <c r="O47" s="704">
        <f>163403.66/7.5345</f>
        <v>21687.392660428693</v>
      </c>
      <c r="P47" s="704"/>
      <c r="Q47" s="701">
        <f>2277.32+2303.98+2309.2+2322.52+2374.8+2363.35+2608.06+2493.75+2489.25+1471.8+1561.37+1546.69+555.76</f>
        <v>26677.849999999995</v>
      </c>
      <c r="R47" s="704"/>
      <c r="S47" s="704"/>
      <c r="T47" s="701"/>
      <c r="U47" s="1106"/>
      <c r="V47" s="1027"/>
      <c r="W47" s="738"/>
      <c r="X47" s="735"/>
      <c r="Y47" s="739">
        <f>339.09/7.5345</f>
        <v>45.00497710531554</v>
      </c>
      <c r="Z47" s="739"/>
      <c r="AA47" s="735">
        <f>3.84+3.84+3.85+3.85+3.92+3.92+1.53</f>
        <v>24.75</v>
      </c>
      <c r="AB47" s="739"/>
      <c r="AC47" s="735"/>
      <c r="AD47" s="739"/>
      <c r="AE47" s="735"/>
      <c r="AF47" s="739"/>
      <c r="AG47" s="735"/>
      <c r="AH47" s="739"/>
      <c r="AI47" s="739"/>
      <c r="AJ47" s="735"/>
      <c r="AK47" s="739"/>
      <c r="AL47" s="739"/>
      <c r="AM47" s="1025"/>
      <c r="AN47" s="989"/>
      <c r="AO47" s="794"/>
      <c r="AP47" s="788"/>
      <c r="AQ47" s="795"/>
      <c r="AR47" s="796"/>
      <c r="AS47" s="987"/>
      <c r="AT47" s="942">
        <f>(863.51+152.38+97.87)/7.5345</f>
        <v>147.8213550998739</v>
      </c>
      <c r="AU47" s="865"/>
      <c r="AV47" s="862"/>
      <c r="AW47" s="863"/>
      <c r="AX47" s="940"/>
      <c r="AY47" s="910"/>
      <c r="AZ47" s="589"/>
      <c r="BA47" s="136">
        <f t="shared" si="182"/>
        <v>141007.19490344415</v>
      </c>
      <c r="BB47" s="143"/>
      <c r="BC47" s="1263">
        <f>AS47+AP47+AM47+AJ47+AG47+AE47+AC47+AA47+X47+U47+T47+Q47+N47+K47+H47+E47+AV47+AW47+AX47</f>
        <v>167134.38</v>
      </c>
      <c r="BD47" s="185">
        <v>313211</v>
      </c>
      <c r="BE47" s="34"/>
      <c r="BF47" s="1651"/>
      <c r="BG47" s="610"/>
      <c r="BH47" s="610"/>
      <c r="BI47" s="1656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</row>
    <row r="48" spans="1:148" x14ac:dyDescent="0.25">
      <c r="A48" s="45">
        <v>313221</v>
      </c>
      <c r="B48" s="30" t="s">
        <v>162</v>
      </c>
      <c r="C48" s="615">
        <f>470.96/7.5345</f>
        <v>62.507133850952279</v>
      </c>
      <c r="D48" s="615"/>
      <c r="E48" s="654"/>
      <c r="F48" s="617"/>
      <c r="G48" s="617"/>
      <c r="H48" s="654"/>
      <c r="I48" s="616"/>
      <c r="J48" s="616"/>
      <c r="K48" s="1066"/>
      <c r="L48" s="1076"/>
      <c r="M48" s="378"/>
      <c r="N48" s="708"/>
      <c r="O48" s="699"/>
      <c r="P48" s="699"/>
      <c r="Q48" s="708"/>
      <c r="R48" s="699"/>
      <c r="S48" s="699"/>
      <c r="T48" s="708"/>
      <c r="U48" s="1094"/>
      <c r="V48" s="1020"/>
      <c r="W48" s="728"/>
      <c r="X48" s="750"/>
      <c r="Y48" s="729"/>
      <c r="Z48" s="729"/>
      <c r="AA48" s="750"/>
      <c r="AB48" s="729"/>
      <c r="AC48" s="750"/>
      <c r="AD48" s="729"/>
      <c r="AE48" s="750"/>
      <c r="AF48" s="729"/>
      <c r="AG48" s="750"/>
      <c r="AH48" s="729"/>
      <c r="AI48" s="729"/>
      <c r="AJ48" s="750"/>
      <c r="AK48" s="729"/>
      <c r="AL48" s="729"/>
      <c r="AM48" s="1036"/>
      <c r="AN48" s="982"/>
      <c r="AO48" s="777"/>
      <c r="AP48" s="814"/>
      <c r="AQ48" s="778"/>
      <c r="AR48" s="779"/>
      <c r="AS48" s="999"/>
      <c r="AT48" s="935"/>
      <c r="AU48" s="858"/>
      <c r="AV48" s="875"/>
      <c r="AW48" s="876"/>
      <c r="AX48" s="954"/>
      <c r="AY48" s="905"/>
      <c r="AZ48" s="600"/>
      <c r="BA48" s="136">
        <f t="shared" si="182"/>
        <v>62.507133850952279</v>
      </c>
      <c r="BB48" s="139"/>
      <c r="BC48" s="1263">
        <f>AS48+AP48+AM48+AJ48+AG48+AE48+AC48+AA48+X48+U48+T48+Q48+N48+K48+H48+E48</f>
        <v>0</v>
      </c>
      <c r="BD48" s="186">
        <v>313221</v>
      </c>
      <c r="BE48" s="34"/>
    </row>
    <row r="49" spans="1:148" ht="15.75" thickBot="1" x14ac:dyDescent="0.3">
      <c r="A49" s="46">
        <v>313321</v>
      </c>
      <c r="B49" s="29" t="s">
        <v>163</v>
      </c>
      <c r="C49" s="618">
        <f>1757.25/7.5345</f>
        <v>233.22715508660161</v>
      </c>
      <c r="D49" s="618"/>
      <c r="E49" s="657"/>
      <c r="F49" s="620"/>
      <c r="G49" s="620"/>
      <c r="H49" s="657"/>
      <c r="I49" s="619"/>
      <c r="J49" s="619"/>
      <c r="K49" s="1067"/>
      <c r="L49" s="1077"/>
      <c r="M49" s="379"/>
      <c r="N49" s="709"/>
      <c r="O49" s="700"/>
      <c r="P49" s="700"/>
      <c r="Q49" s="709"/>
      <c r="R49" s="700"/>
      <c r="S49" s="700"/>
      <c r="T49" s="709"/>
      <c r="U49" s="1096"/>
      <c r="V49" s="1021"/>
      <c r="W49" s="730"/>
      <c r="X49" s="752"/>
      <c r="Y49" s="731"/>
      <c r="Z49" s="731"/>
      <c r="AA49" s="752"/>
      <c r="AB49" s="731"/>
      <c r="AC49" s="752"/>
      <c r="AD49" s="731"/>
      <c r="AE49" s="752"/>
      <c r="AF49" s="731"/>
      <c r="AG49" s="752"/>
      <c r="AH49" s="731"/>
      <c r="AI49" s="731"/>
      <c r="AJ49" s="752"/>
      <c r="AK49" s="731"/>
      <c r="AL49" s="731"/>
      <c r="AM49" s="1038"/>
      <c r="AN49" s="983"/>
      <c r="AO49" s="780"/>
      <c r="AP49" s="818"/>
      <c r="AQ49" s="781"/>
      <c r="AR49" s="782"/>
      <c r="AS49" s="1001"/>
      <c r="AT49" s="936"/>
      <c r="AU49" s="859"/>
      <c r="AV49" s="877"/>
      <c r="AW49" s="878"/>
      <c r="AX49" s="956"/>
      <c r="AY49" s="906"/>
      <c r="AZ49" s="601"/>
      <c r="BA49" s="136">
        <f t="shared" si="182"/>
        <v>233.22715508660161</v>
      </c>
      <c r="BB49" s="144"/>
      <c r="BC49" s="1263">
        <f>AS49+AP49+AM49+AJ49+AG49+AE49+AC49+AA49+X49+U49+T49+Q49+N49+K49+H49+E49</f>
        <v>0</v>
      </c>
      <c r="BD49" s="187">
        <v>313321</v>
      </c>
      <c r="BE49" s="34"/>
      <c r="BF49" s="1651"/>
    </row>
    <row r="50" spans="1:148" ht="15.75" thickBot="1" x14ac:dyDescent="0.3">
      <c r="A50" s="76">
        <v>313</v>
      </c>
      <c r="B50" s="81" t="s">
        <v>25</v>
      </c>
      <c r="C50" s="649">
        <f>SUM(C47:C49)</f>
        <v>114774.53182029331</v>
      </c>
      <c r="D50" s="649">
        <v>150000</v>
      </c>
      <c r="E50" s="650">
        <f>SUM(E47:E49)</f>
        <v>135272.55000000002</v>
      </c>
      <c r="F50" s="649">
        <f>SUM(F47:F49)</f>
        <v>45.00497710531554</v>
      </c>
      <c r="G50" s="651">
        <v>25</v>
      </c>
      <c r="H50" s="650">
        <f>SUM(H47:H49)</f>
        <v>24.730000000000004</v>
      </c>
      <c r="I50" s="649">
        <f>SUM(I47:I49)</f>
        <v>3827.1909217599045</v>
      </c>
      <c r="J50" s="650">
        <v>4620</v>
      </c>
      <c r="K50" s="1065">
        <f>SUM(K47:K49)</f>
        <v>4707.87</v>
      </c>
      <c r="L50" s="1091">
        <f>SUM(L47:L49)</f>
        <v>775.98248058928925</v>
      </c>
      <c r="M50" s="394">
        <v>427</v>
      </c>
      <c r="N50" s="710">
        <f>SUM(N47:N49)</f>
        <v>426.62999999999994</v>
      </c>
      <c r="O50" s="710">
        <f>SUM(O47:O49)</f>
        <v>21687.392660428693</v>
      </c>
      <c r="P50" s="710">
        <v>26180</v>
      </c>
      <c r="Q50" s="710">
        <f>SUM(Q47:Q49)</f>
        <v>26677.849999999995</v>
      </c>
      <c r="R50" s="710">
        <f>SUM(R47:R49)</f>
        <v>0</v>
      </c>
      <c r="S50" s="710">
        <f t="shared" ref="S50:AS50" si="194">SUM(S47:S49)</f>
        <v>0</v>
      </c>
      <c r="T50" s="710">
        <f t="shared" si="194"/>
        <v>0</v>
      </c>
      <c r="U50" s="1092">
        <f t="shared" si="194"/>
        <v>0</v>
      </c>
      <c r="V50" s="1039">
        <f t="shared" ref="V50" si="195">SUM(V47:V49)</f>
        <v>0</v>
      </c>
      <c r="W50" s="753">
        <f t="shared" si="194"/>
        <v>0</v>
      </c>
      <c r="X50" s="754">
        <f t="shared" si="194"/>
        <v>0</v>
      </c>
      <c r="Y50" s="754">
        <f>SUM(Y47:Y49)</f>
        <v>45.00497710531554</v>
      </c>
      <c r="Z50" s="754">
        <v>25</v>
      </c>
      <c r="AA50" s="754">
        <f>SUM(AA47:AA49)</f>
        <v>24.75</v>
      </c>
      <c r="AB50" s="754">
        <f t="shared" ref="AB50" si="196">SUM(AB47:AB49)</f>
        <v>0</v>
      </c>
      <c r="AC50" s="754">
        <f t="shared" ref="AC50" si="197">SUM(AC47:AC49)</f>
        <v>0</v>
      </c>
      <c r="AD50" s="754">
        <f t="shared" si="194"/>
        <v>0</v>
      </c>
      <c r="AE50" s="754">
        <f t="shared" si="194"/>
        <v>0</v>
      </c>
      <c r="AF50" s="754">
        <f t="shared" ref="AF50" si="198">SUM(AF47:AF49)</f>
        <v>0</v>
      </c>
      <c r="AG50" s="754">
        <f t="shared" ref="AG50" si="199">SUM(AG47:AG49)</f>
        <v>0</v>
      </c>
      <c r="AH50" s="754">
        <f t="shared" ref="AH50:AI50" si="200">SUM(AH47:AH49)</f>
        <v>0</v>
      </c>
      <c r="AI50" s="754">
        <f t="shared" si="200"/>
        <v>0</v>
      </c>
      <c r="AJ50" s="754">
        <f t="shared" ref="AJ50:AK50" si="201">SUM(AJ47:AJ49)</f>
        <v>0</v>
      </c>
      <c r="AK50" s="754">
        <f t="shared" si="201"/>
        <v>0</v>
      </c>
      <c r="AL50" s="754">
        <f t="shared" si="194"/>
        <v>0</v>
      </c>
      <c r="AM50" s="1040">
        <f t="shared" si="194"/>
        <v>0</v>
      </c>
      <c r="AN50" s="1002">
        <f t="shared" si="194"/>
        <v>0</v>
      </c>
      <c r="AO50" s="821">
        <v>133</v>
      </c>
      <c r="AP50" s="822">
        <f t="shared" ref="AP50:AQ50" si="202">SUM(AP47:AP49)</f>
        <v>0</v>
      </c>
      <c r="AQ50" s="785">
        <f t="shared" si="202"/>
        <v>0</v>
      </c>
      <c r="AR50" s="786">
        <f t="shared" si="194"/>
        <v>0</v>
      </c>
      <c r="AS50" s="985">
        <f t="shared" si="194"/>
        <v>0</v>
      </c>
      <c r="AT50" s="957">
        <f>SUM(AT47:AT49)</f>
        <v>147.8213550998739</v>
      </c>
      <c r="AU50" s="879">
        <v>0</v>
      </c>
      <c r="AV50" s="879">
        <f>SUM(AV47:AV49)</f>
        <v>0</v>
      </c>
      <c r="AW50" s="880">
        <f>SUM(AW47:AW49)</f>
        <v>0</v>
      </c>
      <c r="AX50" s="938">
        <f t="shared" ref="AX50:AZ50" si="203">SUM(AX47:AX49)</f>
        <v>0</v>
      </c>
      <c r="AY50" s="920">
        <f>SUM(AY47:AY49)</f>
        <v>0</v>
      </c>
      <c r="AZ50" s="586">
        <f t="shared" si="203"/>
        <v>0</v>
      </c>
      <c r="BA50" s="150">
        <f>SUM(BA47:BA49)</f>
        <v>141302.92919238171</v>
      </c>
      <c r="BB50" s="155">
        <f>AR50+AO50+AL50+AI50+AF50+AB50+AD50+Z50+W50+S50+P50+M50+J50+G50+D50+AU50</f>
        <v>181410</v>
      </c>
      <c r="BC50" s="1273">
        <f>SUM(BC47:BC49)</f>
        <v>167134.38</v>
      </c>
      <c r="BD50" s="188">
        <v>313</v>
      </c>
      <c r="BE50" s="132"/>
    </row>
    <row r="51" spans="1:148" s="2" customFormat="1" ht="15.75" thickBot="1" x14ac:dyDescent="0.3">
      <c r="A51" s="204">
        <v>31</v>
      </c>
      <c r="B51" s="340" t="s">
        <v>26</v>
      </c>
      <c r="C51" s="652">
        <f>C40+C46+C50</f>
        <v>869149.9940274735</v>
      </c>
      <c r="D51" s="634">
        <f t="shared" ref="D51:X51" si="204">D40+D46+D50</f>
        <v>1110000</v>
      </c>
      <c r="E51" s="635">
        <f>E40+E46+E50</f>
        <v>1028856.4600000003</v>
      </c>
      <c r="F51" s="635">
        <f>F40+F46+F50</f>
        <v>317.75565730970868</v>
      </c>
      <c r="G51" s="636">
        <f t="shared" si="204"/>
        <v>175</v>
      </c>
      <c r="H51" s="635">
        <f>H40+H46+H50</f>
        <v>174.68</v>
      </c>
      <c r="I51" s="635">
        <f>I40+I46+I50</f>
        <v>27685.920764483377</v>
      </c>
      <c r="J51" s="635">
        <f t="shared" si="204"/>
        <v>33645</v>
      </c>
      <c r="K51" s="1063">
        <f>K40+K46+K50</f>
        <v>33765.430000000008</v>
      </c>
      <c r="L51" s="1084">
        <f>L40+L46+L50</f>
        <v>5478.8970734620743</v>
      </c>
      <c r="M51" s="386">
        <f t="shared" si="204"/>
        <v>3013</v>
      </c>
      <c r="N51" s="387">
        <f t="shared" si="204"/>
        <v>3012.36</v>
      </c>
      <c r="O51" s="387">
        <f>O40+O46+O50</f>
        <v>156886.87636870393</v>
      </c>
      <c r="P51" s="387">
        <f t="shared" si="204"/>
        <v>190655</v>
      </c>
      <c r="Q51" s="387">
        <f t="shared" si="204"/>
        <v>191337.40000000002</v>
      </c>
      <c r="R51" s="387">
        <f>R40+R46+R50</f>
        <v>0</v>
      </c>
      <c r="S51" s="387">
        <f t="shared" si="204"/>
        <v>0</v>
      </c>
      <c r="T51" s="387">
        <f t="shared" si="204"/>
        <v>0</v>
      </c>
      <c r="U51" s="1085">
        <f t="shared" si="204"/>
        <v>0</v>
      </c>
      <c r="V51" s="1028">
        <f>V40+V46+V50</f>
        <v>0</v>
      </c>
      <c r="W51" s="740">
        <f t="shared" si="204"/>
        <v>0</v>
      </c>
      <c r="X51" s="741">
        <f t="shared" si="204"/>
        <v>0</v>
      </c>
      <c r="Y51" s="741">
        <f>Y40+Y46+Y50</f>
        <v>317.75963899396112</v>
      </c>
      <c r="Z51" s="741">
        <f>Z40+Z46+Z50</f>
        <v>175</v>
      </c>
      <c r="AA51" s="741">
        <f>AA40+AA46+AA50</f>
        <v>174.73999999999998</v>
      </c>
      <c r="AB51" s="741">
        <f t="shared" ref="AB51" si="205">AB40+AB46+AB50</f>
        <v>0</v>
      </c>
      <c r="AC51" s="741">
        <f t="shared" ref="AC51" si="206">AC40+AC46+AC50</f>
        <v>0</v>
      </c>
      <c r="AD51" s="741">
        <f t="shared" ref="AD51:AM51" si="207">AD40+AD46+AD50</f>
        <v>0</v>
      </c>
      <c r="AE51" s="741">
        <f t="shared" si="207"/>
        <v>0</v>
      </c>
      <c r="AF51" s="741">
        <f t="shared" ref="AF51" si="208">AF40+AF46+AF50</f>
        <v>0</v>
      </c>
      <c r="AG51" s="741">
        <f t="shared" ref="AG51" si="209">AG40+AG46+AG50</f>
        <v>0</v>
      </c>
      <c r="AH51" s="741">
        <f t="shared" ref="AH51:AI51" si="210">AH40+AH46+AH50</f>
        <v>0</v>
      </c>
      <c r="AI51" s="741">
        <f t="shared" si="210"/>
        <v>0</v>
      </c>
      <c r="AJ51" s="741">
        <f t="shared" ref="AJ51:AK51" si="211">AJ40+AJ46+AJ50</f>
        <v>0</v>
      </c>
      <c r="AK51" s="741">
        <f t="shared" si="211"/>
        <v>0</v>
      </c>
      <c r="AL51" s="741">
        <f t="shared" si="207"/>
        <v>0</v>
      </c>
      <c r="AM51" s="1029">
        <f t="shared" si="207"/>
        <v>0</v>
      </c>
      <c r="AN51" s="990">
        <f>AN40+AN46+AN50</f>
        <v>4.4754130997411901</v>
      </c>
      <c r="AO51" s="797">
        <f t="shared" ref="AO51:AX51" si="212">AO40+AO46+AO50</f>
        <v>797</v>
      </c>
      <c r="AP51" s="798">
        <f>AP40+AP46+AP50</f>
        <v>0</v>
      </c>
      <c r="AQ51" s="799">
        <f t="shared" ref="AQ51" si="213">AQ40+AQ46+AQ50</f>
        <v>0</v>
      </c>
      <c r="AR51" s="800">
        <f t="shared" si="212"/>
        <v>0</v>
      </c>
      <c r="AS51" s="991">
        <f t="shared" si="212"/>
        <v>0</v>
      </c>
      <c r="AT51" s="947">
        <f>AT40+AT46+AT50</f>
        <v>1043.7003118985997</v>
      </c>
      <c r="AU51" s="869">
        <f t="shared" si="212"/>
        <v>0</v>
      </c>
      <c r="AV51" s="869">
        <f t="shared" si="212"/>
        <v>0</v>
      </c>
      <c r="AW51" s="870">
        <f t="shared" si="212"/>
        <v>0</v>
      </c>
      <c r="AX51" s="948">
        <f t="shared" si="212"/>
        <v>0</v>
      </c>
      <c r="AY51" s="913">
        <f t="shared" ref="AY51:AZ51" si="214">AY40+AY46+AY50</f>
        <v>0</v>
      </c>
      <c r="AZ51" s="593">
        <f t="shared" si="214"/>
        <v>0</v>
      </c>
      <c r="BA51" s="164">
        <f>BA40+BA46+BA50</f>
        <v>1060885.379255425</v>
      </c>
      <c r="BB51" s="162">
        <f>AR51+AO51+AL51+AI51+AF51+AB51+AD51+Z51+W51+S51+P51+M51+J51+G51+D51+AU51</f>
        <v>1338460</v>
      </c>
      <c r="BC51" s="1266">
        <f>BC40+BC46+BC50</f>
        <v>1257321.0700000003</v>
      </c>
      <c r="BD51" s="346">
        <v>31</v>
      </c>
      <c r="BE51" s="131"/>
      <c r="BF51" s="610"/>
      <c r="BG51" s="610"/>
      <c r="BH51" s="610"/>
      <c r="BI51" s="1655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</row>
    <row r="52" spans="1:148" s="6" customFormat="1" ht="15.75" thickTop="1" x14ac:dyDescent="0.25">
      <c r="A52" s="74">
        <v>321111</v>
      </c>
      <c r="B52" s="85" t="s">
        <v>27</v>
      </c>
      <c r="C52" s="625"/>
      <c r="D52" s="625"/>
      <c r="E52" s="626">
        <f>26.55</f>
        <v>26.55</v>
      </c>
      <c r="F52" s="627"/>
      <c r="G52" s="627"/>
      <c r="H52" s="626"/>
      <c r="I52" s="626">
        <f>3029.32/7.5345</f>
        <v>402.05985798659498</v>
      </c>
      <c r="J52" s="626"/>
      <c r="K52" s="1061">
        <f>3.98+3.98+27+1.99+3.98+3.98+27+1.99+27.82+3.98+3.98+2.79+3.98+2.79+3.98+2.79+3.98+2.79+3.98+2.79+1758.04-1494.34+5.58+5.58+3.98+3.98+1.99+1.99+4.78+4.78+4.78+4.78+1.99+1.99+1.99+3.98+47.25+47.25+47.25+47.25+47.25+3.98+3.98+3.98+3.98+3.98+3.98+3.98+3.98+3.98+3.98+3.98+3.98+1.99+1.99+1.99+1.99+1.99+15.93+42+42+42+13.94+3.98+7.96+7.96+7.96+7.96+15.93+13.94</f>
        <v>970.9400000000004</v>
      </c>
      <c r="L52" s="1080"/>
      <c r="M52" s="383"/>
      <c r="N52" s="701"/>
      <c r="O52" s="704">
        <f>17166.24/7.5345</f>
        <v>2278.3515827194906</v>
      </c>
      <c r="P52" s="704"/>
      <c r="Q52" s="701">
        <f>1494.34+15.8+22.57+15.8+22.57+15.8+22.57+15.8+22.57+15.8+22.57+22.57+157.67+22.57+22.57+153+11.29+153+11.29+22.57+22.57+22.57+22.57+31.59+31.59+11.29+11.29+27.08+27.08+27.08+27.08+11.29+11.29+11.29+22.57+267.75+267.75+267.75+267.75+267.75+22.57+22.57+22.57+22.57+22.57+22.57+22.57+22.57+22.57+22.57+22.57+22.57+11.29+11.29+11.29+11.29+11.29+238+238+90.27+238+90.27+45.14+45.14+45.14+45.14+22.57+78.99+78.99</f>
        <v>5502.6400000000012</v>
      </c>
      <c r="R52" s="704"/>
      <c r="S52" s="704"/>
      <c r="T52" s="701">
        <f>300+809.81+809.81+809.81+809.81+809.81+809.81+809.81+728.9</f>
        <v>6697.5699999999979</v>
      </c>
      <c r="U52" s="1106">
        <f>507+507+507+265.5+265.5</f>
        <v>2052</v>
      </c>
      <c r="V52" s="1027">
        <f>18864.06/7.5345</f>
        <v>2503.691021302011</v>
      </c>
      <c r="W52" s="738"/>
      <c r="X52" s="735">
        <f>26.55+13.28+13.28+13.28+13.28+13.28+53.1+13.28+13.28+13.28+13.28+13.28+26.55+26.55+26.55+26.55+26.55+26.55+26.55+13.28+26.55+26.55+13.28+79.65+79.65+31.86+13.28+13.28+13.28+13.28+13.28+13.28+53.1+55.76+13.28+53.1+26.55+79.65+53.1+13.28+75+75+26.55+26.55+79.65+26.55+26.55+26.55+26.55+13.28+13.28+26.55+13.28+26.55+26.55+13.28+66.38+13.28+53.1+53.1+13.28+26.55+13.28+55.76+26.55+26.55+26.55+26.55+26.55+92.93+92.93+13.28+13.28+53.1+53.1+53.1+53.1+13.28+26.55+26.55+26.55+26.55+26.55+26.55+48.35+26.55</f>
        <v>2718.12</v>
      </c>
      <c r="Y52" s="739"/>
      <c r="Z52" s="739"/>
      <c r="AA52" s="735"/>
      <c r="AB52" s="739"/>
      <c r="AC52" s="735"/>
      <c r="AD52" s="735"/>
      <c r="AE52" s="735"/>
      <c r="AF52" s="735"/>
      <c r="AG52" s="735"/>
      <c r="AH52" s="735"/>
      <c r="AI52" s="735"/>
      <c r="AJ52" s="735"/>
      <c r="AK52" s="735"/>
      <c r="AL52" s="735"/>
      <c r="AM52" s="1025">
        <f>21.24+13.28</f>
        <v>34.519999999999996</v>
      </c>
      <c r="AN52" s="986">
        <f>3900/7.5345</f>
        <v>517.61895281704153</v>
      </c>
      <c r="AO52" s="787"/>
      <c r="AP52" s="788">
        <f>350*4+26.55+26.55+26.55+26.55</f>
        <v>1506.1999999999998</v>
      </c>
      <c r="AQ52" s="789"/>
      <c r="AR52" s="790"/>
      <c r="AS52" s="987"/>
      <c r="AT52" s="939"/>
      <c r="AU52" s="862"/>
      <c r="AV52" s="862"/>
      <c r="AW52" s="863"/>
      <c r="AX52" s="940"/>
      <c r="AY52" s="908"/>
      <c r="AZ52" s="589"/>
      <c r="BA52" s="136">
        <f t="shared" ref="BA52:BA64" si="215">AQ52+AN52+AK52+AH52+Y52+V52+R52+O52+L52+I52+F52+C52+AT52</f>
        <v>5701.7214148251378</v>
      </c>
      <c r="BB52" s="145"/>
      <c r="BC52" s="1263">
        <f>AS52+AP52+AM52+AJ52+AG52+AE52+AC52+AA52+X52+U52+T52+Q52+N52+K52+H52+E52</f>
        <v>19508.539999999997</v>
      </c>
      <c r="BD52" s="185">
        <v>321111</v>
      </c>
      <c r="BE52" s="34"/>
      <c r="BF52" s="610"/>
      <c r="BG52" s="610"/>
      <c r="BH52" s="610"/>
      <c r="BI52" s="1656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</row>
    <row r="53" spans="1:148" x14ac:dyDescent="0.25">
      <c r="A53" s="45">
        <v>321131</v>
      </c>
      <c r="B53" s="30" t="s">
        <v>28</v>
      </c>
      <c r="C53" s="615"/>
      <c r="D53" s="615"/>
      <c r="E53" s="654"/>
      <c r="F53" s="617"/>
      <c r="G53" s="617"/>
      <c r="H53" s="654"/>
      <c r="I53" s="616">
        <f>15570.42/7.5345</f>
        <v>2066.5498705952618</v>
      </c>
      <c r="J53" s="616"/>
      <c r="K53" s="1066">
        <f>122.85+58.82+58.82+1312.46+874.98+874.98+87.52+3882.14+89.59+294+258.45+68.1+188.4+772.01+772.01+772.01+772+772+772+772+772+772</f>
        <v>15119.14</v>
      </c>
      <c r="L53" s="1076"/>
      <c r="M53" s="378"/>
      <c r="N53" s="708"/>
      <c r="O53" s="699">
        <f>88232.36/7.5345</f>
        <v>11710.446612250315</v>
      </c>
      <c r="P53" s="699"/>
      <c r="Q53" s="708">
        <f>4958.19+4958.19+7437.29+333.34+333.34+696.15+495.92+21998.81+507.66+385.9+1464.55+1666+4374.7+4374.7+4374.7+4374.7+4374.7+4374.7+4374.69+4374.69+4374.69+1067.6</f>
        <v>85675.21</v>
      </c>
      <c r="R53" s="699"/>
      <c r="S53" s="699"/>
      <c r="T53" s="708"/>
      <c r="U53" s="1094">
        <f>14151.69</f>
        <v>14151.69</v>
      </c>
      <c r="V53" s="1020">
        <f>12876.47/7.5345</f>
        <v>1709.0012608666798</v>
      </c>
      <c r="W53" s="728"/>
      <c r="X53" s="750">
        <f>36+272.79+8.8+274.77+258.99+60+74.9</f>
        <v>986.25</v>
      </c>
      <c r="Y53" s="729"/>
      <c r="Z53" s="729"/>
      <c r="AA53" s="750"/>
      <c r="AB53" s="729"/>
      <c r="AC53" s="750"/>
      <c r="AD53" s="729"/>
      <c r="AE53" s="750"/>
      <c r="AF53" s="729"/>
      <c r="AG53" s="750"/>
      <c r="AH53" s="729"/>
      <c r="AI53" s="729"/>
      <c r="AJ53" s="750"/>
      <c r="AK53" s="729"/>
      <c r="AL53" s="729"/>
      <c r="AM53" s="1036"/>
      <c r="AN53" s="982"/>
      <c r="AO53" s="777"/>
      <c r="AP53" s="814"/>
      <c r="AQ53" s="778"/>
      <c r="AR53" s="779"/>
      <c r="AS53" s="999"/>
      <c r="AT53" s="935"/>
      <c r="AU53" s="858"/>
      <c r="AV53" s="875"/>
      <c r="AW53" s="876"/>
      <c r="AX53" s="954"/>
      <c r="AY53" s="905"/>
      <c r="AZ53" s="600"/>
      <c r="BA53" s="136">
        <f t="shared" si="215"/>
        <v>15485.997743712256</v>
      </c>
      <c r="BB53" s="139"/>
      <c r="BC53" s="1263">
        <f>AS53+AP53+AM53+AJ53+AG53+AE53+AC53+AA53+X53+U53+T53+Q53+N53+K53+H53+E53</f>
        <v>115932.29000000001</v>
      </c>
      <c r="BD53" s="186">
        <v>321131</v>
      </c>
      <c r="BE53" s="34"/>
      <c r="BF53" s="1650"/>
    </row>
    <row r="54" spans="1:148" s="6" customFormat="1" x14ac:dyDescent="0.25">
      <c r="A54" s="45">
        <v>321151</v>
      </c>
      <c r="B54" s="30" t="s">
        <v>29</v>
      </c>
      <c r="C54" s="653">
        <f>256/7.5345</f>
        <v>33.97703895414427</v>
      </c>
      <c r="D54" s="653"/>
      <c r="E54" s="654">
        <f>14.1+14.1+14.1+14.1-14.1-14.1</f>
        <v>28.199999999999996</v>
      </c>
      <c r="F54" s="655"/>
      <c r="G54" s="655"/>
      <c r="H54" s="654"/>
      <c r="I54" s="654">
        <f>5865.18/7.5345</f>
        <v>778.44316145729647</v>
      </c>
      <c r="J54" s="654"/>
      <c r="K54" s="1066">
        <f>457.89+457.89+686.84+10.92+39+11.04+11.04+10.56+10.92+10.92+13.2+11.04+11.04+3+11.04+11.04+7.23+31.2+5.76+1.56+8.16+0.49+13.68+63.48+11.89+10.32+10.32+10.32+10.32+10.32+14.04+14.04+14.04+14.04+10.92+10.92+11.16+10.32+10.32+10.32+141+19.44+1.1+1.1+11.65+5.83+30.84+59.04+3.84+10.68+4.08+4.92+9.6+7.38+4.32+7.68+5.94+7.92</f>
        <v>2418.9100000000003</v>
      </c>
      <c r="L54" s="1093"/>
      <c r="M54" s="392"/>
      <c r="N54" s="708"/>
      <c r="O54" s="699">
        <f>33236.04/7.5345</f>
        <v>4411.1805693808483</v>
      </c>
      <c r="P54" s="699"/>
      <c r="Q54" s="708">
        <f>61.88+61.88+59.84+62.56+62.56+221+61.88+3892.1+2594.74+2594.74+62.56+62.56+74.8+32.64+176.8+40.97+62.56+62.56+17+8.84+46.24+2.81+77.52+67.41+359.72+61.88+61.88+63.24+79.56+79.56+79.56+79.56+58.48+58.48+58.48+58.48+58.48+58.48+58.48+58.48+799+6.24+66.05+110.16+6.24+33.02+334.56+174.76+21.76+60.52+23.12+27.88+54.4+41.82+24.48+43.52+33.66+44.88</f>
        <v>13707.319999999985</v>
      </c>
      <c r="R54" s="708"/>
      <c r="S54" s="708"/>
      <c r="T54" s="708"/>
      <c r="U54" s="1094">
        <f>128+62.4+64</f>
        <v>254.4</v>
      </c>
      <c r="V54" s="1020">
        <f>16467.99/7.5345</f>
        <v>2185.6778817439777</v>
      </c>
      <c r="W54" s="729"/>
      <c r="X54" s="750">
        <f>13.46+13.46+10.16+13.46+13.46+49.6+13.46+70+75.2+153.6+155.2+13.46+13.46+13.46+13.46+46.8+11+137.6-23.4+14.1+14.1+14.1+14.1+20.58+10.16+77.2+58.5+28.8+11.1+160.67+57.6+9.6+70.4+70.4+8+28+343.2+14.1+14.1+50+18.4+206-14.1-14.1+14.1+83.2+14.1-41.6+27.2+249.82+14.1+14.1+15.98+16.04+87.2+27.2+72+33.6+33.6+146.8+10.16+152+83.2+14.1+14.1+14.1+112.9-14.1-14.1</f>
        <v>3271.7099999999991</v>
      </c>
      <c r="Y54" s="729"/>
      <c r="Z54" s="729"/>
      <c r="AA54" s="750"/>
      <c r="AB54" s="729"/>
      <c r="AC54" s="750"/>
      <c r="AD54" s="750"/>
      <c r="AE54" s="750"/>
      <c r="AF54" s="750"/>
      <c r="AG54" s="750"/>
      <c r="AH54" s="750"/>
      <c r="AI54" s="750"/>
      <c r="AJ54" s="750"/>
      <c r="AK54" s="750"/>
      <c r="AL54" s="750"/>
      <c r="AM54" s="1036">
        <f>114</f>
        <v>114</v>
      </c>
      <c r="AN54" s="998">
        <f>4532.1/7.5345</f>
        <v>601.51304001592678</v>
      </c>
      <c r="AO54" s="813"/>
      <c r="AP54" s="814">
        <f>23.4+41.6</f>
        <v>65</v>
      </c>
      <c r="AQ54" s="815"/>
      <c r="AR54" s="816"/>
      <c r="AS54" s="999"/>
      <c r="AT54" s="953"/>
      <c r="AU54" s="875"/>
      <c r="AV54" s="875"/>
      <c r="AW54" s="876"/>
      <c r="AX54" s="954"/>
      <c r="AY54" s="918"/>
      <c r="AZ54" s="600"/>
      <c r="BA54" s="136">
        <f t="shared" si="215"/>
        <v>8010.7916915521946</v>
      </c>
      <c r="BB54" s="140"/>
      <c r="BC54" s="1263">
        <f>AS54+AP54+AM54+AJ54+AG54+AE54+AC54+AA54+X54+U54+T54+Q54+N54+K54+H54+E54</f>
        <v>19859.539999999986</v>
      </c>
      <c r="BD54" s="186">
        <v>321151</v>
      </c>
      <c r="BE54" s="34"/>
      <c r="BF54" s="1651"/>
      <c r="BG54" s="610"/>
      <c r="BH54" s="610"/>
      <c r="BI54" s="1656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</row>
    <row r="55" spans="1:148" s="6" customFormat="1" x14ac:dyDescent="0.25">
      <c r="A55" s="46">
        <v>321121</v>
      </c>
      <c r="B55" s="29" t="s">
        <v>176</v>
      </c>
      <c r="C55" s="656"/>
      <c r="D55" s="656"/>
      <c r="E55" s="657"/>
      <c r="F55" s="658"/>
      <c r="G55" s="658"/>
      <c r="H55" s="657"/>
      <c r="I55" s="657"/>
      <c r="J55" s="657"/>
      <c r="K55" s="1067"/>
      <c r="L55" s="1095"/>
      <c r="M55" s="393"/>
      <c r="N55" s="709"/>
      <c r="O55" s="700"/>
      <c r="P55" s="700"/>
      <c r="Q55" s="709"/>
      <c r="R55" s="709"/>
      <c r="S55" s="709"/>
      <c r="T55" s="709"/>
      <c r="U55" s="1096"/>
      <c r="V55" s="1021"/>
      <c r="W55" s="731"/>
      <c r="X55" s="752"/>
      <c r="Y55" s="731"/>
      <c r="Z55" s="731"/>
      <c r="AA55" s="752"/>
      <c r="AB55" s="731"/>
      <c r="AC55" s="752"/>
      <c r="AD55" s="752"/>
      <c r="AE55" s="752"/>
      <c r="AF55" s="752"/>
      <c r="AG55" s="752"/>
      <c r="AH55" s="752"/>
      <c r="AI55" s="752"/>
      <c r="AJ55" s="752"/>
      <c r="AK55" s="752"/>
      <c r="AL55" s="752"/>
      <c r="AM55" s="1038"/>
      <c r="AN55" s="1000"/>
      <c r="AO55" s="817"/>
      <c r="AP55" s="818"/>
      <c r="AQ55" s="819"/>
      <c r="AR55" s="820"/>
      <c r="AS55" s="1001"/>
      <c r="AT55" s="955"/>
      <c r="AU55" s="877"/>
      <c r="AV55" s="877"/>
      <c r="AW55" s="878"/>
      <c r="AX55" s="956"/>
      <c r="AY55" s="919"/>
      <c r="AZ55" s="601"/>
      <c r="BA55" s="136">
        <f t="shared" si="215"/>
        <v>0</v>
      </c>
      <c r="BB55" s="141"/>
      <c r="BC55" s="1263">
        <f>AS55+AP55+AM55+AJ55+AG55+AE55+AC55+AA55+X55+U55+T55+Q55+N55+K55+H55+E55+AV55+AW55+AX55</f>
        <v>0</v>
      </c>
      <c r="BD55" s="187">
        <v>321121</v>
      </c>
      <c r="BE55" s="34"/>
      <c r="BF55" s="610"/>
      <c r="BG55" s="610"/>
      <c r="BH55" s="610"/>
      <c r="BI55" s="1656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</row>
    <row r="56" spans="1:148" s="6" customFormat="1" ht="15.75" thickBot="1" x14ac:dyDescent="0.3">
      <c r="A56" s="46">
        <v>321191</v>
      </c>
      <c r="B56" s="29" t="s">
        <v>275</v>
      </c>
      <c r="C56" s="656"/>
      <c r="D56" s="656"/>
      <c r="E56" s="657">
        <f>4.4+4.4</f>
        <v>8.8000000000000007</v>
      </c>
      <c r="F56" s="658"/>
      <c r="G56" s="658"/>
      <c r="H56" s="657"/>
      <c r="I56" s="657"/>
      <c r="J56" s="657"/>
      <c r="K56" s="1067">
        <f>0.66+7.2+268.76+268.76+268.76+537.53+268.76+268.76+268.76+268.76+268.76</f>
        <v>2695.4700000000003</v>
      </c>
      <c r="L56" s="1095"/>
      <c r="M56" s="393"/>
      <c r="N56" s="709"/>
      <c r="O56" s="700"/>
      <c r="P56" s="700"/>
      <c r="Q56" s="709">
        <f>3.74+40.8+1523+1523+1523+3045.99+1523+1523+1523+1523+1523</f>
        <v>15274.529999999999</v>
      </c>
      <c r="R56" s="709"/>
      <c r="S56" s="709"/>
      <c r="T56" s="709"/>
      <c r="U56" s="1096">
        <f>564.2</f>
        <v>564.20000000000005</v>
      </c>
      <c r="V56" s="1021"/>
      <c r="W56" s="731"/>
      <c r="X56" s="752">
        <f>33.6+54.86</f>
        <v>88.460000000000008</v>
      </c>
      <c r="Y56" s="731"/>
      <c r="Z56" s="731"/>
      <c r="AA56" s="752"/>
      <c r="AB56" s="731"/>
      <c r="AC56" s="752"/>
      <c r="AD56" s="752"/>
      <c r="AE56" s="752"/>
      <c r="AF56" s="752"/>
      <c r="AG56" s="752"/>
      <c r="AH56" s="752"/>
      <c r="AI56" s="752"/>
      <c r="AJ56" s="752"/>
      <c r="AK56" s="752"/>
      <c r="AL56" s="752"/>
      <c r="AM56" s="1038">
        <f>3.4</f>
        <v>3.4</v>
      </c>
      <c r="AN56" s="1000"/>
      <c r="AO56" s="817"/>
      <c r="AP56" s="818"/>
      <c r="AQ56" s="819"/>
      <c r="AR56" s="820"/>
      <c r="AS56" s="1001"/>
      <c r="AT56" s="955"/>
      <c r="AU56" s="877"/>
      <c r="AV56" s="877"/>
      <c r="AW56" s="878"/>
      <c r="AX56" s="956"/>
      <c r="AY56" s="919"/>
      <c r="AZ56" s="601"/>
      <c r="BA56" s="136">
        <f t="shared" si="215"/>
        <v>0</v>
      </c>
      <c r="BB56" s="141"/>
      <c r="BC56" s="1263">
        <f>AS56+AP56+AM56+AJ56+AG56+AE56+AC56+AA56+X56+U56+T56+Q56+N56+K56+H56+E56+AV56+AW56+AX56</f>
        <v>18634.859999999997</v>
      </c>
      <c r="BD56" s="187">
        <v>321191</v>
      </c>
      <c r="BE56" s="34"/>
      <c r="BF56" s="1651"/>
      <c r="BG56" s="610"/>
      <c r="BH56" s="610"/>
      <c r="BI56" s="1656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</row>
    <row r="57" spans="1:148" s="2" customFormat="1" ht="15.75" thickBot="1" x14ac:dyDescent="0.3">
      <c r="A57" s="76">
        <v>3211</v>
      </c>
      <c r="B57" s="81" t="s">
        <v>30</v>
      </c>
      <c r="C57" s="645">
        <f>SUM(C52:C56)</f>
        <v>33.97703895414427</v>
      </c>
      <c r="D57" s="621">
        <f>SUM(D52:D54)</f>
        <v>0</v>
      </c>
      <c r="E57" s="622">
        <f>SUM(E52:E56)</f>
        <v>63.55</v>
      </c>
      <c r="F57" s="623">
        <f>SUM(F52:F54)</f>
        <v>0</v>
      </c>
      <c r="G57" s="623">
        <f>SUM(G52:G54)</f>
        <v>0</v>
      </c>
      <c r="H57" s="622">
        <f t="shared" ref="H57:J57" si="216">SUM(H52:H54)</f>
        <v>0</v>
      </c>
      <c r="I57" s="622">
        <f>SUM(I52:I56)</f>
        <v>3247.0528900391532</v>
      </c>
      <c r="J57" s="622">
        <f t="shared" si="216"/>
        <v>0</v>
      </c>
      <c r="K57" s="1060">
        <f>SUM(K52:K56)</f>
        <v>21204.460000000003</v>
      </c>
      <c r="L57" s="1078">
        <f t="shared" ref="L57:R57" si="217">SUM(L52:L54)</f>
        <v>0</v>
      </c>
      <c r="M57" s="381">
        <f t="shared" si="217"/>
        <v>0</v>
      </c>
      <c r="N57" s="382">
        <f t="shared" si="217"/>
        <v>0</v>
      </c>
      <c r="O57" s="382">
        <f t="shared" si="217"/>
        <v>18399.978764350653</v>
      </c>
      <c r="P57" s="382">
        <f t="shared" si="217"/>
        <v>0</v>
      </c>
      <c r="Q57" s="382">
        <f>SUM(Q52:Q56)</f>
        <v>120159.69999999998</v>
      </c>
      <c r="R57" s="382">
        <f t="shared" si="217"/>
        <v>0</v>
      </c>
      <c r="S57" s="382">
        <f t="shared" ref="S57" si="218">SUM(S52:S54)</f>
        <v>0</v>
      </c>
      <c r="T57" s="382">
        <f t="shared" ref="T57" si="219">SUM(T52:T54)</f>
        <v>6697.5699999999979</v>
      </c>
      <c r="U57" s="1079">
        <f>SUM(U52:U56)</f>
        <v>17022.29</v>
      </c>
      <c r="V57" s="1022">
        <f>SUM(V52:V56)</f>
        <v>6398.3701639126684</v>
      </c>
      <c r="W57" s="732">
        <f t="shared" ref="W57" si="220">SUM(W52:W54)</f>
        <v>0</v>
      </c>
      <c r="X57" s="733">
        <f>SUM(X52:X56)</f>
        <v>7064.5399999999991</v>
      </c>
      <c r="Y57" s="733">
        <f t="shared" ref="Y57" si="221">SUM(Y52:Y55)</f>
        <v>0</v>
      </c>
      <c r="Z57" s="733">
        <f t="shared" ref="Z57:AL57" si="222">SUM(Z52:Z55)</f>
        <v>0</v>
      </c>
      <c r="AA57" s="733">
        <f t="shared" si="222"/>
        <v>0</v>
      </c>
      <c r="AB57" s="733">
        <f t="shared" si="222"/>
        <v>0</v>
      </c>
      <c r="AC57" s="733">
        <f t="shared" si="222"/>
        <v>0</v>
      </c>
      <c r="AD57" s="733">
        <f t="shared" si="222"/>
        <v>0</v>
      </c>
      <c r="AE57" s="733">
        <f t="shared" si="222"/>
        <v>0</v>
      </c>
      <c r="AF57" s="733">
        <f t="shared" si="222"/>
        <v>0</v>
      </c>
      <c r="AG57" s="733">
        <f t="shared" si="222"/>
        <v>0</v>
      </c>
      <c r="AH57" s="733">
        <f t="shared" ref="AH57" si="223">SUM(AH52:AH55)</f>
        <v>0</v>
      </c>
      <c r="AI57" s="733">
        <f t="shared" si="222"/>
        <v>0</v>
      </c>
      <c r="AJ57" s="733">
        <f t="shared" si="222"/>
        <v>0</v>
      </c>
      <c r="AK57" s="733">
        <f t="shared" ref="AK57" si="224">SUM(AK52:AK55)</f>
        <v>0</v>
      </c>
      <c r="AL57" s="733">
        <f t="shared" si="222"/>
        <v>0</v>
      </c>
      <c r="AM57" s="1023">
        <f>SUM(AM52:AM56)</f>
        <v>151.91999999999999</v>
      </c>
      <c r="AN57" s="984">
        <f>SUM(AN52:AN54)</f>
        <v>1119.1319928329683</v>
      </c>
      <c r="AO57" s="783">
        <f t="shared" ref="AO57" si="225">SUM(AO52:AO54)</f>
        <v>0</v>
      </c>
      <c r="AP57" s="784">
        <f>SUM(AP52:AP54)</f>
        <v>1571.1999999999998</v>
      </c>
      <c r="AQ57" s="785">
        <f>SUM(AQ52:AQ54)</f>
        <v>0</v>
      </c>
      <c r="AR57" s="786">
        <f>SUM(AR52:AR54)</f>
        <v>0</v>
      </c>
      <c r="AS57" s="985">
        <f>SUM(AS52:AS54)</f>
        <v>0</v>
      </c>
      <c r="AT57" s="937">
        <f t="shared" ref="AT57:AU57" si="226">SUM(AT52:AT54)</f>
        <v>0</v>
      </c>
      <c r="AU57" s="860">
        <f t="shared" si="226"/>
        <v>0</v>
      </c>
      <c r="AV57" s="860">
        <f>SUM(AV52:AV55)</f>
        <v>0</v>
      </c>
      <c r="AW57" s="860">
        <f t="shared" ref="AW57:AX57" si="227">SUM(AW52:AW55)</f>
        <v>0</v>
      </c>
      <c r="AX57" s="958">
        <f t="shared" si="227"/>
        <v>0</v>
      </c>
      <c r="AY57" s="907">
        <f t="shared" ref="AY57:AZ57" si="228">SUM(AY52:AY55)</f>
        <v>0</v>
      </c>
      <c r="AZ57" s="135">
        <f t="shared" si="228"/>
        <v>0</v>
      </c>
      <c r="BA57" s="481">
        <f>SUM(BA52:BA56)</f>
        <v>29198.510850089588</v>
      </c>
      <c r="BB57" s="155">
        <f>AR57+AO57+AL57+AI57+AF57+AB57+AD57+Z57+W57+S57+P57+M57+J57+G57+D57</f>
        <v>0</v>
      </c>
      <c r="BC57" s="1265">
        <f>SUM(BC52:BC56)</f>
        <v>173935.22999999998</v>
      </c>
      <c r="BD57" s="188">
        <v>3211</v>
      </c>
      <c r="BE57" s="131"/>
      <c r="BF57" s="1651"/>
      <c r="BG57" s="610"/>
      <c r="BH57" s="610"/>
      <c r="BI57" s="1655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</row>
    <row r="58" spans="1:148" ht="15.75" thickBot="1" x14ac:dyDescent="0.3">
      <c r="A58" s="78">
        <v>321211</v>
      </c>
      <c r="B58" s="79" t="s">
        <v>31</v>
      </c>
      <c r="C58" s="628"/>
      <c r="D58" s="628"/>
      <c r="E58" s="1165"/>
      <c r="F58" s="630"/>
      <c r="G58" s="630"/>
      <c r="H58" s="1165"/>
      <c r="I58" s="629">
        <f>3538.93/7.5345</f>
        <v>469.69672838277251</v>
      </c>
      <c r="J58" s="629"/>
      <c r="K58" s="1067">
        <f>60.8+51.22+59.47+72.5+62.98+52.55+37.56+42.93+57.87+37.38+69.33</f>
        <v>604.59000000000015</v>
      </c>
      <c r="L58" s="1095"/>
      <c r="M58" s="393"/>
      <c r="N58" s="709"/>
      <c r="O58" s="700">
        <f>20054.03/7.5345</f>
        <v>2661.6271816311632</v>
      </c>
      <c r="P58" s="700"/>
      <c r="Q58" s="709">
        <f>336.99+290.28+344.56+410.82+356.86+297.76+243.3+212.83+327.9+211.83+392.85</f>
        <v>3425.9799999999996</v>
      </c>
      <c r="R58" s="709"/>
      <c r="S58" s="709"/>
      <c r="T58" s="709"/>
      <c r="U58" s="1096"/>
      <c r="V58" s="1021">
        <f>170909.03/7.5345</f>
        <v>22683.526445019575</v>
      </c>
      <c r="W58" s="731"/>
      <c r="X58" s="752">
        <f>1343.91+490.39+1319.05+234.24+1415.77+378.9+2253.99+488.26+1441.18+449.16+1823.63+651.81+1349.29+303.83+769.23+13.19+1421.46+729.29+1726.59+679.92+1883.8</f>
        <v>21166.889999999996</v>
      </c>
      <c r="Y58" s="731"/>
      <c r="Z58" s="731"/>
      <c r="AA58" s="752"/>
      <c r="AB58" s="731"/>
      <c r="AC58" s="752"/>
      <c r="AD58" s="752"/>
      <c r="AE58" s="752"/>
      <c r="AF58" s="752"/>
      <c r="AG58" s="752"/>
      <c r="AH58" s="752"/>
      <c r="AI58" s="752"/>
      <c r="AJ58" s="752"/>
      <c r="AK58" s="752"/>
      <c r="AL58" s="752"/>
      <c r="AM58" s="1038"/>
      <c r="AN58" s="1000"/>
      <c r="AO58" s="817"/>
      <c r="AP58" s="818"/>
      <c r="AQ58" s="819"/>
      <c r="AR58" s="820"/>
      <c r="AS58" s="1001"/>
      <c r="AT58" s="955">
        <f>(177.73+31.37+11.01)/7.5345</f>
        <v>29.213617360143338</v>
      </c>
      <c r="AU58" s="877"/>
      <c r="AV58" s="877"/>
      <c r="AW58" s="878"/>
      <c r="AX58" s="956"/>
      <c r="AY58" s="919"/>
      <c r="AZ58" s="601"/>
      <c r="BA58" s="136">
        <f t="shared" si="215"/>
        <v>25844.063972393655</v>
      </c>
      <c r="BB58" s="141"/>
      <c r="BC58" s="1263">
        <f>AS58+AP58+AM58+AJ58+AG58+AE58+AC58+AA58+X58+U58+T58+Q58+N58+K58+H58+E58+AV58+AW58+AX58</f>
        <v>25197.459999999995</v>
      </c>
      <c r="BD58" s="189">
        <v>321211</v>
      </c>
      <c r="BE58" s="34"/>
      <c r="BF58" s="1651"/>
    </row>
    <row r="59" spans="1:148" s="2" customFormat="1" ht="15.75" thickBot="1" x14ac:dyDescent="0.3">
      <c r="A59" s="76">
        <v>3212</v>
      </c>
      <c r="B59" s="81" t="s">
        <v>32</v>
      </c>
      <c r="C59" s="621">
        <f t="shared" ref="C59:H59" si="229">C58</f>
        <v>0</v>
      </c>
      <c r="D59" s="621">
        <f t="shared" si="229"/>
        <v>0</v>
      </c>
      <c r="E59" s="622">
        <f t="shared" si="229"/>
        <v>0</v>
      </c>
      <c r="F59" s="623">
        <f t="shared" si="229"/>
        <v>0</v>
      </c>
      <c r="G59" s="623">
        <f t="shared" si="229"/>
        <v>0</v>
      </c>
      <c r="H59" s="622">
        <f t="shared" si="229"/>
        <v>0</v>
      </c>
      <c r="I59" s="622">
        <f>I58</f>
        <v>469.69672838277251</v>
      </c>
      <c r="J59" s="622">
        <f t="shared" ref="J59" si="230">J58</f>
        <v>0</v>
      </c>
      <c r="K59" s="1060">
        <f>K58</f>
        <v>604.59000000000015</v>
      </c>
      <c r="L59" s="1078">
        <f>L58</f>
        <v>0</v>
      </c>
      <c r="M59" s="381">
        <f t="shared" ref="M59:N59" si="231">M58</f>
        <v>0</v>
      </c>
      <c r="N59" s="382">
        <f t="shared" si="231"/>
        <v>0</v>
      </c>
      <c r="O59" s="382">
        <f>O58</f>
        <v>2661.6271816311632</v>
      </c>
      <c r="P59" s="382">
        <f>P58</f>
        <v>0</v>
      </c>
      <c r="Q59" s="382">
        <f>Q58</f>
        <v>3425.9799999999996</v>
      </c>
      <c r="R59" s="382">
        <f>R58</f>
        <v>0</v>
      </c>
      <c r="S59" s="382">
        <f t="shared" ref="S59:U59" si="232">S58</f>
        <v>0</v>
      </c>
      <c r="T59" s="382">
        <f t="shared" ref="T59" si="233">T58</f>
        <v>0</v>
      </c>
      <c r="U59" s="1079">
        <f t="shared" si="232"/>
        <v>0</v>
      </c>
      <c r="V59" s="1022">
        <f>V58</f>
        <v>22683.526445019575</v>
      </c>
      <c r="W59" s="732">
        <f>W58</f>
        <v>0</v>
      </c>
      <c r="X59" s="733">
        <f>X58</f>
        <v>21166.889999999996</v>
      </c>
      <c r="Y59" s="733">
        <f t="shared" ref="Y59" si="234">Y58</f>
        <v>0</v>
      </c>
      <c r="Z59" s="733">
        <f t="shared" ref="Z59:AL59" si="235">Z58</f>
        <v>0</v>
      </c>
      <c r="AA59" s="733">
        <f t="shared" ref="AA59:AB59" si="236">AA58</f>
        <v>0</v>
      </c>
      <c r="AB59" s="733">
        <f t="shared" si="236"/>
        <v>0</v>
      </c>
      <c r="AC59" s="733">
        <f t="shared" ref="AC59" si="237">AC58</f>
        <v>0</v>
      </c>
      <c r="AD59" s="733">
        <f t="shared" si="235"/>
        <v>0</v>
      </c>
      <c r="AE59" s="733">
        <f t="shared" ref="AE59:AF59" si="238">AE58</f>
        <v>0</v>
      </c>
      <c r="AF59" s="733">
        <f t="shared" si="238"/>
        <v>0</v>
      </c>
      <c r="AG59" s="733">
        <f t="shared" ref="AG59:AK59" si="239">AG58</f>
        <v>0</v>
      </c>
      <c r="AH59" s="733">
        <f t="shared" ref="AH59" si="240">AH58</f>
        <v>0</v>
      </c>
      <c r="AI59" s="733">
        <f t="shared" si="239"/>
        <v>0</v>
      </c>
      <c r="AJ59" s="733">
        <f t="shared" si="239"/>
        <v>0</v>
      </c>
      <c r="AK59" s="733">
        <f t="shared" si="239"/>
        <v>0</v>
      </c>
      <c r="AL59" s="733">
        <f t="shared" si="235"/>
        <v>0</v>
      </c>
      <c r="AM59" s="1023">
        <f t="shared" ref="AM59:AO59" si="241">AM58</f>
        <v>0</v>
      </c>
      <c r="AN59" s="984">
        <f t="shared" ref="AN59" si="242">AN58</f>
        <v>0</v>
      </c>
      <c r="AO59" s="783">
        <f t="shared" si="241"/>
        <v>0</v>
      </c>
      <c r="AP59" s="784">
        <f t="shared" ref="AP59" si="243">AP58</f>
        <v>0</v>
      </c>
      <c r="AQ59" s="785">
        <f>AQ58</f>
        <v>0</v>
      </c>
      <c r="AR59" s="786">
        <f>AR58</f>
        <v>0</v>
      </c>
      <c r="AS59" s="985">
        <f>AS58</f>
        <v>0</v>
      </c>
      <c r="AT59" s="937">
        <f>AT58</f>
        <v>29.213617360143338</v>
      </c>
      <c r="AU59" s="860">
        <f t="shared" ref="AU59" si="244">AU58</f>
        <v>0</v>
      </c>
      <c r="AV59" s="860">
        <f>AV58</f>
        <v>0</v>
      </c>
      <c r="AW59" s="861">
        <f t="shared" ref="AW59:AY59" si="245">AW58</f>
        <v>0</v>
      </c>
      <c r="AX59" s="938">
        <f>AX58</f>
        <v>0</v>
      </c>
      <c r="AY59" s="907">
        <f t="shared" si="245"/>
        <v>0</v>
      </c>
      <c r="AZ59" s="586">
        <f>AZ58</f>
        <v>0</v>
      </c>
      <c r="BA59" s="481">
        <f>SUM(BA58)</f>
        <v>25844.063972393655</v>
      </c>
      <c r="BB59" s="155">
        <f>AR59+AO59+AL59+AI59+AF59+AB59+AD59+Z59+W59+S59+P59+M59+J59+G59+D59</f>
        <v>0</v>
      </c>
      <c r="BC59" s="1265">
        <f>SUM(BC58)</f>
        <v>25197.459999999995</v>
      </c>
      <c r="BD59" s="188">
        <v>3212</v>
      </c>
      <c r="BE59" s="131"/>
      <c r="BF59" s="1650"/>
      <c r="BG59" s="610"/>
      <c r="BH59" s="610"/>
      <c r="BI59" s="1655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</row>
    <row r="60" spans="1:148" x14ac:dyDescent="0.25">
      <c r="A60" s="78">
        <v>321311</v>
      </c>
      <c r="B60" s="79" t="s">
        <v>33</v>
      </c>
      <c r="C60" s="631"/>
      <c r="D60" s="631"/>
      <c r="E60" s="626"/>
      <c r="F60" s="633"/>
      <c r="G60" s="633"/>
      <c r="H60" s="626"/>
      <c r="I60" s="632">
        <f>23033.06/7.5345</f>
        <v>3057.0124095825868</v>
      </c>
      <c r="J60" s="632"/>
      <c r="K60" s="1180">
        <f>7013.49+136.87+119.45+236.57+724.17+76.9+136.87+236.57+323.51+907.5+150+198.75+236.57+236.57+236.57+236.57+236.57+236.57+236.57+236.57+236.57+211.53+211.53+211.53+211.53+211.53+211.53+211.53+211.53+211.53+211.53+211.53+211.53+236.57+136.87+136.87+136.87+136.87</f>
        <v>15712.190000000008</v>
      </c>
      <c r="L60" s="1082"/>
      <c r="M60" s="384"/>
      <c r="N60" s="1188"/>
      <c r="O60" s="703">
        <f>130520.69/7.5345</f>
        <v>17323.072533014798</v>
      </c>
      <c r="P60" s="703"/>
      <c r="Q60" s="1188">
        <f>39743.1+775.61+676.87+1340.54+4103.62+435.74+775.61+1340.54+1833.24+5142.5+850+1126.25+1340.54+1340.54+1340.54+1340.54+1340.54+1340.54+1340.54+1340.54+1340.54+1198.65+1198.65+1198.65+1198.65+1198.65+1198.65+1198.65+1198.65+1198.65+1198.65+1198.65+1198.65+1340.54+775.61+775.61+775.61+775.61</f>
        <v>89035.259999999907</v>
      </c>
      <c r="R60" s="703"/>
      <c r="S60" s="703"/>
      <c r="T60" s="1188"/>
      <c r="U60" s="1197"/>
      <c r="V60" s="1026">
        <f>7836/7.5345</f>
        <v>1040.0159267370097</v>
      </c>
      <c r="W60" s="736"/>
      <c r="X60" s="1210">
        <f>151.13+50+58+60+60+90+140+59.85+60</f>
        <v>728.98</v>
      </c>
      <c r="Y60" s="737"/>
      <c r="Z60" s="737"/>
      <c r="AA60" s="1208"/>
      <c r="AB60" s="737"/>
      <c r="AC60" s="1208"/>
      <c r="AD60" s="737"/>
      <c r="AE60" s="1208"/>
      <c r="AF60" s="737"/>
      <c r="AG60" s="1208"/>
      <c r="AH60" s="737"/>
      <c r="AI60" s="737"/>
      <c r="AJ60" s="1208"/>
      <c r="AK60" s="737"/>
      <c r="AL60" s="737"/>
      <c r="AM60" s="1216"/>
      <c r="AN60" s="988"/>
      <c r="AO60" s="791"/>
      <c r="AP60" s="1222"/>
      <c r="AQ60" s="792"/>
      <c r="AR60" s="793"/>
      <c r="AS60" s="996"/>
      <c r="AT60" s="941"/>
      <c r="AU60" s="864"/>
      <c r="AV60" s="1240"/>
      <c r="AW60" s="1241"/>
      <c r="AX60" s="951"/>
      <c r="AY60" s="909"/>
      <c r="AZ60" s="595"/>
      <c r="BA60" s="136">
        <f t="shared" si="215"/>
        <v>21420.100869334397</v>
      </c>
      <c r="BB60" s="148"/>
      <c r="BC60" s="1263">
        <f>AS60+AP60+AM60+AJ60+AG60+AE60+AC60+AA60+X60+U60+T60+Q60+N60+K60+H60+E60</f>
        <v>105476.42999999991</v>
      </c>
      <c r="BD60" s="189">
        <v>321311</v>
      </c>
      <c r="BE60" s="34"/>
    </row>
    <row r="61" spans="1:148" ht="15.75" thickBot="1" x14ac:dyDescent="0.3">
      <c r="A61" s="46">
        <v>321321</v>
      </c>
      <c r="B61" s="29" t="s">
        <v>34</v>
      </c>
      <c r="C61" s="618"/>
      <c r="D61" s="618"/>
      <c r="E61" s="657"/>
      <c r="F61" s="620"/>
      <c r="G61" s="620"/>
      <c r="H61" s="657"/>
      <c r="I61" s="619"/>
      <c r="J61" s="619"/>
      <c r="K61" s="1067">
        <f>747.13+1022.72</f>
        <v>1769.85</v>
      </c>
      <c r="L61" s="1077"/>
      <c r="M61" s="379"/>
      <c r="N61" s="709"/>
      <c r="O61" s="700"/>
      <c r="P61" s="700"/>
      <c r="Q61" s="709">
        <f>4233.75+5795.41</f>
        <v>10029.16</v>
      </c>
      <c r="R61" s="700"/>
      <c r="S61" s="700"/>
      <c r="T61" s="709"/>
      <c r="U61" s="1096"/>
      <c r="V61" s="1021"/>
      <c r="W61" s="730"/>
      <c r="X61" s="752"/>
      <c r="Y61" s="731"/>
      <c r="Z61" s="731"/>
      <c r="AA61" s="752"/>
      <c r="AB61" s="731"/>
      <c r="AC61" s="752"/>
      <c r="AD61" s="731"/>
      <c r="AE61" s="752"/>
      <c r="AF61" s="731"/>
      <c r="AG61" s="752"/>
      <c r="AH61" s="731"/>
      <c r="AI61" s="731"/>
      <c r="AJ61" s="752"/>
      <c r="AK61" s="731"/>
      <c r="AL61" s="731"/>
      <c r="AM61" s="1038"/>
      <c r="AN61" s="983"/>
      <c r="AO61" s="780"/>
      <c r="AP61" s="818"/>
      <c r="AQ61" s="781"/>
      <c r="AR61" s="782"/>
      <c r="AS61" s="1001"/>
      <c r="AT61" s="936"/>
      <c r="AU61" s="859"/>
      <c r="AV61" s="877"/>
      <c r="AW61" s="878"/>
      <c r="AX61" s="956"/>
      <c r="AY61" s="906"/>
      <c r="AZ61" s="601"/>
      <c r="BA61" s="136">
        <f t="shared" si="215"/>
        <v>0</v>
      </c>
      <c r="BB61" s="144"/>
      <c r="BC61" s="1263">
        <f>AS61+AP61+AM61+AJ61+AG61+AE61+AC61+AA61+X61+U61+T61+Q61+N61+K61+H61+E61</f>
        <v>11799.01</v>
      </c>
      <c r="BD61" s="187">
        <v>321321</v>
      </c>
      <c r="BE61" s="34"/>
      <c r="BF61" s="1650"/>
    </row>
    <row r="62" spans="1:148" s="2" customFormat="1" ht="15.75" thickBot="1" x14ac:dyDescent="0.3">
      <c r="A62" s="76">
        <v>3213</v>
      </c>
      <c r="B62" s="81" t="s">
        <v>35</v>
      </c>
      <c r="C62" s="645">
        <f>C60+C61</f>
        <v>0</v>
      </c>
      <c r="D62" s="621">
        <f>D60+D61</f>
        <v>0</v>
      </c>
      <c r="E62" s="622">
        <f>E60+E61</f>
        <v>0</v>
      </c>
      <c r="F62" s="623">
        <f>F60+F61</f>
        <v>0</v>
      </c>
      <c r="G62" s="623">
        <f>G60+G61</f>
        <v>0</v>
      </c>
      <c r="H62" s="622">
        <f t="shared" ref="H62:K62" si="246">H60+H61</f>
        <v>0</v>
      </c>
      <c r="I62" s="622">
        <f>I60+I61</f>
        <v>3057.0124095825868</v>
      </c>
      <c r="J62" s="622">
        <f t="shared" si="246"/>
        <v>0</v>
      </c>
      <c r="K62" s="1060">
        <f t="shared" si="246"/>
        <v>17482.040000000008</v>
      </c>
      <c r="L62" s="1078">
        <f>L60+L61</f>
        <v>0</v>
      </c>
      <c r="M62" s="381">
        <f t="shared" ref="M62:P62" si="247">M60+M61</f>
        <v>0</v>
      </c>
      <c r="N62" s="382">
        <f t="shared" si="247"/>
        <v>0</v>
      </c>
      <c r="O62" s="382">
        <f>O60+O61</f>
        <v>17323.072533014798</v>
      </c>
      <c r="P62" s="382">
        <f t="shared" si="247"/>
        <v>0</v>
      </c>
      <c r="Q62" s="382">
        <f>Q60+Q61</f>
        <v>99064.419999999911</v>
      </c>
      <c r="R62" s="382">
        <f>R60+R61</f>
        <v>0</v>
      </c>
      <c r="S62" s="382">
        <f t="shared" ref="S62:U62" si="248">S60+S61</f>
        <v>0</v>
      </c>
      <c r="T62" s="382">
        <f t="shared" ref="T62" si="249">T60+T61</f>
        <v>0</v>
      </c>
      <c r="U62" s="1079">
        <f t="shared" si="248"/>
        <v>0</v>
      </c>
      <c r="V62" s="1022">
        <f>V60+V61</f>
        <v>1040.0159267370097</v>
      </c>
      <c r="W62" s="732">
        <f t="shared" ref="W62:AC62" si="250">W60+W61</f>
        <v>0</v>
      </c>
      <c r="X62" s="733">
        <f>X60+X61</f>
        <v>728.98</v>
      </c>
      <c r="Y62" s="733">
        <f t="shared" ref="Y62" si="251">Y60+Y61</f>
        <v>0</v>
      </c>
      <c r="Z62" s="733">
        <f t="shared" si="250"/>
        <v>0</v>
      </c>
      <c r="AA62" s="733">
        <f t="shared" si="250"/>
        <v>0</v>
      </c>
      <c r="AB62" s="733">
        <f t="shared" si="250"/>
        <v>0</v>
      </c>
      <c r="AC62" s="733">
        <f t="shared" si="250"/>
        <v>0</v>
      </c>
      <c r="AD62" s="733">
        <f t="shared" ref="AD62:AL62" si="252">AD60+AD61</f>
        <v>0</v>
      </c>
      <c r="AE62" s="733">
        <f t="shared" ref="AE62:AF62" si="253">AE60+AE61</f>
        <v>0</v>
      </c>
      <c r="AF62" s="733">
        <f t="shared" si="253"/>
        <v>0</v>
      </c>
      <c r="AG62" s="733">
        <f t="shared" ref="AG62:AK62" si="254">AG60+AG61</f>
        <v>0</v>
      </c>
      <c r="AH62" s="733">
        <f t="shared" ref="AH62" si="255">AH60+AH61</f>
        <v>0</v>
      </c>
      <c r="AI62" s="733">
        <f t="shared" si="254"/>
        <v>0</v>
      </c>
      <c r="AJ62" s="733">
        <f t="shared" si="254"/>
        <v>0</v>
      </c>
      <c r="AK62" s="733">
        <f t="shared" si="254"/>
        <v>0</v>
      </c>
      <c r="AL62" s="733">
        <f t="shared" si="252"/>
        <v>0</v>
      </c>
      <c r="AM62" s="1023">
        <f t="shared" ref="AM62:AO62" si="256">AM60+AM61</f>
        <v>0</v>
      </c>
      <c r="AN62" s="984">
        <f t="shared" ref="AN62" si="257">AN60+AN61</f>
        <v>0</v>
      </c>
      <c r="AO62" s="783">
        <f t="shared" si="256"/>
        <v>0</v>
      </c>
      <c r="AP62" s="784">
        <f t="shared" ref="AP62" si="258">AP60+AP61</f>
        <v>0</v>
      </c>
      <c r="AQ62" s="785">
        <f>AQ60+AQ61</f>
        <v>0</v>
      </c>
      <c r="AR62" s="786">
        <f>AR60+AR61</f>
        <v>0</v>
      </c>
      <c r="AS62" s="985">
        <f>AS60+AS61</f>
        <v>0</v>
      </c>
      <c r="AT62" s="937">
        <f t="shared" ref="AT62:AU62" si="259">AT60+AT61</f>
        <v>0</v>
      </c>
      <c r="AU62" s="860">
        <f t="shared" si="259"/>
        <v>0</v>
      </c>
      <c r="AV62" s="860">
        <f t="shared" ref="AV62:AW62" si="260">AV60+AV61</f>
        <v>0</v>
      </c>
      <c r="AW62" s="861">
        <f t="shared" si="260"/>
        <v>0</v>
      </c>
      <c r="AX62" s="938">
        <f>AX60+AX61</f>
        <v>0</v>
      </c>
      <c r="AY62" s="907">
        <f t="shared" ref="AY62" si="261">AY60+AY61</f>
        <v>0</v>
      </c>
      <c r="AZ62" s="586">
        <f>AZ60+AZ61</f>
        <v>0</v>
      </c>
      <c r="BA62" s="481">
        <f>SUM(BA60:BA61)</f>
        <v>21420.100869334397</v>
      </c>
      <c r="BB62" s="155">
        <f>AR62+AO62+AL62+AI62+AF62+AB62+AD62+Z62+W62+S62+P62+M62+J62+G62+D62</f>
        <v>0</v>
      </c>
      <c r="BC62" s="1265">
        <f>SUM(BC60:BC61)</f>
        <v>117275.4399999999</v>
      </c>
      <c r="BD62" s="188">
        <v>3213</v>
      </c>
      <c r="BE62" s="131"/>
      <c r="BF62" s="610"/>
      <c r="BG62" s="610"/>
      <c r="BH62" s="610"/>
      <c r="BI62" s="1655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</row>
    <row r="63" spans="1:148" s="6" customFormat="1" x14ac:dyDescent="0.25">
      <c r="A63" s="276">
        <v>321411</v>
      </c>
      <c r="B63" s="350" t="s">
        <v>147</v>
      </c>
      <c r="C63" s="646"/>
      <c r="D63" s="646"/>
      <c r="E63" s="1167"/>
      <c r="F63" s="648"/>
      <c r="G63" s="648"/>
      <c r="H63" s="1167"/>
      <c r="I63" s="647"/>
      <c r="J63" s="647"/>
      <c r="K63" s="1181"/>
      <c r="L63" s="1090"/>
      <c r="M63" s="391"/>
      <c r="N63" s="1189"/>
      <c r="O63" s="707"/>
      <c r="P63" s="707"/>
      <c r="Q63" s="1189"/>
      <c r="R63" s="707"/>
      <c r="S63" s="707"/>
      <c r="T63" s="1189"/>
      <c r="U63" s="1199"/>
      <c r="V63" s="1034">
        <f>3451/7.5345</f>
        <v>458.02641183887448</v>
      </c>
      <c r="W63" s="747"/>
      <c r="X63" s="1211">
        <v>396.5</v>
      </c>
      <c r="Y63" s="748"/>
      <c r="Z63" s="748"/>
      <c r="AA63" s="1209"/>
      <c r="AB63" s="748"/>
      <c r="AC63" s="1209"/>
      <c r="AD63" s="748"/>
      <c r="AE63" s="1209"/>
      <c r="AF63" s="748"/>
      <c r="AG63" s="1209"/>
      <c r="AH63" s="748"/>
      <c r="AI63" s="748"/>
      <c r="AJ63" s="1209"/>
      <c r="AK63" s="748"/>
      <c r="AL63" s="748"/>
      <c r="AM63" s="1217"/>
      <c r="AN63" s="997"/>
      <c r="AO63" s="810"/>
      <c r="AP63" s="1223"/>
      <c r="AQ63" s="811"/>
      <c r="AR63" s="812"/>
      <c r="AS63" s="1229"/>
      <c r="AT63" s="952"/>
      <c r="AU63" s="874"/>
      <c r="AV63" s="1243"/>
      <c r="AW63" s="1244"/>
      <c r="AX63" s="1245"/>
      <c r="AY63" s="917"/>
      <c r="AZ63" s="1132"/>
      <c r="BA63" s="136">
        <f t="shared" si="215"/>
        <v>458.02641183887448</v>
      </c>
      <c r="BB63" s="160"/>
      <c r="BC63" s="1274">
        <f>AS63+AP63+AM63+AJ63+AG63+AE63+AC63+AA63+X63+U63+T63+Q63+N63+K63+H63+E63</f>
        <v>396.5</v>
      </c>
      <c r="BD63" s="351">
        <v>321411</v>
      </c>
      <c r="BE63" s="34"/>
      <c r="BF63" s="610"/>
      <c r="BG63" s="610"/>
      <c r="BH63" s="610"/>
      <c r="BI63" s="1656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</row>
    <row r="64" spans="1:148" s="6" customFormat="1" ht="15.75" thickBot="1" x14ac:dyDescent="0.3">
      <c r="A64" s="78">
        <v>321491</v>
      </c>
      <c r="B64" s="79" t="s">
        <v>36</v>
      </c>
      <c r="C64" s="628"/>
      <c r="D64" s="628"/>
      <c r="E64" s="1165"/>
      <c r="F64" s="630"/>
      <c r="G64" s="630"/>
      <c r="H64" s="1165"/>
      <c r="I64" s="629"/>
      <c r="J64" s="629"/>
      <c r="K64" s="1180"/>
      <c r="L64" s="1082"/>
      <c r="M64" s="384"/>
      <c r="N64" s="1188"/>
      <c r="O64" s="703"/>
      <c r="P64" s="703"/>
      <c r="Q64" s="1188"/>
      <c r="R64" s="703">
        <f>20000/7.5345</f>
        <v>2654.4561682925209</v>
      </c>
      <c r="S64" s="703"/>
      <c r="T64" s="1188"/>
      <c r="U64" s="1197"/>
      <c r="V64" s="1026"/>
      <c r="W64" s="736"/>
      <c r="X64" s="1208"/>
      <c r="Y64" s="737"/>
      <c r="Z64" s="737"/>
      <c r="AA64" s="1208"/>
      <c r="AB64" s="737"/>
      <c r="AC64" s="1208"/>
      <c r="AD64" s="737"/>
      <c r="AE64" s="1208"/>
      <c r="AF64" s="737"/>
      <c r="AG64" s="1208"/>
      <c r="AH64" s="737"/>
      <c r="AI64" s="737"/>
      <c r="AJ64" s="1208"/>
      <c r="AK64" s="737"/>
      <c r="AL64" s="737"/>
      <c r="AM64" s="1216"/>
      <c r="AN64" s="988">
        <f>40.55/7.5345</f>
        <v>5.3819098812130859</v>
      </c>
      <c r="AO64" s="791"/>
      <c r="AP64" s="1222"/>
      <c r="AQ64" s="792"/>
      <c r="AR64" s="793"/>
      <c r="AS64" s="996"/>
      <c r="AT64" s="941"/>
      <c r="AU64" s="864"/>
      <c r="AV64" s="1240"/>
      <c r="AW64" s="1241"/>
      <c r="AX64" s="951"/>
      <c r="AY64" s="909"/>
      <c r="AZ64" s="595"/>
      <c r="BA64" s="136">
        <f t="shared" si="215"/>
        <v>2659.8380781737342</v>
      </c>
      <c r="BB64" s="148"/>
      <c r="BC64" s="1263">
        <f>AS64+AP64+AM64+AJ64+AG64+AE64+AC64+AA64+X64+U64+T64+Q64+N64+K64+H64+E64</f>
        <v>0</v>
      </c>
      <c r="BD64" s="189">
        <v>321491</v>
      </c>
      <c r="BE64" s="34"/>
      <c r="BF64" s="1650"/>
      <c r="BG64" s="610"/>
      <c r="BH64" s="610"/>
      <c r="BI64" s="1656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</row>
    <row r="65" spans="1:148" s="2" customFormat="1" ht="15.75" thickBot="1" x14ac:dyDescent="0.3">
      <c r="A65" s="76">
        <v>3214</v>
      </c>
      <c r="B65" s="81" t="s">
        <v>36</v>
      </c>
      <c r="C65" s="621">
        <f>C63</f>
        <v>0</v>
      </c>
      <c r="D65" s="621">
        <f>D63</f>
        <v>0</v>
      </c>
      <c r="E65" s="622">
        <f>E63</f>
        <v>0</v>
      </c>
      <c r="F65" s="623">
        <f>F63</f>
        <v>0</v>
      </c>
      <c r="G65" s="623">
        <f>G63</f>
        <v>0</v>
      </c>
      <c r="H65" s="622">
        <f t="shared" ref="H65:K65" si="262">H63</f>
        <v>0</v>
      </c>
      <c r="I65" s="622">
        <f t="shared" ref="I65" si="263">I63</f>
        <v>0</v>
      </c>
      <c r="J65" s="622">
        <f t="shared" si="262"/>
        <v>0</v>
      </c>
      <c r="K65" s="1060">
        <f t="shared" si="262"/>
        <v>0</v>
      </c>
      <c r="L65" s="1078">
        <f>L63+L64</f>
        <v>0</v>
      </c>
      <c r="M65" s="381">
        <f t="shared" ref="M65:Q65" si="264">M63</f>
        <v>0</v>
      </c>
      <c r="N65" s="382">
        <f>N63</f>
        <v>0</v>
      </c>
      <c r="O65" s="382">
        <f>O63+O64</f>
        <v>0</v>
      </c>
      <c r="P65" s="382">
        <f t="shared" si="264"/>
        <v>0</v>
      </c>
      <c r="Q65" s="382">
        <f t="shared" si="264"/>
        <v>0</v>
      </c>
      <c r="R65" s="382">
        <f>R63+R64</f>
        <v>2654.4561682925209</v>
      </c>
      <c r="S65" s="382">
        <f t="shared" ref="S65:U65" si="265">S63</f>
        <v>0</v>
      </c>
      <c r="T65" s="382">
        <f>SUM(T63:T64)</f>
        <v>0</v>
      </c>
      <c r="U65" s="1079">
        <f t="shared" si="265"/>
        <v>0</v>
      </c>
      <c r="V65" s="1022">
        <f>V63</f>
        <v>458.02641183887448</v>
      </c>
      <c r="W65" s="732">
        <f>W63</f>
        <v>0</v>
      </c>
      <c r="X65" s="733">
        <f>X63+X64</f>
        <v>396.5</v>
      </c>
      <c r="Y65" s="733">
        <f t="shared" ref="Y65" si="266">Y63+Y64</f>
        <v>0</v>
      </c>
      <c r="Z65" s="733">
        <f t="shared" ref="Z65:AL65" si="267">Z63+Z64</f>
        <v>0</v>
      </c>
      <c r="AA65" s="733">
        <f t="shared" si="267"/>
        <v>0</v>
      </c>
      <c r="AB65" s="733">
        <f t="shared" si="267"/>
        <v>0</v>
      </c>
      <c r="AC65" s="733">
        <f t="shared" si="267"/>
        <v>0</v>
      </c>
      <c r="AD65" s="733">
        <f t="shared" si="267"/>
        <v>0</v>
      </c>
      <c r="AE65" s="733">
        <f t="shared" si="267"/>
        <v>0</v>
      </c>
      <c r="AF65" s="733">
        <f t="shared" si="267"/>
        <v>0</v>
      </c>
      <c r="AG65" s="733">
        <f t="shared" si="267"/>
        <v>0</v>
      </c>
      <c r="AH65" s="733">
        <f t="shared" ref="AH65" si="268">AH63+AH64</f>
        <v>0</v>
      </c>
      <c r="AI65" s="733">
        <f t="shared" si="267"/>
        <v>0</v>
      </c>
      <c r="AJ65" s="733">
        <f t="shared" si="267"/>
        <v>0</v>
      </c>
      <c r="AK65" s="733">
        <f t="shared" ref="AK65" si="269">AK63+AK64</f>
        <v>0</v>
      </c>
      <c r="AL65" s="733">
        <f t="shared" si="267"/>
        <v>0</v>
      </c>
      <c r="AM65" s="1023">
        <f t="shared" ref="AM65" si="270">AM63</f>
        <v>0</v>
      </c>
      <c r="AN65" s="984">
        <f>SUM(AN63:AN64)</f>
        <v>5.3819098812130859</v>
      </c>
      <c r="AO65" s="783">
        <f>AO63</f>
        <v>0</v>
      </c>
      <c r="AP65" s="784">
        <f>SUM(AP63:AP64)</f>
        <v>0</v>
      </c>
      <c r="AQ65" s="785"/>
      <c r="AR65" s="786"/>
      <c r="AS65" s="985"/>
      <c r="AT65" s="937">
        <f t="shared" ref="AT65:AW65" si="271">AT63</f>
        <v>0</v>
      </c>
      <c r="AU65" s="860">
        <f t="shared" ref="AU65" si="272">AU63</f>
        <v>0</v>
      </c>
      <c r="AV65" s="860">
        <f t="shared" si="271"/>
        <v>0</v>
      </c>
      <c r="AW65" s="861">
        <f t="shared" si="271"/>
        <v>0</v>
      </c>
      <c r="AX65" s="938"/>
      <c r="AY65" s="907">
        <f t="shared" ref="AY65" si="273">AY63</f>
        <v>0</v>
      </c>
      <c r="AZ65" s="586"/>
      <c r="BA65" s="481">
        <f>SUM(BA63:BA64)</f>
        <v>3117.8644900126087</v>
      </c>
      <c r="BB65" s="155">
        <f>AR65+AO65+AL65+AI65+AF65+AB65+AD65+Z65+W65+S65+P65+M65+J65+G65+D65</f>
        <v>0</v>
      </c>
      <c r="BC65" s="1265">
        <f>SUM(BC63:BC64)</f>
        <v>396.5</v>
      </c>
      <c r="BD65" s="188">
        <v>3214</v>
      </c>
      <c r="BE65" s="131"/>
      <c r="BF65" s="1651"/>
      <c r="BG65" s="610"/>
      <c r="BH65" s="610"/>
      <c r="BI65" s="1655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</row>
    <row r="66" spans="1:148" ht="14.25" customHeight="1" thickBot="1" x14ac:dyDescent="0.3">
      <c r="A66" s="204">
        <v>321</v>
      </c>
      <c r="B66" s="340" t="s">
        <v>37</v>
      </c>
      <c r="C66" s="659">
        <f>C57+C59+C62+C65</f>
        <v>33.97703895414427</v>
      </c>
      <c r="D66" s="660">
        <v>398</v>
      </c>
      <c r="E66" s="661">
        <f>E57+E59+E62+E65</f>
        <v>63.55</v>
      </c>
      <c r="F66" s="661">
        <f>F57+F59+F62+F65</f>
        <v>0</v>
      </c>
      <c r="G66" s="662">
        <f>G57+G59+G62+G65</f>
        <v>0</v>
      </c>
      <c r="H66" s="661">
        <f t="shared" ref="H66" si="274">H57+H59+H62+H65</f>
        <v>0</v>
      </c>
      <c r="I66" s="661">
        <f>I57+I59+I62+I65</f>
        <v>6773.7620280045121</v>
      </c>
      <c r="J66" s="661">
        <v>43500</v>
      </c>
      <c r="K66" s="1068">
        <f>K57+K59+K62+K65</f>
        <v>39291.090000000011</v>
      </c>
      <c r="L66" s="1097">
        <f t="shared" ref="L66:N66" si="275">L57+L59+L62+L65</f>
        <v>0</v>
      </c>
      <c r="M66" s="395">
        <f t="shared" si="275"/>
        <v>0</v>
      </c>
      <c r="N66" s="396">
        <f t="shared" si="275"/>
        <v>0</v>
      </c>
      <c r="O66" s="396">
        <f>O57+O59+O62+O65</f>
        <v>38384.678478996619</v>
      </c>
      <c r="P66" s="396">
        <v>246500</v>
      </c>
      <c r="Q66" s="396">
        <f>Q57+Q59+Q62+Q65</f>
        <v>222650.09999999989</v>
      </c>
      <c r="R66" s="396">
        <f t="shared" ref="R66" si="276">R57+R59+R62+R65</f>
        <v>2654.4561682925209</v>
      </c>
      <c r="S66" s="396">
        <f>6700+16120+6500</f>
        <v>29320</v>
      </c>
      <c r="T66" s="396">
        <f>T57+T59+T62+T65</f>
        <v>6697.5699999999979</v>
      </c>
      <c r="U66" s="1098">
        <f t="shared" ref="U66" si="277">U57+U59+U62+U65</f>
        <v>17022.29</v>
      </c>
      <c r="V66" s="1041">
        <f>V57+V59+V62+V65</f>
        <v>30579.938947508126</v>
      </c>
      <c r="W66" s="755">
        <v>29300</v>
      </c>
      <c r="X66" s="756">
        <f>X57+X59+X62+X65</f>
        <v>29356.909999999993</v>
      </c>
      <c r="Y66" s="756">
        <f>Y57+Y59+Y62+Y65</f>
        <v>0</v>
      </c>
      <c r="Z66" s="756">
        <f t="shared" ref="Z66:AD66" si="278">Z57+Z59+Z62+Z65</f>
        <v>0</v>
      </c>
      <c r="AA66" s="756">
        <f t="shared" ref="AA66:AB66" si="279">AA57+AA59+AA62+AA65</f>
        <v>0</v>
      </c>
      <c r="AB66" s="756">
        <f t="shared" si="279"/>
        <v>0</v>
      </c>
      <c r="AC66" s="756">
        <f t="shared" ref="AC66" si="280">AC57+AC59+AC62+AC65</f>
        <v>0</v>
      </c>
      <c r="AD66" s="756">
        <f t="shared" si="278"/>
        <v>0</v>
      </c>
      <c r="AE66" s="756">
        <f t="shared" ref="AE66:AF66" si="281">AE57+AE59+AE62+AE65</f>
        <v>0</v>
      </c>
      <c r="AF66" s="756">
        <f t="shared" si="281"/>
        <v>0</v>
      </c>
      <c r="AG66" s="756">
        <f t="shared" ref="AG66:AK66" si="282">AG57+AG59+AG62+AG65</f>
        <v>0</v>
      </c>
      <c r="AH66" s="756">
        <f t="shared" ref="AH66" si="283">AH57+AH59+AH62+AH65</f>
        <v>0</v>
      </c>
      <c r="AI66" s="756">
        <f t="shared" si="282"/>
        <v>0</v>
      </c>
      <c r="AJ66" s="756">
        <f t="shared" si="282"/>
        <v>0</v>
      </c>
      <c r="AK66" s="756">
        <f t="shared" si="282"/>
        <v>0</v>
      </c>
      <c r="AL66" s="756">
        <v>200</v>
      </c>
      <c r="AM66" s="1042">
        <f t="shared" ref="AM66" si="284">AM57+AM59+AM62+AM65</f>
        <v>151.91999999999999</v>
      </c>
      <c r="AN66" s="1003">
        <f>AN57+AN59+AN62+AN65</f>
        <v>1124.5139027141813</v>
      </c>
      <c r="AO66" s="823">
        <v>2100</v>
      </c>
      <c r="AP66" s="824">
        <f>AP57+AP59+AP62+AP65</f>
        <v>1571.1999999999998</v>
      </c>
      <c r="AQ66" s="800">
        <f>AQ57+AQ59+AQ62+AQ65</f>
        <v>0</v>
      </c>
      <c r="AR66" s="800">
        <f>AR57+AR59+AR62+AR65</f>
        <v>0</v>
      </c>
      <c r="AS66" s="991">
        <f>AS57+AS59+AS62+AS65</f>
        <v>0</v>
      </c>
      <c r="AT66" s="959">
        <f>AT57+AT59+AT62+AT65</f>
        <v>29.213617360143338</v>
      </c>
      <c r="AU66" s="881"/>
      <c r="AV66" s="882">
        <f>AV57+AV59+AV62+AV65</f>
        <v>0</v>
      </c>
      <c r="AW66" s="882">
        <f>AW57+AW59+AW62+AW65</f>
        <v>0</v>
      </c>
      <c r="AX66" s="948">
        <f>AX57+AX59+AX62+AX65</f>
        <v>0</v>
      </c>
      <c r="AY66" s="921">
        <f>AY57+AY59+AY62+AY65</f>
        <v>0</v>
      </c>
      <c r="AZ66" s="593">
        <f>AZ57+AZ59+AZ62+AZ65</f>
        <v>0</v>
      </c>
      <c r="BA66" s="163">
        <f>BA65+BA62+BA59+BA57</f>
        <v>79580.540181830249</v>
      </c>
      <c r="BB66" s="162">
        <f>AR66+AO66+AL66+AI66+AF66+AB66+AD66+Z66+W66+S66+P66+M66+J66+G66+D66+AU66</f>
        <v>351318</v>
      </c>
      <c r="BC66" s="1275">
        <f>BC65+BC62+BC59+BC57</f>
        <v>316804.62999999989</v>
      </c>
      <c r="BD66" s="346">
        <v>321</v>
      </c>
      <c r="BE66" s="132"/>
      <c r="BF66" s="1651"/>
    </row>
    <row r="67" spans="1:148" ht="15.75" thickTop="1" x14ac:dyDescent="0.25">
      <c r="A67" s="74">
        <v>322111</v>
      </c>
      <c r="B67" s="85" t="s">
        <v>38</v>
      </c>
      <c r="C67" s="631"/>
      <c r="D67" s="631"/>
      <c r="E67" s="626">
        <v>54.19</v>
      </c>
      <c r="F67" s="633"/>
      <c r="G67" s="633"/>
      <c r="H67" s="626"/>
      <c r="I67" s="632">
        <f>514.61/7.5345</f>
        <v>68.300484438250706</v>
      </c>
      <c r="J67" s="632"/>
      <c r="K67" s="1061">
        <f>14.56+26+14.02</f>
        <v>54.58</v>
      </c>
      <c r="L67" s="1083"/>
      <c r="M67" s="385"/>
      <c r="N67" s="701"/>
      <c r="O67" s="704">
        <f>2916.14/7.5345</f>
        <v>387.03829053022758</v>
      </c>
      <c r="P67" s="704"/>
      <c r="Q67" s="701">
        <f>82.54+147.36+79.42</f>
        <v>309.32000000000005</v>
      </c>
      <c r="R67" s="704"/>
      <c r="S67" s="704"/>
      <c r="T67" s="701"/>
      <c r="U67" s="1106"/>
      <c r="V67" s="1027">
        <f>21147.24/7.5345</f>
        <v>2806.7210830181166</v>
      </c>
      <c r="W67" s="739"/>
      <c r="X67" s="735">
        <f>335.57+75.21+707.72+46.25+12.48+14.71+3.15+443.9+450.57+179.21-4.4+50.06+210.32+288.27+261.58+125.48+191.78-288.27</f>
        <v>3103.5900000000006</v>
      </c>
      <c r="Y67" s="739"/>
      <c r="Z67" s="739"/>
      <c r="AA67" s="735"/>
      <c r="AB67" s="739"/>
      <c r="AC67" s="735"/>
      <c r="AD67" s="739"/>
      <c r="AE67" s="735"/>
      <c r="AF67" s="739"/>
      <c r="AG67" s="735"/>
      <c r="AH67" s="739"/>
      <c r="AI67" s="739"/>
      <c r="AJ67" s="735"/>
      <c r="AK67" s="739"/>
      <c r="AL67" s="739"/>
      <c r="AM67" s="1025">
        <f>10.45+57.75</f>
        <v>68.2</v>
      </c>
      <c r="AN67" s="989"/>
      <c r="AO67" s="794"/>
      <c r="AP67" s="788">
        <f>167.7+288.27</f>
        <v>455.96999999999997</v>
      </c>
      <c r="AQ67" s="795"/>
      <c r="AR67" s="796"/>
      <c r="AS67" s="987"/>
      <c r="AT67" s="942"/>
      <c r="AU67" s="865"/>
      <c r="AV67" s="862"/>
      <c r="AW67" s="863"/>
      <c r="AX67" s="940"/>
      <c r="AY67" s="910"/>
      <c r="AZ67" s="589"/>
      <c r="BA67" s="136">
        <f t="shared" ref="BA67:BA108" si="285">AQ67+AN67+AK67+AH67+Y67+V67+R67+O67+L67+I67+F67+C67+AT67</f>
        <v>3262.059857986595</v>
      </c>
      <c r="BB67" s="143"/>
      <c r="BC67" s="1263">
        <f>AS67+AP67+AM67+AJ67+AG67+AE67+AC67+AA67+X67+U67+T67+Q67+N67+K67+H67+E67</f>
        <v>4045.8500000000008</v>
      </c>
      <c r="BD67" s="185">
        <v>322111</v>
      </c>
      <c r="BE67" s="34"/>
      <c r="BF67" s="1650"/>
    </row>
    <row r="68" spans="1:148" x14ac:dyDescent="0.25">
      <c r="A68" s="45">
        <v>322121</v>
      </c>
      <c r="B68" s="30" t="s">
        <v>39</v>
      </c>
      <c r="C68" s="615"/>
      <c r="D68" s="615"/>
      <c r="E68" s="654"/>
      <c r="F68" s="617"/>
      <c r="G68" s="617"/>
      <c r="H68" s="654"/>
      <c r="I68" s="616"/>
      <c r="J68" s="616"/>
      <c r="K68" s="1066"/>
      <c r="L68" s="1076"/>
      <c r="M68" s="378"/>
      <c r="N68" s="708"/>
      <c r="O68" s="699"/>
      <c r="P68" s="699"/>
      <c r="Q68" s="708"/>
      <c r="R68" s="699"/>
      <c r="S68" s="699"/>
      <c r="T68" s="708"/>
      <c r="U68" s="1094"/>
      <c r="V68" s="1020">
        <f>6827.8/7.5345</f>
        <v>906.20479129338378</v>
      </c>
      <c r="W68" s="729"/>
      <c r="X68" s="750">
        <f>895.7+39.9</f>
        <v>935.6</v>
      </c>
      <c r="Y68" s="729"/>
      <c r="Z68" s="729"/>
      <c r="AA68" s="750"/>
      <c r="AB68" s="729"/>
      <c r="AC68" s="750"/>
      <c r="AD68" s="729"/>
      <c r="AE68" s="750"/>
      <c r="AF68" s="729"/>
      <c r="AG68" s="750"/>
      <c r="AH68" s="729"/>
      <c r="AI68" s="729"/>
      <c r="AJ68" s="750"/>
      <c r="AK68" s="729"/>
      <c r="AL68" s="729"/>
      <c r="AM68" s="1036"/>
      <c r="AN68" s="982"/>
      <c r="AO68" s="777"/>
      <c r="AP68" s="814">
        <v>20.079999999999998</v>
      </c>
      <c r="AQ68" s="778"/>
      <c r="AR68" s="779"/>
      <c r="AS68" s="999"/>
      <c r="AT68" s="935"/>
      <c r="AU68" s="858"/>
      <c r="AV68" s="875"/>
      <c r="AW68" s="876"/>
      <c r="AX68" s="954"/>
      <c r="AY68" s="905"/>
      <c r="AZ68" s="600"/>
      <c r="BA68" s="136">
        <f t="shared" si="285"/>
        <v>906.20479129338378</v>
      </c>
      <c r="BB68" s="139"/>
      <c r="BC68" s="1263">
        <f>AS68+AP68+AM68+AJ68+AG68+AE68+AC68+AA68+X68+U68+T68+Q68+N68+K68+H68+E68</f>
        <v>955.68000000000006</v>
      </c>
      <c r="BD68" s="186">
        <v>322121</v>
      </c>
      <c r="BE68" s="34"/>
    </row>
    <row r="69" spans="1:148" x14ac:dyDescent="0.25">
      <c r="A69" s="45">
        <v>322141</v>
      </c>
      <c r="B69" s="30" t="s">
        <v>40</v>
      </c>
      <c r="C69" s="615"/>
      <c r="D69" s="615"/>
      <c r="E69" s="654"/>
      <c r="F69" s="617"/>
      <c r="G69" s="617"/>
      <c r="H69" s="654"/>
      <c r="I69" s="616"/>
      <c r="J69" s="616"/>
      <c r="K69" s="1066">
        <v>81.67</v>
      </c>
      <c r="L69" s="1076"/>
      <c r="M69" s="378"/>
      <c r="N69" s="708"/>
      <c r="O69" s="699"/>
      <c r="P69" s="699"/>
      <c r="Q69" s="708">
        <v>462.76</v>
      </c>
      <c r="R69" s="699"/>
      <c r="S69" s="699"/>
      <c r="T69" s="708"/>
      <c r="U69" s="1094"/>
      <c r="V69" s="1020">
        <f>31319.93/7.5345</f>
        <v>4156.8690689494988</v>
      </c>
      <c r="W69" s="729"/>
      <c r="X69" s="750">
        <f>3064.17+73.37+478.87-32.81+20.82+111.85+58.05+603.62+216.41</f>
        <v>4594.3500000000004</v>
      </c>
      <c r="Y69" s="729"/>
      <c r="Z69" s="729"/>
      <c r="AA69" s="750"/>
      <c r="AB69" s="729"/>
      <c r="AC69" s="750"/>
      <c r="AD69" s="729"/>
      <c r="AE69" s="750"/>
      <c r="AF69" s="729"/>
      <c r="AG69" s="750"/>
      <c r="AH69" s="729"/>
      <c r="AI69" s="729"/>
      <c r="AJ69" s="750"/>
      <c r="AK69" s="729"/>
      <c r="AL69" s="729"/>
      <c r="AM69" s="1036"/>
      <c r="AN69" s="982"/>
      <c r="AO69" s="777"/>
      <c r="AP69" s="814"/>
      <c r="AQ69" s="778"/>
      <c r="AR69" s="779"/>
      <c r="AS69" s="999"/>
      <c r="AT69" s="935"/>
      <c r="AU69" s="858"/>
      <c r="AV69" s="875"/>
      <c r="AW69" s="876"/>
      <c r="AX69" s="954"/>
      <c r="AY69" s="905"/>
      <c r="AZ69" s="600"/>
      <c r="BA69" s="136">
        <f t="shared" si="285"/>
        <v>4156.8690689494988</v>
      </c>
      <c r="BB69" s="139"/>
      <c r="BC69" s="1263">
        <f>AS69+AP69+AM69+AJ69+AG69+AE69+AC69+AA69+X69+U69+T69+Q69+N69+K69+H69+E69</f>
        <v>5138.7800000000007</v>
      </c>
      <c r="BD69" s="186">
        <v>322141</v>
      </c>
      <c r="BE69" s="34"/>
    </row>
    <row r="70" spans="1:148" x14ac:dyDescent="0.25">
      <c r="A70" s="45">
        <v>322161</v>
      </c>
      <c r="B70" s="30" t="s">
        <v>41</v>
      </c>
      <c r="C70" s="615"/>
      <c r="D70" s="615"/>
      <c r="E70" s="654"/>
      <c r="F70" s="617"/>
      <c r="G70" s="617"/>
      <c r="H70" s="654"/>
      <c r="I70" s="616"/>
      <c r="J70" s="616"/>
      <c r="K70" s="1066">
        <v>108.5</v>
      </c>
      <c r="L70" s="1076"/>
      <c r="M70" s="378"/>
      <c r="N70" s="708"/>
      <c r="O70" s="699"/>
      <c r="P70" s="699"/>
      <c r="Q70" s="708">
        <v>614.84</v>
      </c>
      <c r="R70" s="699"/>
      <c r="S70" s="699"/>
      <c r="T70" s="708"/>
      <c r="U70" s="1094"/>
      <c r="V70" s="1020">
        <f>49736.92/7.5345</f>
        <v>6601.2237042935822</v>
      </c>
      <c r="W70" s="729"/>
      <c r="X70" s="750">
        <f>4268.61+433.13+10.56+63.45+479.95+15.84+180.69-180.69-164.25-577.56</f>
        <v>4529.7299999999996</v>
      </c>
      <c r="Y70" s="729"/>
      <c r="Z70" s="729"/>
      <c r="AA70" s="750"/>
      <c r="AB70" s="729"/>
      <c r="AC70" s="750"/>
      <c r="AD70" s="729"/>
      <c r="AE70" s="750"/>
      <c r="AF70" s="729"/>
      <c r="AG70" s="750"/>
      <c r="AH70" s="729"/>
      <c r="AI70" s="729"/>
      <c r="AJ70" s="750"/>
      <c r="AK70" s="729"/>
      <c r="AL70" s="729"/>
      <c r="AM70" s="1036"/>
      <c r="AN70" s="982"/>
      <c r="AO70" s="777"/>
      <c r="AP70" s="814">
        <f>180.69+164.25+577.56</f>
        <v>922.5</v>
      </c>
      <c r="AQ70" s="778"/>
      <c r="AR70" s="779"/>
      <c r="AS70" s="999"/>
      <c r="AT70" s="935"/>
      <c r="AU70" s="858"/>
      <c r="AV70" s="875"/>
      <c r="AW70" s="876"/>
      <c r="AX70" s="954"/>
      <c r="AY70" s="905"/>
      <c r="AZ70" s="600"/>
      <c r="BA70" s="136">
        <f t="shared" si="285"/>
        <v>6601.2237042935822</v>
      </c>
      <c r="BB70" s="139"/>
      <c r="BC70" s="1263">
        <f>AS70+AP70+AM70+AJ70+AG70+AE70+AC70+AA70+X70+U70+T70+Q70+N70+K70+H70+E70</f>
        <v>6175.57</v>
      </c>
      <c r="BD70" s="186">
        <v>322161</v>
      </c>
      <c r="BE70" s="34"/>
    </row>
    <row r="71" spans="1:148" ht="15.75" thickBot="1" x14ac:dyDescent="0.3">
      <c r="A71" s="46">
        <v>322191</v>
      </c>
      <c r="B71" s="29" t="s">
        <v>42</v>
      </c>
      <c r="C71" s="618"/>
      <c r="D71" s="618"/>
      <c r="E71" s="657"/>
      <c r="F71" s="620"/>
      <c r="G71" s="620"/>
      <c r="H71" s="657"/>
      <c r="I71" s="619"/>
      <c r="J71" s="619"/>
      <c r="K71" s="1067">
        <v>236.93</v>
      </c>
      <c r="L71" s="1077"/>
      <c r="M71" s="379"/>
      <c r="N71" s="709"/>
      <c r="O71" s="700"/>
      <c r="P71" s="700"/>
      <c r="Q71" s="709">
        <v>1342.62</v>
      </c>
      <c r="R71" s="700"/>
      <c r="S71" s="700"/>
      <c r="T71" s="709"/>
      <c r="U71" s="1096">
        <v>187.99</v>
      </c>
      <c r="V71" s="1021">
        <f>1949.58/7.5345</f>
        <v>258.75373282898664</v>
      </c>
      <c r="W71" s="731"/>
      <c r="X71" s="752">
        <f>33.99+14.36+43.97+200.75+5.4+14+19.91-5.4-200.75-43.97</f>
        <v>82.260000000000019</v>
      </c>
      <c r="Y71" s="731"/>
      <c r="Z71" s="731"/>
      <c r="AA71" s="752"/>
      <c r="AB71" s="731"/>
      <c r="AC71" s="752"/>
      <c r="AD71" s="731"/>
      <c r="AE71" s="752"/>
      <c r="AF71" s="731"/>
      <c r="AG71" s="752"/>
      <c r="AH71" s="731"/>
      <c r="AI71" s="731"/>
      <c r="AJ71" s="752"/>
      <c r="AK71" s="731"/>
      <c r="AL71" s="731"/>
      <c r="AM71" s="1038"/>
      <c r="AN71" s="983">
        <f>38195.23/7.5345</f>
        <v>5069.3781936425776</v>
      </c>
      <c r="AO71" s="780"/>
      <c r="AP71" s="818">
        <f>365.9+58.55+239.75+138.5+690.31+7.48+119.08+34.56+31.11+1884.95+2810.54+10.7+127.98+10.75+7.8+106.28+43.97+188.21+197.81+29.86+378.66+15.48+454.58+200.75+5.4</f>
        <v>8158.9599999999982</v>
      </c>
      <c r="AQ71" s="781"/>
      <c r="AR71" s="782"/>
      <c r="AS71" s="1001"/>
      <c r="AT71" s="936"/>
      <c r="AU71" s="859"/>
      <c r="AV71" s="877"/>
      <c r="AW71" s="878"/>
      <c r="AX71" s="956"/>
      <c r="AY71" s="906"/>
      <c r="AZ71" s="601"/>
      <c r="BA71" s="136">
        <f t="shared" si="285"/>
        <v>5328.1319264715639</v>
      </c>
      <c r="BB71" s="144"/>
      <c r="BC71" s="1263">
        <f>AS71+AP71+AM71+AJ71+AG71+AE71+AC71+AA71+X71+U71+T71+Q71+N71+K71+H71+E71</f>
        <v>10008.759999999998</v>
      </c>
      <c r="BD71" s="187">
        <v>322191</v>
      </c>
      <c r="BE71" s="34"/>
    </row>
    <row r="72" spans="1:148" ht="15.75" thickBot="1" x14ac:dyDescent="0.3">
      <c r="A72" s="76">
        <v>3221</v>
      </c>
      <c r="B72" s="81" t="s">
        <v>43</v>
      </c>
      <c r="C72" s="621">
        <f t="shared" ref="C72:H72" si="286">SUM(C67:C71)</f>
        <v>0</v>
      </c>
      <c r="D72" s="621">
        <f t="shared" si="286"/>
        <v>0</v>
      </c>
      <c r="E72" s="622">
        <f t="shared" si="286"/>
        <v>54.19</v>
      </c>
      <c r="F72" s="623">
        <f t="shared" si="286"/>
        <v>0</v>
      </c>
      <c r="G72" s="623">
        <f t="shared" si="286"/>
        <v>0</v>
      </c>
      <c r="H72" s="622">
        <f t="shared" si="286"/>
        <v>0</v>
      </c>
      <c r="I72" s="622">
        <f t="shared" ref="I72" si="287">SUM(I67:I71)</f>
        <v>68.300484438250706</v>
      </c>
      <c r="J72" s="622">
        <f t="shared" ref="J72:L72" si="288">SUM(J67:J71)</f>
        <v>0</v>
      </c>
      <c r="K72" s="1060">
        <f t="shared" si="288"/>
        <v>481.68</v>
      </c>
      <c r="L72" s="1078">
        <f t="shared" si="288"/>
        <v>0</v>
      </c>
      <c r="M72" s="381">
        <f t="shared" ref="M72:P72" si="289">SUM(M67:M71)</f>
        <v>0</v>
      </c>
      <c r="N72" s="382">
        <f t="shared" si="289"/>
        <v>0</v>
      </c>
      <c r="O72" s="382">
        <f>SUM(O67:O71)</f>
        <v>387.03829053022758</v>
      </c>
      <c r="P72" s="382">
        <f t="shared" si="289"/>
        <v>0</v>
      </c>
      <c r="Q72" s="382">
        <f>SUM(Q67:Q71)</f>
        <v>2729.54</v>
      </c>
      <c r="R72" s="382">
        <f t="shared" ref="R72" si="290">SUM(R67:R71)</f>
        <v>0</v>
      </c>
      <c r="S72" s="382">
        <f t="shared" ref="S72:U72" si="291">SUM(S67:S71)</f>
        <v>0</v>
      </c>
      <c r="T72" s="382">
        <f t="shared" ref="T72" si="292">SUM(T67:T71)</f>
        <v>0</v>
      </c>
      <c r="U72" s="1079">
        <f t="shared" si="291"/>
        <v>187.99</v>
      </c>
      <c r="V72" s="1022">
        <f>SUM(V67:V71)</f>
        <v>14729.772380383569</v>
      </c>
      <c r="W72" s="732">
        <f t="shared" ref="W72:AC72" si="293">SUM(W67:W71)</f>
        <v>0</v>
      </c>
      <c r="X72" s="733">
        <f>SUM(X67:X71)</f>
        <v>13245.53</v>
      </c>
      <c r="Y72" s="733">
        <f t="shared" ref="Y72" si="294">SUM(Y67:Y71)</f>
        <v>0</v>
      </c>
      <c r="Z72" s="733">
        <f t="shared" si="293"/>
        <v>0</v>
      </c>
      <c r="AA72" s="733">
        <f t="shared" si="293"/>
        <v>0</v>
      </c>
      <c r="AB72" s="733">
        <f t="shared" si="293"/>
        <v>0</v>
      </c>
      <c r="AC72" s="733">
        <f t="shared" si="293"/>
        <v>0</v>
      </c>
      <c r="AD72" s="733">
        <f t="shared" ref="AD72:AL72" si="295">SUM(AD67:AD71)</f>
        <v>0</v>
      </c>
      <c r="AE72" s="733">
        <f t="shared" ref="AE72:AF72" si="296">SUM(AE67:AE71)</f>
        <v>0</v>
      </c>
      <c r="AF72" s="733">
        <f t="shared" si="296"/>
        <v>0</v>
      </c>
      <c r="AG72" s="733">
        <f t="shared" ref="AG72:AK72" si="297">SUM(AG67:AG71)</f>
        <v>0</v>
      </c>
      <c r="AH72" s="733">
        <f t="shared" ref="AH72" si="298">SUM(AH67:AH71)</f>
        <v>0</v>
      </c>
      <c r="AI72" s="733">
        <f t="shared" si="297"/>
        <v>0</v>
      </c>
      <c r="AJ72" s="733">
        <f t="shared" si="297"/>
        <v>0</v>
      </c>
      <c r="AK72" s="733">
        <f t="shared" si="297"/>
        <v>0</v>
      </c>
      <c r="AL72" s="733">
        <f t="shared" si="295"/>
        <v>0</v>
      </c>
      <c r="AM72" s="1023">
        <f t="shared" ref="AM72:AO72" si="299">SUM(AM67:AM71)</f>
        <v>68.2</v>
      </c>
      <c r="AN72" s="984">
        <f t="shared" ref="AN72" si="300">SUM(AN67:AN71)</f>
        <v>5069.3781936425776</v>
      </c>
      <c r="AO72" s="783">
        <f t="shared" si="299"/>
        <v>0</v>
      </c>
      <c r="AP72" s="784">
        <f>SUM(AP67:AP71)</f>
        <v>9557.5099999999984</v>
      </c>
      <c r="AQ72" s="785">
        <f>SUM(AQ67:AQ71)</f>
        <v>0</v>
      </c>
      <c r="AR72" s="786">
        <f>SUM(AR67:AR71)</f>
        <v>0</v>
      </c>
      <c r="AS72" s="985">
        <f>SUM(AS67:AS71)</f>
        <v>0</v>
      </c>
      <c r="AT72" s="937">
        <f t="shared" ref="AT72:AU72" si="301">SUM(AT67:AT71)</f>
        <v>0</v>
      </c>
      <c r="AU72" s="860">
        <f t="shared" si="301"/>
        <v>0</v>
      </c>
      <c r="AV72" s="860">
        <f t="shared" ref="AV72:AW72" si="302">SUM(AV67:AV71)</f>
        <v>0</v>
      </c>
      <c r="AW72" s="861">
        <f t="shared" si="302"/>
        <v>0</v>
      </c>
      <c r="AX72" s="938">
        <f>SUM(AX67:AX71)</f>
        <v>0</v>
      </c>
      <c r="AY72" s="907">
        <f t="shared" ref="AY72" si="303">SUM(AY67:AY71)</f>
        <v>0</v>
      </c>
      <c r="AZ72" s="586">
        <f>SUM(AZ67:AZ71)</f>
        <v>0</v>
      </c>
      <c r="BA72" s="481">
        <f>SUM(BA67:BA71)</f>
        <v>20254.489348994623</v>
      </c>
      <c r="BB72" s="155">
        <f>AR72+AO72+AL72+AI72+AF72+AB72+AD72+Z72+W72+S72+P72+M72+J72+G72+D72</f>
        <v>0</v>
      </c>
      <c r="BC72" s="1265">
        <f>SUM(BC67:BC71)</f>
        <v>26324.639999999999</v>
      </c>
      <c r="BD72" s="188">
        <v>3221</v>
      </c>
      <c r="BE72" s="131"/>
    </row>
    <row r="73" spans="1:148" s="6" customFormat="1" x14ac:dyDescent="0.25">
      <c r="A73" s="74">
        <v>322221</v>
      </c>
      <c r="B73" s="85" t="s">
        <v>144</v>
      </c>
      <c r="C73" s="631"/>
      <c r="D73" s="631"/>
      <c r="E73" s="626"/>
      <c r="F73" s="633"/>
      <c r="G73" s="633"/>
      <c r="H73" s="626"/>
      <c r="I73" s="632"/>
      <c r="J73" s="632"/>
      <c r="K73" s="1061"/>
      <c r="L73" s="1083"/>
      <c r="M73" s="385"/>
      <c r="N73" s="701"/>
      <c r="O73" s="704"/>
      <c r="P73" s="704"/>
      <c r="Q73" s="701"/>
      <c r="R73" s="704"/>
      <c r="S73" s="704"/>
      <c r="T73" s="701"/>
      <c r="U73" s="1106"/>
      <c r="V73" s="1027"/>
      <c r="W73" s="738"/>
      <c r="X73" s="735"/>
      <c r="Y73" s="739"/>
      <c r="Z73" s="739"/>
      <c r="AA73" s="735"/>
      <c r="AB73" s="739"/>
      <c r="AC73" s="735"/>
      <c r="AD73" s="739"/>
      <c r="AE73" s="735"/>
      <c r="AF73" s="739"/>
      <c r="AG73" s="735"/>
      <c r="AH73" s="739"/>
      <c r="AI73" s="739"/>
      <c r="AJ73" s="735"/>
      <c r="AK73" s="739"/>
      <c r="AL73" s="739"/>
      <c r="AM73" s="1025"/>
      <c r="AN73" s="989">
        <f>1930/7.5345</f>
        <v>256.15502024022828</v>
      </c>
      <c r="AO73" s="794"/>
      <c r="AP73" s="788"/>
      <c r="AQ73" s="795"/>
      <c r="AR73" s="796"/>
      <c r="AS73" s="987"/>
      <c r="AT73" s="942"/>
      <c r="AU73" s="865"/>
      <c r="AV73" s="862"/>
      <c r="AW73" s="863"/>
      <c r="AX73" s="940"/>
      <c r="AY73" s="910"/>
      <c r="AZ73" s="589"/>
      <c r="BA73" s="136">
        <f t="shared" si="285"/>
        <v>256.15502024022828</v>
      </c>
      <c r="BB73" s="143"/>
      <c r="BC73" s="1263">
        <f>AS73+AP73+AM73+AJ73+AG73+AE73+AC73+AA73+X73+U73+T73+Q73+N73+K73+H73+E73</f>
        <v>0</v>
      </c>
      <c r="BD73" s="185">
        <v>322221</v>
      </c>
      <c r="BE73" s="34"/>
      <c r="BF73" s="610"/>
      <c r="BG73" s="610"/>
      <c r="BH73" s="610"/>
      <c r="BI73" s="1656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</row>
    <row r="74" spans="1:148" s="6" customFormat="1" ht="15.75" thickBot="1" x14ac:dyDescent="0.3">
      <c r="A74" s="46">
        <v>322241</v>
      </c>
      <c r="B74" s="29" t="s">
        <v>141</v>
      </c>
      <c r="C74" s="618"/>
      <c r="D74" s="618"/>
      <c r="E74" s="657"/>
      <c r="F74" s="620"/>
      <c r="G74" s="620"/>
      <c r="H74" s="657"/>
      <c r="I74" s="619"/>
      <c r="J74" s="619"/>
      <c r="K74" s="1067"/>
      <c r="L74" s="1077"/>
      <c r="M74" s="379"/>
      <c r="N74" s="709"/>
      <c r="O74" s="700"/>
      <c r="P74" s="700"/>
      <c r="Q74" s="709"/>
      <c r="R74" s="700"/>
      <c r="S74" s="700"/>
      <c r="T74" s="709"/>
      <c r="U74" s="1096"/>
      <c r="V74" s="1021"/>
      <c r="W74" s="730"/>
      <c r="X74" s="752"/>
      <c r="Y74" s="731"/>
      <c r="Z74" s="731"/>
      <c r="AA74" s="752"/>
      <c r="AB74" s="731"/>
      <c r="AC74" s="752"/>
      <c r="AD74" s="731"/>
      <c r="AE74" s="752"/>
      <c r="AF74" s="731"/>
      <c r="AG74" s="752"/>
      <c r="AH74" s="731"/>
      <c r="AI74" s="731"/>
      <c r="AJ74" s="752"/>
      <c r="AK74" s="731"/>
      <c r="AL74" s="731"/>
      <c r="AM74" s="1038">
        <v>19.13</v>
      </c>
      <c r="AN74" s="983"/>
      <c r="AO74" s="780"/>
      <c r="AP74" s="818"/>
      <c r="AQ74" s="781"/>
      <c r="AR74" s="782"/>
      <c r="AS74" s="1001"/>
      <c r="AT74" s="936"/>
      <c r="AU74" s="859"/>
      <c r="AV74" s="877"/>
      <c r="AW74" s="878"/>
      <c r="AX74" s="956"/>
      <c r="AY74" s="906"/>
      <c r="AZ74" s="601"/>
      <c r="BA74" s="136">
        <f t="shared" si="285"/>
        <v>0</v>
      </c>
      <c r="BB74" s="144"/>
      <c r="BC74" s="1263">
        <f>AS74+AP74+AM74+AJ74+AG74+AE74+AC74+AA74+X74+U74+T74+Q74+N74+K74+H74+E74</f>
        <v>19.13</v>
      </c>
      <c r="BD74" s="187">
        <v>322241</v>
      </c>
      <c r="BE74" s="34"/>
      <c r="BF74" s="610"/>
      <c r="BG74" s="610"/>
      <c r="BH74" s="610"/>
      <c r="BI74" s="1656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</row>
    <row r="75" spans="1:148" ht="15.75" thickBot="1" x14ac:dyDescent="0.3">
      <c r="A75" s="76">
        <v>3222</v>
      </c>
      <c r="B75" s="81" t="s">
        <v>148</v>
      </c>
      <c r="C75" s="621">
        <f>C73+C74</f>
        <v>0</v>
      </c>
      <c r="D75" s="621">
        <f>D73+D74</f>
        <v>0</v>
      </c>
      <c r="E75" s="622">
        <f>E73+E74</f>
        <v>0</v>
      </c>
      <c r="F75" s="623">
        <f>F73+F74</f>
        <v>0</v>
      </c>
      <c r="G75" s="623">
        <f>G73+G74</f>
        <v>0</v>
      </c>
      <c r="H75" s="622">
        <f t="shared" ref="H75:L75" si="304">H73+H74</f>
        <v>0</v>
      </c>
      <c r="I75" s="622">
        <f t="shared" ref="I75" si="305">I73+I74</f>
        <v>0</v>
      </c>
      <c r="J75" s="622">
        <f t="shared" si="304"/>
        <v>0</v>
      </c>
      <c r="K75" s="1060">
        <f t="shared" si="304"/>
        <v>0</v>
      </c>
      <c r="L75" s="1078">
        <f t="shared" si="304"/>
        <v>0</v>
      </c>
      <c r="M75" s="381">
        <f t="shared" ref="M75:R75" si="306">M73+M74</f>
        <v>0</v>
      </c>
      <c r="N75" s="382">
        <f t="shared" si="306"/>
        <v>0</v>
      </c>
      <c r="O75" s="382">
        <f t="shared" ref="O75" si="307">O73+O74</f>
        <v>0</v>
      </c>
      <c r="P75" s="382">
        <f t="shared" si="306"/>
        <v>0</v>
      </c>
      <c r="Q75" s="382">
        <f t="shared" si="306"/>
        <v>0</v>
      </c>
      <c r="R75" s="382">
        <f t="shared" si="306"/>
        <v>0</v>
      </c>
      <c r="S75" s="382">
        <f t="shared" ref="S75:V75" si="308">S73+S74</f>
        <v>0</v>
      </c>
      <c r="T75" s="382">
        <f t="shared" ref="T75" si="309">T73+T74</f>
        <v>0</v>
      </c>
      <c r="U75" s="1079">
        <f t="shared" si="308"/>
        <v>0</v>
      </c>
      <c r="V75" s="1022">
        <f t="shared" si="308"/>
        <v>0</v>
      </c>
      <c r="W75" s="732">
        <f t="shared" ref="W75:AU75" si="310">W73+W74</f>
        <v>0</v>
      </c>
      <c r="X75" s="733">
        <f t="shared" si="310"/>
        <v>0</v>
      </c>
      <c r="Y75" s="733">
        <f t="shared" ref="Y75" si="311">Y73+Y74</f>
        <v>0</v>
      </c>
      <c r="Z75" s="733">
        <f t="shared" si="310"/>
        <v>0</v>
      </c>
      <c r="AA75" s="733">
        <f t="shared" si="310"/>
        <v>0</v>
      </c>
      <c r="AB75" s="733">
        <f t="shared" si="310"/>
        <v>0</v>
      </c>
      <c r="AC75" s="733">
        <f t="shared" si="310"/>
        <v>0</v>
      </c>
      <c r="AD75" s="733">
        <f t="shared" si="310"/>
        <v>0</v>
      </c>
      <c r="AE75" s="733">
        <f t="shared" si="310"/>
        <v>0</v>
      </c>
      <c r="AF75" s="733">
        <f t="shared" si="310"/>
        <v>0</v>
      </c>
      <c r="AG75" s="733">
        <f t="shared" si="310"/>
        <v>0</v>
      </c>
      <c r="AH75" s="733">
        <f t="shared" ref="AH75" si="312">AH73+AH74</f>
        <v>0</v>
      </c>
      <c r="AI75" s="733">
        <f t="shared" si="310"/>
        <v>0</v>
      </c>
      <c r="AJ75" s="733">
        <f t="shared" si="310"/>
        <v>0</v>
      </c>
      <c r="AK75" s="733">
        <f t="shared" ref="AK75" si="313">AK73+AK74</f>
        <v>0</v>
      </c>
      <c r="AL75" s="733">
        <f t="shared" si="310"/>
        <v>0</v>
      </c>
      <c r="AM75" s="1023">
        <f t="shared" si="310"/>
        <v>19.13</v>
      </c>
      <c r="AN75" s="984">
        <f t="shared" ref="AN75" si="314">AN73+AN74</f>
        <v>256.15502024022828</v>
      </c>
      <c r="AO75" s="783">
        <f t="shared" si="310"/>
        <v>0</v>
      </c>
      <c r="AP75" s="784">
        <f>AP73+AP74</f>
        <v>0</v>
      </c>
      <c r="AQ75" s="785">
        <f t="shared" ref="AQ75" si="315">AQ73+AQ74</f>
        <v>0</v>
      </c>
      <c r="AR75" s="786">
        <f t="shared" si="310"/>
        <v>0</v>
      </c>
      <c r="AS75" s="985">
        <f t="shared" si="310"/>
        <v>0</v>
      </c>
      <c r="AT75" s="937">
        <f t="shared" ref="AT75" si="316">AT73+AT74</f>
        <v>0</v>
      </c>
      <c r="AU75" s="860">
        <f t="shared" si="310"/>
        <v>0</v>
      </c>
      <c r="AV75" s="860">
        <f t="shared" ref="AV75:AX75" si="317">AV73+AV74</f>
        <v>0</v>
      </c>
      <c r="AW75" s="861">
        <f t="shared" si="317"/>
        <v>0</v>
      </c>
      <c r="AX75" s="938">
        <f t="shared" si="317"/>
        <v>0</v>
      </c>
      <c r="AY75" s="907">
        <f t="shared" ref="AY75:AZ75" si="318">AY73+AY74</f>
        <v>0</v>
      </c>
      <c r="AZ75" s="586">
        <f t="shared" si="318"/>
        <v>0</v>
      </c>
      <c r="BA75" s="481">
        <f>SUM(BA73:BA74)</f>
        <v>256.15502024022828</v>
      </c>
      <c r="BB75" s="155">
        <f>AR75+AO75+AL75+AI75+AF75+AB75+AD75+Z75+W75+S75+P75+M75+J75+G75+D75</f>
        <v>0</v>
      </c>
      <c r="BC75" s="1265">
        <f>SUM(BC73:BC74)</f>
        <v>19.13</v>
      </c>
      <c r="BD75" s="188">
        <v>3222</v>
      </c>
      <c r="BE75" s="131"/>
      <c r="BF75" s="1651"/>
    </row>
    <row r="76" spans="1:148" x14ac:dyDescent="0.25">
      <c r="A76" s="74">
        <v>322311</v>
      </c>
      <c r="B76" s="85" t="s">
        <v>44</v>
      </c>
      <c r="C76" s="631"/>
      <c r="D76" s="631"/>
      <c r="E76" s="626"/>
      <c r="F76" s="633"/>
      <c r="G76" s="633"/>
      <c r="H76" s="626"/>
      <c r="I76" s="632"/>
      <c r="J76" s="632"/>
      <c r="K76" s="1061">
        <v>225.67</v>
      </c>
      <c r="L76" s="1083"/>
      <c r="M76" s="385"/>
      <c r="N76" s="701"/>
      <c r="O76" s="704"/>
      <c r="P76" s="704"/>
      <c r="Q76" s="701">
        <v>1278.83</v>
      </c>
      <c r="R76" s="704"/>
      <c r="S76" s="704"/>
      <c r="T76" s="701"/>
      <c r="U76" s="1106"/>
      <c r="V76" s="1027">
        <f>50134.17/7.5345</f>
        <v>6653.9478399362924</v>
      </c>
      <c r="W76" s="738"/>
      <c r="X76" s="734">
        <f>9903.24+1512+1334.05+1361.04</f>
        <v>14110.329999999998</v>
      </c>
      <c r="Y76" s="739"/>
      <c r="Z76" s="739"/>
      <c r="AA76" s="735"/>
      <c r="AB76" s="739"/>
      <c r="AC76" s="735"/>
      <c r="AD76" s="739"/>
      <c r="AE76" s="735"/>
      <c r="AF76" s="739"/>
      <c r="AG76" s="735"/>
      <c r="AH76" s="739"/>
      <c r="AI76" s="739"/>
      <c r="AJ76" s="735"/>
      <c r="AK76" s="739"/>
      <c r="AL76" s="739"/>
      <c r="AM76" s="1025"/>
      <c r="AN76" s="989"/>
      <c r="AO76" s="794"/>
      <c r="AP76" s="788"/>
      <c r="AQ76" s="795"/>
      <c r="AR76" s="796"/>
      <c r="AS76" s="987"/>
      <c r="AT76" s="942"/>
      <c r="AU76" s="865"/>
      <c r="AV76" s="862"/>
      <c r="AW76" s="863"/>
      <c r="AX76" s="940"/>
      <c r="AY76" s="910"/>
      <c r="AZ76" s="589"/>
      <c r="BA76" s="136">
        <f t="shared" si="285"/>
        <v>6653.9478399362924</v>
      </c>
      <c r="BB76" s="143"/>
      <c r="BC76" s="1263">
        <f>AS76+AP76+AM76+AJ76+AG76+AE76+AC76+AA76+X76+U76+T76+Q76+N76+K76+H76+E76</f>
        <v>15614.829999999998</v>
      </c>
      <c r="BD76" s="185">
        <v>322311</v>
      </c>
      <c r="BE76" s="34"/>
      <c r="BF76" s="1651"/>
    </row>
    <row r="77" spans="1:148" x14ac:dyDescent="0.25">
      <c r="A77" s="45">
        <v>322331</v>
      </c>
      <c r="B77" s="30" t="s">
        <v>45</v>
      </c>
      <c r="C77" s="615"/>
      <c r="D77" s="615"/>
      <c r="E77" s="654"/>
      <c r="F77" s="617"/>
      <c r="G77" s="617"/>
      <c r="H77" s="654"/>
      <c r="I77" s="616"/>
      <c r="J77" s="616"/>
      <c r="K77" s="1066">
        <v>115.66</v>
      </c>
      <c r="L77" s="1076"/>
      <c r="M77" s="378"/>
      <c r="N77" s="708"/>
      <c r="O77" s="699"/>
      <c r="P77" s="699"/>
      <c r="Q77" s="708">
        <v>655.37</v>
      </c>
      <c r="R77" s="699"/>
      <c r="S77" s="699"/>
      <c r="T77" s="708"/>
      <c r="U77" s="1094"/>
      <c r="V77" s="1020">
        <f>55070.2/7.5345</f>
        <v>7309.0716039551389</v>
      </c>
      <c r="W77" s="728"/>
      <c r="X77" s="749">
        <f>9838.39+211.98+5.58+5.58+389.61+7.4+371.42+848.7+4.13+1344.78+399.63+6.9+1069.72</f>
        <v>14503.819999999998</v>
      </c>
      <c r="Y77" s="729"/>
      <c r="Z77" s="729"/>
      <c r="AA77" s="750"/>
      <c r="AB77" s="729"/>
      <c r="AC77" s="750"/>
      <c r="AD77" s="729"/>
      <c r="AE77" s="750"/>
      <c r="AF77" s="729"/>
      <c r="AG77" s="750"/>
      <c r="AH77" s="729"/>
      <c r="AI77" s="729"/>
      <c r="AJ77" s="750"/>
      <c r="AK77" s="729"/>
      <c r="AL77" s="729"/>
      <c r="AM77" s="1036"/>
      <c r="AN77" s="982"/>
      <c r="AO77" s="777"/>
      <c r="AP77" s="814">
        <f>677.94+1187.87+4300.82-165.97-202.9-309.07-541.54-355.52-290.81-4300.82</f>
        <v>0</v>
      </c>
      <c r="AQ77" s="778"/>
      <c r="AR77" s="779"/>
      <c r="AS77" s="999"/>
      <c r="AT77" s="935"/>
      <c r="AU77" s="858"/>
      <c r="AV77" s="875"/>
      <c r="AW77" s="876"/>
      <c r="AX77" s="954"/>
      <c r="AY77" s="905"/>
      <c r="AZ77" s="600"/>
      <c r="BA77" s="136">
        <f t="shared" si="285"/>
        <v>7309.0716039551389</v>
      </c>
      <c r="BB77" s="139"/>
      <c r="BC77" s="1263">
        <f>AS77+AP77+AM77+AJ77+AG77+AE77+AC77+AA77+X77+U77+T77+Q77+N77+K77+H77+E77</f>
        <v>15274.849999999999</v>
      </c>
      <c r="BD77" s="186">
        <v>322331</v>
      </c>
      <c r="BE77" s="34"/>
    </row>
    <row r="78" spans="1:148" ht="15.75" thickBot="1" x14ac:dyDescent="0.3">
      <c r="A78" s="46">
        <v>322341</v>
      </c>
      <c r="B78" s="29" t="s">
        <v>46</v>
      </c>
      <c r="C78" s="618"/>
      <c r="D78" s="618"/>
      <c r="E78" s="657"/>
      <c r="F78" s="620"/>
      <c r="G78" s="620"/>
      <c r="H78" s="657"/>
      <c r="I78" s="619"/>
      <c r="J78" s="619"/>
      <c r="K78" s="1067"/>
      <c r="L78" s="1077"/>
      <c r="M78" s="379"/>
      <c r="N78" s="709"/>
      <c r="O78" s="700"/>
      <c r="P78" s="700"/>
      <c r="Q78" s="709"/>
      <c r="R78" s="700"/>
      <c r="S78" s="700"/>
      <c r="T78" s="709"/>
      <c r="U78" s="1096"/>
      <c r="V78" s="1021">
        <f>133.73/7.5345</f>
        <v>17.749021169287939</v>
      </c>
      <c r="W78" s="730"/>
      <c r="X78" s="751">
        <v>49.54</v>
      </c>
      <c r="Y78" s="731"/>
      <c r="Z78" s="731"/>
      <c r="AA78" s="752"/>
      <c r="AB78" s="731"/>
      <c r="AC78" s="752"/>
      <c r="AD78" s="731"/>
      <c r="AE78" s="752"/>
      <c r="AF78" s="731"/>
      <c r="AG78" s="752"/>
      <c r="AH78" s="731"/>
      <c r="AI78" s="731"/>
      <c r="AJ78" s="752"/>
      <c r="AK78" s="731"/>
      <c r="AL78" s="731"/>
      <c r="AM78" s="1038"/>
      <c r="AN78" s="983"/>
      <c r="AO78" s="780"/>
      <c r="AP78" s="818"/>
      <c r="AQ78" s="781"/>
      <c r="AR78" s="782"/>
      <c r="AS78" s="1001"/>
      <c r="AT78" s="936"/>
      <c r="AU78" s="859"/>
      <c r="AV78" s="877"/>
      <c r="AW78" s="878"/>
      <c r="AX78" s="956"/>
      <c r="AY78" s="906"/>
      <c r="AZ78" s="601"/>
      <c r="BA78" s="136">
        <f t="shared" si="285"/>
        <v>17.749021169287939</v>
      </c>
      <c r="BB78" s="144"/>
      <c r="BC78" s="1263">
        <f>AS78+AP78+AM78+AJ78+AG78+AE78+AC78+AA78+X78+U78+T78+Q78+N78+K78+H78+E78</f>
        <v>49.54</v>
      </c>
      <c r="BD78" s="187">
        <v>322341</v>
      </c>
      <c r="BE78" s="34"/>
    </row>
    <row r="79" spans="1:148" ht="15.75" thickBot="1" x14ac:dyDescent="0.3">
      <c r="A79" s="76">
        <v>3223</v>
      </c>
      <c r="B79" s="81" t="s">
        <v>47</v>
      </c>
      <c r="C79" s="621">
        <f>SUM(C76:C78)</f>
        <v>0</v>
      </c>
      <c r="D79" s="621">
        <f>SUM(D76:D78)</f>
        <v>0</v>
      </c>
      <c r="E79" s="622">
        <f>SUM(E76:E78)</f>
        <v>0</v>
      </c>
      <c r="F79" s="623">
        <f>SUM(F76:F78)</f>
        <v>0</v>
      </c>
      <c r="G79" s="623">
        <f>SUM(G76:G78)</f>
        <v>0</v>
      </c>
      <c r="H79" s="622">
        <f t="shared" ref="H79:L79" si="319">SUM(H76:H78)</f>
        <v>0</v>
      </c>
      <c r="I79" s="622">
        <f t="shared" ref="I79" si="320">SUM(I76:I78)</f>
        <v>0</v>
      </c>
      <c r="J79" s="622">
        <f t="shared" si="319"/>
        <v>0</v>
      </c>
      <c r="K79" s="1060">
        <f t="shared" si="319"/>
        <v>341.33</v>
      </c>
      <c r="L79" s="1078">
        <f t="shared" si="319"/>
        <v>0</v>
      </c>
      <c r="M79" s="381">
        <f t="shared" ref="M79:R79" si="321">SUM(M76:M78)</f>
        <v>0</v>
      </c>
      <c r="N79" s="382">
        <f t="shared" si="321"/>
        <v>0</v>
      </c>
      <c r="O79" s="382">
        <f t="shared" ref="O79" si="322">SUM(O76:O78)</f>
        <v>0</v>
      </c>
      <c r="P79" s="382">
        <f t="shared" si="321"/>
        <v>0</v>
      </c>
      <c r="Q79" s="382">
        <f t="shared" si="321"/>
        <v>1934.1999999999998</v>
      </c>
      <c r="R79" s="382">
        <f t="shared" si="321"/>
        <v>0</v>
      </c>
      <c r="S79" s="382">
        <f t="shared" ref="S79:U79" si="323">SUM(S76:S78)</f>
        <v>0</v>
      </c>
      <c r="T79" s="382">
        <f t="shared" ref="T79" si="324">SUM(T76:T78)</f>
        <v>0</v>
      </c>
      <c r="U79" s="1079">
        <f t="shared" si="323"/>
        <v>0</v>
      </c>
      <c r="V79" s="1022">
        <f>SUM(V76:V78)</f>
        <v>13980.768465060719</v>
      </c>
      <c r="W79" s="732">
        <f t="shared" ref="W79:AC79" si="325">SUM(W76:W78)</f>
        <v>0</v>
      </c>
      <c r="X79" s="733">
        <f>SUM(X76:X78)</f>
        <v>28663.689999999995</v>
      </c>
      <c r="Y79" s="733">
        <f t="shared" ref="Y79" si="326">SUM(Y76:Y78)</f>
        <v>0</v>
      </c>
      <c r="Z79" s="733">
        <f t="shared" si="325"/>
        <v>0</v>
      </c>
      <c r="AA79" s="733">
        <f t="shared" si="325"/>
        <v>0</v>
      </c>
      <c r="AB79" s="733">
        <f t="shared" si="325"/>
        <v>0</v>
      </c>
      <c r="AC79" s="733">
        <f t="shared" si="325"/>
        <v>0</v>
      </c>
      <c r="AD79" s="733">
        <f t="shared" ref="AD79:AL79" si="327">SUM(AD76:AD78)</f>
        <v>0</v>
      </c>
      <c r="AE79" s="733">
        <f t="shared" ref="AE79:AF79" si="328">SUM(AE76:AE78)</f>
        <v>0</v>
      </c>
      <c r="AF79" s="733">
        <f t="shared" si="328"/>
        <v>0</v>
      </c>
      <c r="AG79" s="733">
        <f t="shared" ref="AG79:AK79" si="329">SUM(AG76:AG78)</f>
        <v>0</v>
      </c>
      <c r="AH79" s="733">
        <f t="shared" ref="AH79" si="330">SUM(AH76:AH78)</f>
        <v>0</v>
      </c>
      <c r="AI79" s="733">
        <f t="shared" si="329"/>
        <v>0</v>
      </c>
      <c r="AJ79" s="733">
        <f t="shared" si="329"/>
        <v>0</v>
      </c>
      <c r="AK79" s="733">
        <f t="shared" si="329"/>
        <v>0</v>
      </c>
      <c r="AL79" s="733">
        <f t="shared" si="327"/>
        <v>0</v>
      </c>
      <c r="AM79" s="1023">
        <f t="shared" ref="AM79:AO79" si="331">SUM(AM76:AM78)</f>
        <v>0</v>
      </c>
      <c r="AN79" s="984">
        <f t="shared" ref="AN79" si="332">SUM(AN76:AN78)</f>
        <v>0</v>
      </c>
      <c r="AO79" s="783">
        <f t="shared" si="331"/>
        <v>0</v>
      </c>
      <c r="AP79" s="784">
        <f t="shared" ref="AP79" si="333">SUM(AP76:AP78)</f>
        <v>0</v>
      </c>
      <c r="AQ79" s="785">
        <f>SUM(AQ76:AQ78)</f>
        <v>0</v>
      </c>
      <c r="AR79" s="786">
        <f>SUM(AR76:AR78)</f>
        <v>0</v>
      </c>
      <c r="AS79" s="985">
        <f>SUM(AS76:AS78)</f>
        <v>0</v>
      </c>
      <c r="AT79" s="937">
        <f t="shared" ref="AT79:AU79" si="334">SUM(AT76:AT78)</f>
        <v>0</v>
      </c>
      <c r="AU79" s="860">
        <f t="shared" si="334"/>
        <v>0</v>
      </c>
      <c r="AV79" s="860">
        <f t="shared" ref="AV79:AW79" si="335">SUM(AV76:AV78)</f>
        <v>0</v>
      </c>
      <c r="AW79" s="861">
        <f t="shared" si="335"/>
        <v>0</v>
      </c>
      <c r="AX79" s="938">
        <f>SUM(AX76:AX78)</f>
        <v>0</v>
      </c>
      <c r="AY79" s="907">
        <f t="shared" ref="AY79" si="336">SUM(AY76:AY78)</f>
        <v>0</v>
      </c>
      <c r="AZ79" s="586">
        <f>SUM(AZ76:AZ78)</f>
        <v>0</v>
      </c>
      <c r="BA79" s="481">
        <f>SUM(BA76:BA78)</f>
        <v>13980.768465060719</v>
      </c>
      <c r="BB79" s="155">
        <f>AR79+AO79+AL79+AI79+AF79+AB79+AD79+Z79+W79+S79+P79+M79+J79+G79+D79</f>
        <v>0</v>
      </c>
      <c r="BC79" s="1265">
        <f>SUM(BC76:BC78)</f>
        <v>30939.219999999998</v>
      </c>
      <c r="BD79" s="188">
        <v>3223</v>
      </c>
      <c r="BE79" s="131"/>
    </row>
    <row r="80" spans="1:148" s="6" customFormat="1" x14ac:dyDescent="0.25">
      <c r="A80" s="74">
        <v>322411</v>
      </c>
      <c r="B80" s="85" t="s">
        <v>48</v>
      </c>
      <c r="C80" s="631"/>
      <c r="D80" s="631"/>
      <c r="E80" s="626"/>
      <c r="F80" s="633"/>
      <c r="G80" s="633"/>
      <c r="H80" s="626"/>
      <c r="I80" s="632"/>
      <c r="J80" s="632"/>
      <c r="K80" s="1061"/>
      <c r="L80" s="1083"/>
      <c r="M80" s="385"/>
      <c r="N80" s="701"/>
      <c r="O80" s="704"/>
      <c r="P80" s="704"/>
      <c r="Q80" s="701"/>
      <c r="R80" s="704"/>
      <c r="S80" s="704"/>
      <c r="T80" s="701"/>
      <c r="U80" s="1106"/>
      <c r="V80" s="1027">
        <f>689.1/7.5345</f>
        <v>91.459287278518815</v>
      </c>
      <c r="W80" s="738"/>
      <c r="X80" s="734">
        <v>301.19</v>
      </c>
      <c r="Y80" s="739"/>
      <c r="Z80" s="739"/>
      <c r="AA80" s="735"/>
      <c r="AB80" s="739"/>
      <c r="AC80" s="735"/>
      <c r="AD80" s="739"/>
      <c r="AE80" s="735"/>
      <c r="AF80" s="739"/>
      <c r="AG80" s="735"/>
      <c r="AH80" s="739"/>
      <c r="AI80" s="739"/>
      <c r="AJ80" s="735"/>
      <c r="AK80" s="739"/>
      <c r="AL80" s="739"/>
      <c r="AM80" s="1025"/>
      <c r="AN80" s="989"/>
      <c r="AO80" s="794"/>
      <c r="AP80" s="788"/>
      <c r="AQ80" s="795"/>
      <c r="AR80" s="796"/>
      <c r="AS80" s="987"/>
      <c r="AT80" s="942"/>
      <c r="AU80" s="865"/>
      <c r="AV80" s="862"/>
      <c r="AW80" s="863"/>
      <c r="AX80" s="940"/>
      <c r="AY80" s="910"/>
      <c r="AZ80" s="589"/>
      <c r="BA80" s="136">
        <f t="shared" si="285"/>
        <v>91.459287278518815</v>
      </c>
      <c r="BB80" s="143"/>
      <c r="BC80" s="1263">
        <f>AS80+AP80+AM80+AJ80+AG80+AE80+AC80+AA80+X80+U80+T80+Q80+N80+K80+H80+E80</f>
        <v>301.19</v>
      </c>
      <c r="BD80" s="185">
        <v>322411</v>
      </c>
      <c r="BE80" s="34"/>
      <c r="BF80" s="610"/>
      <c r="BG80" s="610"/>
      <c r="BH80" s="610"/>
      <c r="BI80" s="1656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</row>
    <row r="81" spans="1:148" ht="15.75" thickBot="1" x14ac:dyDescent="0.3">
      <c r="A81" s="46">
        <v>322421</v>
      </c>
      <c r="B81" s="29" t="s">
        <v>142</v>
      </c>
      <c r="C81" s="656"/>
      <c r="D81" s="656"/>
      <c r="E81" s="657"/>
      <c r="F81" s="658"/>
      <c r="G81" s="658"/>
      <c r="H81" s="657"/>
      <c r="I81" s="657">
        <f>1304.83/7.5345</f>
        <v>173.1807021036565</v>
      </c>
      <c r="J81" s="657"/>
      <c r="K81" s="1067">
        <f>58.47+81.46+49.65+154.38</f>
        <v>343.96000000000004</v>
      </c>
      <c r="L81" s="1095"/>
      <c r="M81" s="393"/>
      <c r="N81" s="709"/>
      <c r="O81" s="700">
        <f>7394.07/7.5345</f>
        <v>981.36173601433393</v>
      </c>
      <c r="P81" s="700"/>
      <c r="Q81" s="709">
        <f>331.33+461.63+874.83+281.33</f>
        <v>1949.12</v>
      </c>
      <c r="R81" s="709"/>
      <c r="S81" s="709"/>
      <c r="T81" s="709"/>
      <c r="U81" s="1096"/>
      <c r="V81" s="1021">
        <f>38349.48/7.5345</f>
        <v>5089.8506868405339</v>
      </c>
      <c r="W81" s="730"/>
      <c r="X81" s="751">
        <f>1579.28-331.33-58.47+736.88+13.98+323.23+193.5+31.25+1538.19+46.08+641.25+49.92+17.95+12.81</f>
        <v>4794.5200000000004</v>
      </c>
      <c r="Y81" s="731"/>
      <c r="Z81" s="731"/>
      <c r="AA81" s="752"/>
      <c r="AB81" s="731"/>
      <c r="AC81" s="752"/>
      <c r="AD81" s="752"/>
      <c r="AE81" s="752"/>
      <c r="AF81" s="752"/>
      <c r="AG81" s="752"/>
      <c r="AH81" s="752"/>
      <c r="AI81" s="752"/>
      <c r="AJ81" s="752"/>
      <c r="AK81" s="752"/>
      <c r="AL81" s="752"/>
      <c r="AM81" s="1038"/>
      <c r="AN81" s="1000"/>
      <c r="AO81" s="817"/>
      <c r="AP81" s="818">
        <f>49.93+260</f>
        <v>309.93</v>
      </c>
      <c r="AQ81" s="819"/>
      <c r="AR81" s="820"/>
      <c r="AS81" s="1001"/>
      <c r="AT81" s="955"/>
      <c r="AU81" s="877"/>
      <c r="AV81" s="877"/>
      <c r="AW81" s="878"/>
      <c r="AX81" s="956"/>
      <c r="AY81" s="919"/>
      <c r="AZ81" s="601"/>
      <c r="BA81" s="136">
        <f t="shared" si="285"/>
        <v>6244.3931249585239</v>
      </c>
      <c r="BB81" s="141"/>
      <c r="BC81" s="1263">
        <f>AS81+AP81+AM81+AJ81+AG81+AE81+AC81+AA81+X81+U81+T81+Q81+N81+K81+H81+E81</f>
        <v>7397.5300000000007</v>
      </c>
      <c r="BD81" s="187">
        <v>322421</v>
      </c>
      <c r="BE81" s="34"/>
    </row>
    <row r="82" spans="1:148" s="2" customFormat="1" ht="15.75" thickBot="1" x14ac:dyDescent="0.3">
      <c r="A82" s="76">
        <v>3224</v>
      </c>
      <c r="B82" s="81" t="s">
        <v>49</v>
      </c>
      <c r="C82" s="621">
        <f>C80+C81</f>
        <v>0</v>
      </c>
      <c r="D82" s="621">
        <f>D80+D81</f>
        <v>0</v>
      </c>
      <c r="E82" s="622">
        <f>E80+E81</f>
        <v>0</v>
      </c>
      <c r="F82" s="623">
        <f t="shared" ref="F82" si="337">F80+F81</f>
        <v>0</v>
      </c>
      <c r="G82" s="623">
        <f t="shared" ref="G82:K82" si="338">G80+G81</f>
        <v>0</v>
      </c>
      <c r="H82" s="622">
        <f t="shared" si="338"/>
        <v>0</v>
      </c>
      <c r="I82" s="622">
        <f>I80+I81</f>
        <v>173.1807021036565</v>
      </c>
      <c r="J82" s="622">
        <f t="shared" si="338"/>
        <v>0</v>
      </c>
      <c r="K82" s="1060">
        <f t="shared" si="338"/>
        <v>343.96000000000004</v>
      </c>
      <c r="L82" s="1078">
        <f>L80+L81</f>
        <v>0</v>
      </c>
      <c r="M82" s="381">
        <f>M80+M81</f>
        <v>0</v>
      </c>
      <c r="N82" s="382">
        <f>N80+N81</f>
        <v>0</v>
      </c>
      <c r="O82" s="382">
        <f>O80+O81</f>
        <v>981.36173601433393</v>
      </c>
      <c r="P82" s="382">
        <f t="shared" ref="P82" si="339">P80+P81</f>
        <v>0</v>
      </c>
      <c r="Q82" s="382">
        <f>Q80+Q81</f>
        <v>1949.12</v>
      </c>
      <c r="R82" s="382">
        <f t="shared" ref="R82" si="340">R80+R81</f>
        <v>0</v>
      </c>
      <c r="S82" s="382">
        <f t="shared" ref="S82:W82" si="341">S80+S81</f>
        <v>0</v>
      </c>
      <c r="T82" s="382">
        <f t="shared" ref="T82" si="342">T80+T81</f>
        <v>0</v>
      </c>
      <c r="U82" s="1079">
        <f t="shared" si="341"/>
        <v>0</v>
      </c>
      <c r="V82" s="1022">
        <f>V80+V81</f>
        <v>5181.3099741190526</v>
      </c>
      <c r="W82" s="732">
        <f t="shared" si="341"/>
        <v>0</v>
      </c>
      <c r="X82" s="733">
        <f>X80+X81</f>
        <v>5095.71</v>
      </c>
      <c r="Y82" s="733">
        <f t="shared" ref="Y82" si="343">Y80+Y81</f>
        <v>0</v>
      </c>
      <c r="Z82" s="733">
        <f t="shared" ref="Z82:AA82" si="344">Z80+Z81</f>
        <v>0</v>
      </c>
      <c r="AA82" s="733">
        <f t="shared" si="344"/>
        <v>0</v>
      </c>
      <c r="AB82" s="733">
        <f t="shared" ref="AB82:AC82" si="345">AB80+AB81</f>
        <v>0</v>
      </c>
      <c r="AC82" s="733">
        <f t="shared" si="345"/>
        <v>0</v>
      </c>
      <c r="AD82" s="733">
        <f t="shared" ref="AD82:AL82" si="346">AD80+AD81</f>
        <v>0</v>
      </c>
      <c r="AE82" s="733">
        <f t="shared" ref="AE82:AF82" si="347">AE80+AE81</f>
        <v>0</v>
      </c>
      <c r="AF82" s="733">
        <f t="shared" si="347"/>
        <v>0</v>
      </c>
      <c r="AG82" s="733">
        <f t="shared" ref="AG82:AK82" si="348">AG80+AG81</f>
        <v>0</v>
      </c>
      <c r="AH82" s="733">
        <f t="shared" ref="AH82" si="349">AH80+AH81</f>
        <v>0</v>
      </c>
      <c r="AI82" s="733">
        <f t="shared" si="348"/>
        <v>0</v>
      </c>
      <c r="AJ82" s="733">
        <f t="shared" si="348"/>
        <v>0</v>
      </c>
      <c r="AK82" s="733">
        <f t="shared" si="348"/>
        <v>0</v>
      </c>
      <c r="AL82" s="733">
        <f t="shared" si="346"/>
        <v>0</v>
      </c>
      <c r="AM82" s="1023">
        <f t="shared" ref="AM82:AO82" si="350">AM80+AM81</f>
        <v>0</v>
      </c>
      <c r="AN82" s="984">
        <f t="shared" ref="AN82" si="351">AN80+AN81</f>
        <v>0</v>
      </c>
      <c r="AO82" s="783">
        <f t="shared" si="350"/>
        <v>0</v>
      </c>
      <c r="AP82" s="784">
        <f t="shared" ref="AP82:AR82" si="352">AP80+AP81</f>
        <v>309.93</v>
      </c>
      <c r="AQ82" s="785">
        <f t="shared" ref="AQ82" si="353">AQ80+AQ81</f>
        <v>0</v>
      </c>
      <c r="AR82" s="786">
        <f t="shared" si="352"/>
        <v>0</v>
      </c>
      <c r="AS82" s="985">
        <f t="shared" ref="AS82:AX82" si="354">AS80+AS81</f>
        <v>0</v>
      </c>
      <c r="AT82" s="937">
        <f t="shared" ref="AT82:AU82" si="355">AT80+AT81</f>
        <v>0</v>
      </c>
      <c r="AU82" s="860">
        <f t="shared" si="355"/>
        <v>0</v>
      </c>
      <c r="AV82" s="860">
        <f t="shared" si="354"/>
        <v>0</v>
      </c>
      <c r="AW82" s="861">
        <f t="shared" si="354"/>
        <v>0</v>
      </c>
      <c r="AX82" s="938">
        <f t="shared" si="354"/>
        <v>0</v>
      </c>
      <c r="AY82" s="907">
        <f t="shared" ref="AY82:AZ82" si="356">AY80+AY81</f>
        <v>0</v>
      </c>
      <c r="AZ82" s="586">
        <f t="shared" si="356"/>
        <v>0</v>
      </c>
      <c r="BA82" s="481">
        <f>SUM(BA80:BA81)</f>
        <v>6335.8524122370427</v>
      </c>
      <c r="BB82" s="155">
        <f>AR82+AO82+AL82+AI82+AF82+AB82+AD82+Z82+W82+S82+P82+M82+J82+G82+D82</f>
        <v>0</v>
      </c>
      <c r="BC82" s="1265">
        <f>SUM(BC80:BC81)</f>
        <v>7698.72</v>
      </c>
      <c r="BD82" s="188">
        <v>3224</v>
      </c>
      <c r="BE82" s="131"/>
      <c r="BF82" s="1651"/>
      <c r="BG82" s="610"/>
      <c r="BH82" s="610"/>
      <c r="BI82" s="1655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</row>
    <row r="83" spans="1:148" ht="15.75" thickBot="1" x14ac:dyDescent="0.3">
      <c r="A83" s="78">
        <v>322511</v>
      </c>
      <c r="B83" s="79" t="s">
        <v>50</v>
      </c>
      <c r="C83" s="628"/>
      <c r="D83" s="628"/>
      <c r="E83" s="1165"/>
      <c r="F83" s="630"/>
      <c r="G83" s="630"/>
      <c r="H83" s="1165"/>
      <c r="I83" s="629"/>
      <c r="J83" s="629"/>
      <c r="K83" s="1180"/>
      <c r="L83" s="1082"/>
      <c r="M83" s="384"/>
      <c r="N83" s="1188"/>
      <c r="O83" s="703"/>
      <c r="P83" s="703"/>
      <c r="Q83" s="1188"/>
      <c r="R83" s="703"/>
      <c r="S83" s="703"/>
      <c r="T83" s="1188"/>
      <c r="U83" s="1197"/>
      <c r="V83" s="1026">
        <f>450/7.5345</f>
        <v>59.725263786581721</v>
      </c>
      <c r="W83" s="736"/>
      <c r="X83" s="1208">
        <f>161+738+151.12</f>
        <v>1050.1199999999999</v>
      </c>
      <c r="Y83" s="737"/>
      <c r="Z83" s="737"/>
      <c r="AA83" s="1208"/>
      <c r="AB83" s="737"/>
      <c r="AC83" s="1208"/>
      <c r="AD83" s="737"/>
      <c r="AE83" s="1208"/>
      <c r="AF83" s="737"/>
      <c r="AG83" s="1208"/>
      <c r="AH83" s="737"/>
      <c r="AI83" s="737"/>
      <c r="AJ83" s="1208"/>
      <c r="AK83" s="737"/>
      <c r="AL83" s="737"/>
      <c r="AM83" s="1216"/>
      <c r="AN83" s="988">
        <f>479.97/7.5345</f>
        <v>63.702966354768066</v>
      </c>
      <c r="AO83" s="791"/>
      <c r="AP83" s="1222">
        <v>248.34</v>
      </c>
      <c r="AQ83" s="792"/>
      <c r="AR83" s="793"/>
      <c r="AS83" s="996"/>
      <c r="AT83" s="941"/>
      <c r="AU83" s="864"/>
      <c r="AV83" s="1240"/>
      <c r="AW83" s="1241"/>
      <c r="AX83" s="951"/>
      <c r="AY83" s="909"/>
      <c r="AZ83" s="595"/>
      <c r="BA83" s="155">
        <f t="shared" si="285"/>
        <v>123.42823014134979</v>
      </c>
      <c r="BB83" s="148"/>
      <c r="BC83" s="1263">
        <f>AS83+AP83+AM83+AJ83+AG83+AE83+AC83+AA83+X83+U83+T83+Q83+N83+K83+H83+E83</f>
        <v>1298.4599999999998</v>
      </c>
      <c r="BD83" s="189">
        <v>322511</v>
      </c>
      <c r="BE83" s="34"/>
    </row>
    <row r="84" spans="1:148" s="2" customFormat="1" ht="15.75" thickBot="1" x14ac:dyDescent="0.3">
      <c r="A84" s="76">
        <v>3225</v>
      </c>
      <c r="B84" s="81" t="s">
        <v>51</v>
      </c>
      <c r="C84" s="621">
        <f>C83</f>
        <v>0</v>
      </c>
      <c r="D84" s="621">
        <f>D83</f>
        <v>0</v>
      </c>
      <c r="E84" s="622">
        <f>E83</f>
        <v>0</v>
      </c>
      <c r="F84" s="623">
        <f>F83</f>
        <v>0</v>
      </c>
      <c r="G84" s="623">
        <f>G83</f>
        <v>0</v>
      </c>
      <c r="H84" s="622">
        <f t="shared" ref="H84:L84" si="357">H83</f>
        <v>0</v>
      </c>
      <c r="I84" s="622">
        <f t="shared" ref="I84" si="358">I83</f>
        <v>0</v>
      </c>
      <c r="J84" s="622">
        <f t="shared" si="357"/>
        <v>0</v>
      </c>
      <c r="K84" s="1060">
        <f t="shared" si="357"/>
        <v>0</v>
      </c>
      <c r="L84" s="1078">
        <f t="shared" si="357"/>
        <v>0</v>
      </c>
      <c r="M84" s="381">
        <f t="shared" ref="M84:R84" si="359">M83</f>
        <v>0</v>
      </c>
      <c r="N84" s="382">
        <f t="shared" si="359"/>
        <v>0</v>
      </c>
      <c r="O84" s="382">
        <f t="shared" ref="O84" si="360">O83</f>
        <v>0</v>
      </c>
      <c r="P84" s="382">
        <f t="shared" si="359"/>
        <v>0</v>
      </c>
      <c r="Q84" s="382">
        <f t="shared" si="359"/>
        <v>0</v>
      </c>
      <c r="R84" s="382">
        <f t="shared" si="359"/>
        <v>0</v>
      </c>
      <c r="S84" s="382">
        <f t="shared" ref="S84:U84" si="361">S83</f>
        <v>0</v>
      </c>
      <c r="T84" s="382">
        <f t="shared" ref="T84" si="362">T83</f>
        <v>0</v>
      </c>
      <c r="U84" s="1079">
        <f t="shared" si="361"/>
        <v>0</v>
      </c>
      <c r="V84" s="1022">
        <f>V83</f>
        <v>59.725263786581721</v>
      </c>
      <c r="W84" s="732">
        <f>W83</f>
        <v>0</v>
      </c>
      <c r="X84" s="733">
        <f>X83</f>
        <v>1050.1199999999999</v>
      </c>
      <c r="Y84" s="733">
        <f t="shared" ref="Y84" si="363">Y83</f>
        <v>0</v>
      </c>
      <c r="Z84" s="733">
        <f t="shared" ref="Z84:AL84" si="364">Z83</f>
        <v>0</v>
      </c>
      <c r="AA84" s="733">
        <f t="shared" ref="AA84:AB84" si="365">AA83</f>
        <v>0</v>
      </c>
      <c r="AB84" s="733">
        <f t="shared" si="365"/>
        <v>0</v>
      </c>
      <c r="AC84" s="733">
        <f t="shared" ref="AC84" si="366">AC83</f>
        <v>0</v>
      </c>
      <c r="AD84" s="733">
        <f t="shared" si="364"/>
        <v>0</v>
      </c>
      <c r="AE84" s="733">
        <f t="shared" ref="AE84:AF84" si="367">AE83</f>
        <v>0</v>
      </c>
      <c r="AF84" s="733">
        <f t="shared" si="367"/>
        <v>0</v>
      </c>
      <c r="AG84" s="733">
        <f t="shared" ref="AG84:AK84" si="368">AG83</f>
        <v>0</v>
      </c>
      <c r="AH84" s="733">
        <f t="shared" ref="AH84" si="369">AH83</f>
        <v>0</v>
      </c>
      <c r="AI84" s="733">
        <f t="shared" si="368"/>
        <v>0</v>
      </c>
      <c r="AJ84" s="733">
        <f t="shared" si="368"/>
        <v>0</v>
      </c>
      <c r="AK84" s="733">
        <f t="shared" si="368"/>
        <v>0</v>
      </c>
      <c r="AL84" s="733">
        <f t="shared" si="364"/>
        <v>0</v>
      </c>
      <c r="AM84" s="1023">
        <f t="shared" ref="AM84:AO84" si="370">AM83</f>
        <v>0</v>
      </c>
      <c r="AN84" s="984">
        <f t="shared" ref="AN84" si="371">AN83</f>
        <v>63.702966354768066</v>
      </c>
      <c r="AO84" s="783">
        <f t="shared" si="370"/>
        <v>0</v>
      </c>
      <c r="AP84" s="784">
        <f>AP83</f>
        <v>248.34</v>
      </c>
      <c r="AQ84" s="785"/>
      <c r="AR84" s="786"/>
      <c r="AS84" s="985"/>
      <c r="AT84" s="937">
        <f t="shared" ref="AT84:AU84" si="372">AT83</f>
        <v>0</v>
      </c>
      <c r="AU84" s="860">
        <f t="shared" si="372"/>
        <v>0</v>
      </c>
      <c r="AV84" s="860">
        <f t="shared" ref="AV84:AW84" si="373">AV83</f>
        <v>0</v>
      </c>
      <c r="AW84" s="861">
        <f t="shared" si="373"/>
        <v>0</v>
      </c>
      <c r="AX84" s="938"/>
      <c r="AY84" s="907">
        <f t="shared" ref="AY84" si="374">AY83</f>
        <v>0</v>
      </c>
      <c r="AZ84" s="586"/>
      <c r="BA84" s="533">
        <f>SUM(BA83)</f>
        <v>123.42823014134979</v>
      </c>
      <c r="BB84" s="155">
        <f>AR84+AO84+AL84+AI84+AF84+AB84+AD84+Z84+W84+S84+P84+M84+J84+G84+D84</f>
        <v>0</v>
      </c>
      <c r="BC84" s="1265">
        <f>SUM(BC83)</f>
        <v>1298.4599999999998</v>
      </c>
      <c r="BD84" s="188">
        <v>3225</v>
      </c>
      <c r="BE84" s="131"/>
      <c r="BF84" s="1650"/>
      <c r="BG84" s="610"/>
      <c r="BH84" s="610"/>
      <c r="BI84" s="1655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</row>
    <row r="85" spans="1:148" ht="15.75" thickBot="1" x14ac:dyDescent="0.3">
      <c r="A85" s="78">
        <v>322711</v>
      </c>
      <c r="B85" s="79" t="s">
        <v>52</v>
      </c>
      <c r="C85" s="628"/>
      <c r="D85" s="628"/>
      <c r="E85" s="1165"/>
      <c r="F85" s="630"/>
      <c r="G85" s="630"/>
      <c r="H85" s="1165"/>
      <c r="I85" s="629"/>
      <c r="J85" s="629"/>
      <c r="K85" s="1180"/>
      <c r="L85" s="1082"/>
      <c r="M85" s="384"/>
      <c r="N85" s="1188"/>
      <c r="O85" s="703"/>
      <c r="P85" s="703"/>
      <c r="Q85" s="1188"/>
      <c r="R85" s="703"/>
      <c r="S85" s="703"/>
      <c r="T85" s="1188"/>
      <c r="U85" s="1197"/>
      <c r="V85" s="1026">
        <f>7348/7.5345</f>
        <v>975.24719623067222</v>
      </c>
      <c r="W85" s="736"/>
      <c r="X85" s="1208">
        <f>1256.82-40</f>
        <v>1216.82</v>
      </c>
      <c r="Y85" s="737"/>
      <c r="Z85" s="737"/>
      <c r="AA85" s="1208"/>
      <c r="AB85" s="737"/>
      <c r="AC85" s="1208"/>
      <c r="AD85" s="737"/>
      <c r="AE85" s="1208"/>
      <c r="AF85" s="737"/>
      <c r="AG85" s="1208"/>
      <c r="AH85" s="737"/>
      <c r="AI85" s="737"/>
      <c r="AJ85" s="1208"/>
      <c r="AK85" s="737"/>
      <c r="AL85" s="737"/>
      <c r="AM85" s="1216">
        <v>40</v>
      </c>
      <c r="AN85" s="988">
        <f>17440/7.5345</f>
        <v>2314.685778751078</v>
      </c>
      <c r="AO85" s="791"/>
      <c r="AP85" s="1222"/>
      <c r="AQ85" s="792"/>
      <c r="AR85" s="793"/>
      <c r="AS85" s="996"/>
      <c r="AT85" s="941"/>
      <c r="AU85" s="864"/>
      <c r="AV85" s="1240"/>
      <c r="AW85" s="1241"/>
      <c r="AX85" s="951"/>
      <c r="AY85" s="909"/>
      <c r="AZ85" s="595"/>
      <c r="BA85" s="137">
        <f t="shared" si="285"/>
        <v>3289.9329749817502</v>
      </c>
      <c r="BB85" s="148"/>
      <c r="BC85" s="1263">
        <f>AS85+AP85+AM85+AJ85+AG85+AE85+AC85+AA85+X85+U85+T85+Q85+N85+K85+H85+E85</f>
        <v>1256.82</v>
      </c>
      <c r="BD85" s="189">
        <v>322711</v>
      </c>
      <c r="BE85" s="34"/>
    </row>
    <row r="86" spans="1:148" s="2" customFormat="1" ht="15.75" thickBot="1" x14ac:dyDescent="0.3">
      <c r="A86" s="76">
        <v>3227</v>
      </c>
      <c r="B86" s="81" t="s">
        <v>52</v>
      </c>
      <c r="C86" s="621">
        <f>C85</f>
        <v>0</v>
      </c>
      <c r="D86" s="621">
        <f>D85</f>
        <v>0</v>
      </c>
      <c r="E86" s="622">
        <f>E85</f>
        <v>0</v>
      </c>
      <c r="F86" s="623">
        <f t="shared" ref="F86" si="375">F85</f>
        <v>0</v>
      </c>
      <c r="G86" s="623">
        <f t="shared" ref="G86:L86" si="376">G85</f>
        <v>0</v>
      </c>
      <c r="H86" s="622">
        <f t="shared" si="376"/>
        <v>0</v>
      </c>
      <c r="I86" s="622">
        <f t="shared" ref="I86" si="377">I85</f>
        <v>0</v>
      </c>
      <c r="J86" s="622">
        <f t="shared" si="376"/>
        <v>0</v>
      </c>
      <c r="K86" s="1060">
        <f t="shared" si="376"/>
        <v>0</v>
      </c>
      <c r="L86" s="1078">
        <f t="shared" si="376"/>
        <v>0</v>
      </c>
      <c r="M86" s="381">
        <f t="shared" ref="M86:R86" si="378">M85</f>
        <v>0</v>
      </c>
      <c r="N86" s="382">
        <f t="shared" si="378"/>
        <v>0</v>
      </c>
      <c r="O86" s="382">
        <f t="shared" ref="O86" si="379">O85</f>
        <v>0</v>
      </c>
      <c r="P86" s="382">
        <f t="shared" si="378"/>
        <v>0</v>
      </c>
      <c r="Q86" s="382">
        <f t="shared" si="378"/>
        <v>0</v>
      </c>
      <c r="R86" s="382">
        <f t="shared" si="378"/>
        <v>0</v>
      </c>
      <c r="S86" s="382">
        <f t="shared" ref="S86:U86" si="380">S85</f>
        <v>0</v>
      </c>
      <c r="T86" s="382">
        <f t="shared" ref="T86" si="381">T85</f>
        <v>0</v>
      </c>
      <c r="U86" s="1079">
        <f t="shared" si="380"/>
        <v>0</v>
      </c>
      <c r="V86" s="1022">
        <f>V85</f>
        <v>975.24719623067222</v>
      </c>
      <c r="W86" s="732">
        <f t="shared" ref="W86" si="382">W85</f>
        <v>0</v>
      </c>
      <c r="X86" s="733">
        <f>X85</f>
        <v>1216.82</v>
      </c>
      <c r="Y86" s="733">
        <f t="shared" ref="Y86" si="383">Y85</f>
        <v>0</v>
      </c>
      <c r="Z86" s="733">
        <f t="shared" ref="Z86:AL86" si="384">Z85</f>
        <v>0</v>
      </c>
      <c r="AA86" s="733">
        <f t="shared" ref="AA86:AB86" si="385">AA85</f>
        <v>0</v>
      </c>
      <c r="AB86" s="733">
        <f t="shared" si="385"/>
        <v>0</v>
      </c>
      <c r="AC86" s="733">
        <f t="shared" ref="AC86" si="386">AC85</f>
        <v>0</v>
      </c>
      <c r="AD86" s="733">
        <f t="shared" si="384"/>
        <v>0</v>
      </c>
      <c r="AE86" s="733">
        <f t="shared" ref="AE86:AF86" si="387">AE85</f>
        <v>0</v>
      </c>
      <c r="AF86" s="733">
        <f t="shared" si="387"/>
        <v>0</v>
      </c>
      <c r="AG86" s="733">
        <f t="shared" ref="AG86:AK86" si="388">AG85</f>
        <v>0</v>
      </c>
      <c r="AH86" s="733">
        <f t="shared" ref="AH86" si="389">AH85</f>
        <v>0</v>
      </c>
      <c r="AI86" s="733">
        <f t="shared" si="388"/>
        <v>0</v>
      </c>
      <c r="AJ86" s="733">
        <f t="shared" si="388"/>
        <v>0</v>
      </c>
      <c r="AK86" s="733">
        <f t="shared" si="388"/>
        <v>0</v>
      </c>
      <c r="AL86" s="733">
        <f t="shared" si="384"/>
        <v>0</v>
      </c>
      <c r="AM86" s="1023">
        <f t="shared" ref="AM86:AO86" si="390">AM85</f>
        <v>40</v>
      </c>
      <c r="AN86" s="984">
        <f t="shared" ref="AN86" si="391">AN85</f>
        <v>2314.685778751078</v>
      </c>
      <c r="AO86" s="783">
        <f t="shared" si="390"/>
        <v>0</v>
      </c>
      <c r="AP86" s="784">
        <f>AP85</f>
        <v>0</v>
      </c>
      <c r="AQ86" s="785"/>
      <c r="AR86" s="786"/>
      <c r="AS86" s="985"/>
      <c r="AT86" s="937">
        <f t="shared" ref="AT86:AU86" si="392">AT85</f>
        <v>0</v>
      </c>
      <c r="AU86" s="860">
        <f t="shared" si="392"/>
        <v>0</v>
      </c>
      <c r="AV86" s="860">
        <f t="shared" ref="AV86:AW86" si="393">AV85</f>
        <v>0</v>
      </c>
      <c r="AW86" s="861">
        <f t="shared" si="393"/>
        <v>0</v>
      </c>
      <c r="AX86" s="938"/>
      <c r="AY86" s="907">
        <f t="shared" ref="AY86" si="394">AY85</f>
        <v>0</v>
      </c>
      <c r="AZ86" s="586"/>
      <c r="BA86" s="136">
        <f t="shared" si="285"/>
        <v>3289.9329749817502</v>
      </c>
      <c r="BB86" s="155">
        <f>AR86+AO86+AL86+AI86+AF86+AB86+AD86+Z86+W86+S86+P86+M86+J86+G86+D86</f>
        <v>0</v>
      </c>
      <c r="BC86" s="1265">
        <f>SUM(BC85)</f>
        <v>1256.82</v>
      </c>
      <c r="BD86" s="188">
        <v>3227</v>
      </c>
      <c r="BE86" s="131"/>
      <c r="BF86" s="1650"/>
      <c r="BG86" s="610"/>
      <c r="BH86" s="610"/>
      <c r="BI86" s="1655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</row>
    <row r="87" spans="1:148" ht="15.75" thickBot="1" x14ac:dyDescent="0.3">
      <c r="A87" s="204">
        <v>322</v>
      </c>
      <c r="B87" s="340" t="s">
        <v>53</v>
      </c>
      <c r="C87" s="664">
        <f>C72+C75+C79+C82+C84+C86</f>
        <v>0</v>
      </c>
      <c r="D87" s="660">
        <v>1460</v>
      </c>
      <c r="E87" s="661">
        <f>E72+E75+E79+E82+E84+E86</f>
        <v>54.19</v>
      </c>
      <c r="F87" s="663">
        <f>F72+F75+F79+F82+F84+F86</f>
        <v>0</v>
      </c>
      <c r="G87" s="662">
        <f>G72+G75+G79+G82+G84+G86</f>
        <v>0</v>
      </c>
      <c r="H87" s="661">
        <f t="shared" ref="H87" si="395">H72+H75+H79+H82+H84+H86</f>
        <v>0</v>
      </c>
      <c r="I87" s="663">
        <f>I72+I75+I79+I82+I84+I86</f>
        <v>241.48118654190722</v>
      </c>
      <c r="J87" s="661">
        <v>1200</v>
      </c>
      <c r="K87" s="1068">
        <f>K72+K75+K79+K82+K84+K86</f>
        <v>1166.97</v>
      </c>
      <c r="L87" s="1097">
        <f>L72+L75+L79+L82+L84+L86</f>
        <v>0</v>
      </c>
      <c r="M87" s="395">
        <f t="shared" ref="M87:N87" si="396">M72+M75+M79+M82+M84+M86</f>
        <v>0</v>
      </c>
      <c r="N87" s="396">
        <f t="shared" si="396"/>
        <v>0</v>
      </c>
      <c r="O87" s="396">
        <f>O72+O75+O79+O82+O84+O86</f>
        <v>1368.4000265445616</v>
      </c>
      <c r="P87" s="396">
        <v>6800</v>
      </c>
      <c r="Q87" s="396">
        <f>Q72+Q75+Q79+Q82+Q84+Q86</f>
        <v>6612.86</v>
      </c>
      <c r="R87" s="396">
        <f>R72+R75+R79+R82+R84+R86</f>
        <v>0</v>
      </c>
      <c r="S87" s="396">
        <f>200+1500</f>
        <v>1700</v>
      </c>
      <c r="T87" s="396">
        <f t="shared" ref="T87" si="397">T72+T75+T79+T82+T84+T86</f>
        <v>0</v>
      </c>
      <c r="U87" s="1098">
        <f t="shared" ref="U87" si="398">U72+U75+U79+U82+U84+U86</f>
        <v>187.99</v>
      </c>
      <c r="V87" s="1041">
        <f>V72+V75+V79+V82+V84+V86</f>
        <v>34926.823279580596</v>
      </c>
      <c r="W87" s="755">
        <v>48800</v>
      </c>
      <c r="X87" s="756">
        <f>X72+X75+X79+X82+X84+X86</f>
        <v>49271.869999999995</v>
      </c>
      <c r="Y87" s="756">
        <f t="shared" ref="Y87:Z87" si="399">Y72+Y75+Y79+Y82+Y84+Y86</f>
        <v>0</v>
      </c>
      <c r="Z87" s="756">
        <f t="shared" si="399"/>
        <v>0</v>
      </c>
      <c r="AA87" s="756">
        <f t="shared" ref="AA87" si="400">AA72+AA75+AA79+AA82+AA84+AA86</f>
        <v>0</v>
      </c>
      <c r="AB87" s="756"/>
      <c r="AC87" s="756">
        <f t="shared" ref="AC87" si="401">AC72+AC75+AC79+AC82+AC84+AC86</f>
        <v>0</v>
      </c>
      <c r="AD87" s="756"/>
      <c r="AE87" s="756">
        <f t="shared" ref="AE87" si="402">AE72+AE75+AE79+AE82+AE84+AE86</f>
        <v>0</v>
      </c>
      <c r="AF87" s="756"/>
      <c r="AG87" s="756">
        <f t="shared" ref="AG87:AJ87" si="403">AG72+AG75+AG79+AG82+AG84+AG86</f>
        <v>0</v>
      </c>
      <c r="AH87" s="757">
        <f t="shared" si="403"/>
        <v>0</v>
      </c>
      <c r="AI87" s="756">
        <v>0</v>
      </c>
      <c r="AJ87" s="756">
        <f t="shared" si="403"/>
        <v>0</v>
      </c>
      <c r="AK87" s="757">
        <f t="shared" ref="AK87:AM87" si="404">AK72+AK75+AK79+AK82+AK84+AK86</f>
        <v>0</v>
      </c>
      <c r="AL87" s="756">
        <v>200</v>
      </c>
      <c r="AM87" s="1042">
        <f t="shared" si="404"/>
        <v>127.33</v>
      </c>
      <c r="AN87" s="1003">
        <f>AN72+AN75+AN79+AN82+AN84+AN86</f>
        <v>7703.9219589886525</v>
      </c>
      <c r="AO87" s="823">
        <v>15000</v>
      </c>
      <c r="AP87" s="824">
        <f>AP72+AP75+AP79+AP82+AP84+AP86</f>
        <v>10115.779999999999</v>
      </c>
      <c r="AQ87" s="824">
        <f>AQ72+AQ75+AQ79+AQ82+AQ84+AQ86</f>
        <v>0</v>
      </c>
      <c r="AR87" s="800">
        <f>AR72+AR75+AR79+AR82+AR84+AR86</f>
        <v>0</v>
      </c>
      <c r="AS87" s="991">
        <f>AS72+AS75+AS79+AS82+AS84+AS86</f>
        <v>0</v>
      </c>
      <c r="AT87" s="960">
        <f>AT72+AT75+AT79+AT82+AT84+AT86</f>
        <v>0</v>
      </c>
      <c r="AU87" s="881"/>
      <c r="AV87" s="881"/>
      <c r="AW87" s="882">
        <f>AW72+AW75+AW79+AW82+AW84+AW86</f>
        <v>0</v>
      </c>
      <c r="AX87" s="948">
        <f>AX72+AX75+AX79+AX82+AX84+AX86</f>
        <v>0</v>
      </c>
      <c r="AY87" s="921">
        <f>AY72+AY75+AY79+AY82+AY84+AY86</f>
        <v>0</v>
      </c>
      <c r="AZ87" s="593">
        <f>AZ72+AZ75+AZ79+AZ82+AZ84+AZ86</f>
        <v>0</v>
      </c>
      <c r="BA87" s="482">
        <f>AQ87+AN87+AK87+AH87+AE87+AA87+AC87+Y87+V87+R87+O87+L87+I87+F87+C87+AT87</f>
        <v>44240.62645165572</v>
      </c>
      <c r="BB87" s="162">
        <f>AR87+AO87+AL87+AI87+AF87+AB87+AD87+Z87+W87+S87+P87+M87+J87+G87+D87+AU87</f>
        <v>75160</v>
      </c>
      <c r="BC87" s="1275">
        <f>BC86+BC84+BC82+BC79+BC75+BC72</f>
        <v>67536.989999999991</v>
      </c>
      <c r="BD87" s="346">
        <v>322</v>
      </c>
      <c r="BE87" s="132"/>
    </row>
    <row r="88" spans="1:148" ht="15.75" thickTop="1" x14ac:dyDescent="0.25">
      <c r="A88" s="171">
        <v>323111</v>
      </c>
      <c r="B88" s="172" t="s">
        <v>54</v>
      </c>
      <c r="C88" s="638"/>
      <c r="D88" s="638"/>
      <c r="E88" s="672"/>
      <c r="F88" s="640"/>
      <c r="G88" s="640"/>
      <c r="H88" s="672"/>
      <c r="I88" s="639"/>
      <c r="J88" s="639"/>
      <c r="K88" s="1071"/>
      <c r="L88" s="1086"/>
      <c r="M88" s="388"/>
      <c r="N88" s="713"/>
      <c r="O88" s="705"/>
      <c r="P88" s="705"/>
      <c r="Q88" s="713"/>
      <c r="R88" s="705"/>
      <c r="S88" s="705"/>
      <c r="T88" s="713"/>
      <c r="U88" s="1104"/>
      <c r="V88" s="1030">
        <f>13277.36/7.5345</f>
        <v>1762.2085075320194</v>
      </c>
      <c r="W88" s="742"/>
      <c r="X88" s="1212">
        <v>2174.67</v>
      </c>
      <c r="Y88" s="743"/>
      <c r="Z88" s="743"/>
      <c r="AA88" s="760"/>
      <c r="AB88" s="743"/>
      <c r="AC88" s="760"/>
      <c r="AD88" s="743"/>
      <c r="AE88" s="760"/>
      <c r="AF88" s="743"/>
      <c r="AG88" s="760"/>
      <c r="AH88" s="743"/>
      <c r="AI88" s="743"/>
      <c r="AJ88" s="760"/>
      <c r="AK88" s="743"/>
      <c r="AL88" s="743"/>
      <c r="AM88" s="1045"/>
      <c r="AN88" s="992"/>
      <c r="AO88" s="801"/>
      <c r="AP88" s="832"/>
      <c r="AQ88" s="802"/>
      <c r="AR88" s="803"/>
      <c r="AS88" s="1008"/>
      <c r="AT88" s="946"/>
      <c r="AU88" s="868"/>
      <c r="AV88" s="885"/>
      <c r="AW88" s="886"/>
      <c r="AX88" s="965"/>
      <c r="AY88" s="912"/>
      <c r="AZ88" s="604"/>
      <c r="BA88" s="137">
        <f t="shared" si="285"/>
        <v>1762.2085075320194</v>
      </c>
      <c r="BB88" s="165"/>
      <c r="BC88" s="1276">
        <f>AS88+AP88+AM88+AJ88+AG88+AE88+AC88+AA88+X88+U88+T88+Q88+N88+K88+H88+E88</f>
        <v>2174.67</v>
      </c>
      <c r="BD88" s="191">
        <v>323111</v>
      </c>
      <c r="BE88" s="34"/>
      <c r="BF88" s="1650"/>
    </row>
    <row r="89" spans="1:148" s="6" customFormat="1" x14ac:dyDescent="0.25">
      <c r="A89" s="45">
        <v>323121</v>
      </c>
      <c r="B89" s="30" t="s">
        <v>55</v>
      </c>
      <c r="C89" s="615"/>
      <c r="D89" s="615"/>
      <c r="E89" s="654"/>
      <c r="F89" s="617"/>
      <c r="G89" s="617"/>
      <c r="H89" s="654"/>
      <c r="I89" s="616">
        <f>7.5/7.5345</f>
        <v>0.99542106310969536</v>
      </c>
      <c r="J89" s="616"/>
      <c r="K89" s="1066">
        <f>5.68+1.12</f>
        <v>6.8</v>
      </c>
      <c r="L89" s="1076"/>
      <c r="M89" s="378"/>
      <c r="N89" s="708"/>
      <c r="O89" s="699">
        <f>42.5/7.5345</f>
        <v>5.6407193576216068</v>
      </c>
      <c r="P89" s="699"/>
      <c r="Q89" s="708">
        <f>32.15+6.38</f>
        <v>38.53</v>
      </c>
      <c r="R89" s="699"/>
      <c r="S89" s="699"/>
      <c r="T89" s="708"/>
      <c r="U89" s="1094"/>
      <c r="V89" s="1020">
        <f>429.46/7.5345</f>
        <v>56.9991373017453</v>
      </c>
      <c r="W89" s="728"/>
      <c r="X89" s="749">
        <v>57</v>
      </c>
      <c r="Y89" s="729"/>
      <c r="Z89" s="729"/>
      <c r="AA89" s="750"/>
      <c r="AB89" s="729"/>
      <c r="AC89" s="750"/>
      <c r="AD89" s="729"/>
      <c r="AE89" s="750"/>
      <c r="AF89" s="729"/>
      <c r="AG89" s="750"/>
      <c r="AH89" s="729"/>
      <c r="AI89" s="729"/>
      <c r="AJ89" s="750"/>
      <c r="AK89" s="729"/>
      <c r="AL89" s="729"/>
      <c r="AM89" s="1036"/>
      <c r="AN89" s="982"/>
      <c r="AO89" s="777"/>
      <c r="AP89" s="814"/>
      <c r="AQ89" s="778"/>
      <c r="AR89" s="779"/>
      <c r="AS89" s="999"/>
      <c r="AT89" s="935"/>
      <c r="AU89" s="858"/>
      <c r="AV89" s="875"/>
      <c r="AW89" s="876"/>
      <c r="AX89" s="954"/>
      <c r="AY89" s="905"/>
      <c r="AZ89" s="600"/>
      <c r="BA89" s="137">
        <f t="shared" si="285"/>
        <v>63.635277722476602</v>
      </c>
      <c r="BB89" s="139"/>
      <c r="BC89" s="1263">
        <f>AS89+AP89+AM89+AJ89+AG89+AE89+AC89+AA89+X89+U89+T89+Q89+N89+K89+H89+E89</f>
        <v>102.33</v>
      </c>
      <c r="BD89" s="186">
        <v>323121</v>
      </c>
      <c r="BE89" s="34"/>
      <c r="BF89" s="610"/>
      <c r="BG89" s="610"/>
      <c r="BH89" s="610"/>
      <c r="BI89" s="1656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</row>
    <row r="90" spans="1:148" x14ac:dyDescent="0.25">
      <c r="A90" s="46">
        <v>323131</v>
      </c>
      <c r="B90" s="29" t="s">
        <v>56</v>
      </c>
      <c r="C90" s="615"/>
      <c r="D90" s="615"/>
      <c r="E90" s="654"/>
      <c r="F90" s="617"/>
      <c r="G90" s="617"/>
      <c r="H90" s="654"/>
      <c r="I90" s="616"/>
      <c r="J90" s="616"/>
      <c r="K90" s="1066"/>
      <c r="L90" s="1076"/>
      <c r="M90" s="378"/>
      <c r="N90" s="708"/>
      <c r="O90" s="699"/>
      <c r="P90" s="699"/>
      <c r="Q90" s="708"/>
      <c r="R90" s="699"/>
      <c r="S90" s="699"/>
      <c r="T90" s="708"/>
      <c r="U90" s="1094"/>
      <c r="V90" s="1020">
        <f>4219.96/7.5345</f>
        <v>560.08494259738529</v>
      </c>
      <c r="W90" s="728"/>
      <c r="X90" s="749">
        <f>520.83-3.33-4.99+19.34+53.88+4.29+100+75.68+6.84+17.84+20.42+27.82+8.11</f>
        <v>846.73000000000013</v>
      </c>
      <c r="Y90" s="729"/>
      <c r="Z90" s="729"/>
      <c r="AA90" s="750"/>
      <c r="AB90" s="729"/>
      <c r="AC90" s="750"/>
      <c r="AD90" s="729"/>
      <c r="AE90" s="750"/>
      <c r="AF90" s="729"/>
      <c r="AG90" s="750"/>
      <c r="AH90" s="729"/>
      <c r="AI90" s="729"/>
      <c r="AJ90" s="750"/>
      <c r="AK90" s="729"/>
      <c r="AL90" s="729"/>
      <c r="AM90" s="1036"/>
      <c r="AN90" s="982">
        <f>127.5/7.5345</f>
        <v>16.922158072864821</v>
      </c>
      <c r="AO90" s="777"/>
      <c r="AP90" s="814">
        <f>4.99+3.33+6.25+5.98</f>
        <v>20.55</v>
      </c>
      <c r="AQ90" s="781"/>
      <c r="AR90" s="782"/>
      <c r="AS90" s="999"/>
      <c r="AT90" s="935"/>
      <c r="AU90" s="858"/>
      <c r="AV90" s="875"/>
      <c r="AW90" s="876"/>
      <c r="AX90" s="956"/>
      <c r="AY90" s="905"/>
      <c r="AZ90" s="601"/>
      <c r="BA90" s="137">
        <f t="shared" si="285"/>
        <v>577.00710067025011</v>
      </c>
      <c r="BB90" s="144"/>
      <c r="BC90" s="1263">
        <f>AS90+AP90+AM90+AJ90+AG90+AE90+AC90+AA90+X90+U90+T90+Q90+N90+K90+H90+E90</f>
        <v>867.28000000000009</v>
      </c>
      <c r="BD90" s="187">
        <v>323131</v>
      </c>
      <c r="BE90" s="34"/>
    </row>
    <row r="91" spans="1:148" ht="15.75" thickBot="1" x14ac:dyDescent="0.3">
      <c r="A91" s="46">
        <v>323191</v>
      </c>
      <c r="B91" s="29" t="s">
        <v>57</v>
      </c>
      <c r="C91" s="618"/>
      <c r="D91" s="618"/>
      <c r="E91" s="657"/>
      <c r="F91" s="620"/>
      <c r="G91" s="620"/>
      <c r="H91" s="657"/>
      <c r="I91" s="619">
        <f>1614.3/7.5345</f>
        <v>214.25442962373083</v>
      </c>
      <c r="J91" s="619"/>
      <c r="K91" s="1067">
        <f>268.76+537.53+268.77+268.77+268.77+268.77+268.77+134.38+537.53+268.77+75+403.15+18+426.92+225.29</f>
        <v>4239.18</v>
      </c>
      <c r="L91" s="1077"/>
      <c r="M91" s="379"/>
      <c r="N91" s="709"/>
      <c r="O91" s="700">
        <f>9147.7/7.5345</f>
        <v>1214.1084345344748</v>
      </c>
      <c r="P91" s="700"/>
      <c r="Q91" s="709">
        <f>1276.64+2419.2+102+2284.49+425+1522.99+3045.99+761.5+1522.99+1522.99+1522.99+1522.99+1522.99+3045.99+1523</f>
        <v>24021.75</v>
      </c>
      <c r="R91" s="700"/>
      <c r="S91" s="700"/>
      <c r="T91" s="709">
        <f>11705.8-122-69-122-55.34</f>
        <v>11337.46</v>
      </c>
      <c r="U91" s="1096">
        <f>932.43+3300+2365.14</f>
        <v>6597.57</v>
      </c>
      <c r="V91" s="1021">
        <f>230/7.5345</f>
        <v>30.526245935363992</v>
      </c>
      <c r="W91" s="730"/>
      <c r="X91" s="751">
        <f>69+75</f>
        <v>144</v>
      </c>
      <c r="Y91" s="731"/>
      <c r="Z91" s="731"/>
      <c r="AA91" s="752"/>
      <c r="AB91" s="731"/>
      <c r="AC91" s="752"/>
      <c r="AD91" s="731"/>
      <c r="AE91" s="752"/>
      <c r="AF91" s="731"/>
      <c r="AG91" s="752"/>
      <c r="AH91" s="731"/>
      <c r="AI91" s="731"/>
      <c r="AJ91" s="752"/>
      <c r="AK91" s="731"/>
      <c r="AL91" s="731"/>
      <c r="AM91" s="1038"/>
      <c r="AN91" s="983">
        <f>29599.04/7.5345</f>
        <v>3928.4677151768528</v>
      </c>
      <c r="AO91" s="780"/>
      <c r="AP91" s="818"/>
      <c r="AQ91" s="781"/>
      <c r="AR91" s="782"/>
      <c r="AS91" s="1001"/>
      <c r="AT91" s="936"/>
      <c r="AU91" s="859"/>
      <c r="AV91" s="877"/>
      <c r="AW91" s="878"/>
      <c r="AX91" s="956"/>
      <c r="AY91" s="906"/>
      <c r="AZ91" s="601"/>
      <c r="BA91" s="137">
        <f t="shared" si="285"/>
        <v>5387.3568252704226</v>
      </c>
      <c r="BB91" s="144"/>
      <c r="BC91" s="1263">
        <f>AS91+AP91+AM91+AJ91+AG91+AE91+AC91+AA91+X91+U91+T91+Q91+N91+K91+H91+E91</f>
        <v>46339.96</v>
      </c>
      <c r="BD91" s="187">
        <v>323191</v>
      </c>
      <c r="BE91" s="34"/>
      <c r="BF91" s="1651"/>
    </row>
    <row r="92" spans="1:148" s="2" customFormat="1" ht="15.75" thickBot="1" x14ac:dyDescent="0.3">
      <c r="A92" s="76">
        <v>3231</v>
      </c>
      <c r="B92" s="87" t="s">
        <v>150</v>
      </c>
      <c r="C92" s="665">
        <f>SUM(C88:C91)</f>
        <v>0</v>
      </c>
      <c r="D92" s="665">
        <f>SUM(D88:D91)</f>
        <v>0</v>
      </c>
      <c r="E92" s="666">
        <f>SUM(E88:E91)</f>
        <v>0</v>
      </c>
      <c r="F92" s="667">
        <f t="shared" ref="F92" si="405">SUM(F88:F91)</f>
        <v>0</v>
      </c>
      <c r="G92" s="667">
        <f t="shared" ref="G92:K92" si="406">SUM(G88:G91)</f>
        <v>0</v>
      </c>
      <c r="H92" s="666">
        <f t="shared" si="406"/>
        <v>0</v>
      </c>
      <c r="I92" s="666">
        <f>SUM(I88:I91)</f>
        <v>215.24985068684052</v>
      </c>
      <c r="J92" s="666">
        <f t="shared" si="406"/>
        <v>0</v>
      </c>
      <c r="K92" s="1069">
        <f t="shared" si="406"/>
        <v>4245.9800000000005</v>
      </c>
      <c r="L92" s="1099">
        <f>SUM(L88:L91)</f>
        <v>0</v>
      </c>
      <c r="M92" s="397">
        <f>SUM(M88:M91)</f>
        <v>0</v>
      </c>
      <c r="N92" s="711">
        <f>SUM(N88:N91)</f>
        <v>0</v>
      </c>
      <c r="O92" s="711">
        <f>SUM(O88:O91)</f>
        <v>1219.7491538920965</v>
      </c>
      <c r="P92" s="711">
        <f t="shared" ref="P92" si="407">SUM(P88:P91)</f>
        <v>0</v>
      </c>
      <c r="Q92" s="711">
        <f>SUM(Q88:Q91)</f>
        <v>24060.28</v>
      </c>
      <c r="R92" s="711">
        <f>SUM(R88:R91)</f>
        <v>0</v>
      </c>
      <c r="S92" s="711">
        <f t="shared" ref="S92:W92" si="408">SUM(S88:S91)</f>
        <v>0</v>
      </c>
      <c r="T92" s="711">
        <f t="shared" ref="T92" si="409">SUM(T88:T91)</f>
        <v>11337.46</v>
      </c>
      <c r="U92" s="1100">
        <f t="shared" si="408"/>
        <v>6597.57</v>
      </c>
      <c r="V92" s="1043">
        <f>SUM(V88:V91)</f>
        <v>2409.8188333665139</v>
      </c>
      <c r="W92" s="758">
        <f t="shared" si="408"/>
        <v>0</v>
      </c>
      <c r="X92" s="759">
        <f>SUM(X88:X91)</f>
        <v>3222.4</v>
      </c>
      <c r="Y92" s="759">
        <f t="shared" ref="Y92" si="410">SUM(Y88:Y91)</f>
        <v>0</v>
      </c>
      <c r="Z92" s="759">
        <f t="shared" ref="Z92:AA92" si="411">SUM(Z88:Z91)</f>
        <v>0</v>
      </c>
      <c r="AA92" s="759">
        <f t="shared" si="411"/>
        <v>0</v>
      </c>
      <c r="AB92" s="759">
        <f t="shared" ref="AB92:AC92" si="412">SUM(AB88:AB91)</f>
        <v>0</v>
      </c>
      <c r="AC92" s="759">
        <f t="shared" si="412"/>
        <v>0</v>
      </c>
      <c r="AD92" s="759">
        <f t="shared" ref="AD92:AL92" si="413">SUM(AD88:AD91)</f>
        <v>0</v>
      </c>
      <c r="AE92" s="759">
        <f t="shared" ref="AE92:AF92" si="414">SUM(AE88:AE91)</f>
        <v>0</v>
      </c>
      <c r="AF92" s="759">
        <f t="shared" si="414"/>
        <v>0</v>
      </c>
      <c r="AG92" s="759">
        <f t="shared" ref="AG92:AK92" si="415">SUM(AG88:AG91)</f>
        <v>0</v>
      </c>
      <c r="AH92" s="759">
        <f t="shared" ref="AH92" si="416">SUM(AH88:AH91)</f>
        <v>0</v>
      </c>
      <c r="AI92" s="759">
        <f t="shared" si="415"/>
        <v>0</v>
      </c>
      <c r="AJ92" s="759">
        <f t="shared" si="415"/>
        <v>0</v>
      </c>
      <c r="AK92" s="759">
        <f t="shared" si="415"/>
        <v>0</v>
      </c>
      <c r="AL92" s="759">
        <f t="shared" si="413"/>
        <v>0</v>
      </c>
      <c r="AM92" s="1044">
        <f t="shared" ref="AM92:AO92" si="417">SUM(AM88:AM91)</f>
        <v>0</v>
      </c>
      <c r="AN92" s="1004">
        <f t="shared" ref="AN92" si="418">SUM(AN88:AN91)</f>
        <v>3945.3898732497178</v>
      </c>
      <c r="AO92" s="825">
        <f t="shared" si="417"/>
        <v>0</v>
      </c>
      <c r="AP92" s="826">
        <f>SUM(AP88:AP91)</f>
        <v>20.55</v>
      </c>
      <c r="AQ92" s="827">
        <f>SUM(AQ88:AQ91)</f>
        <v>0</v>
      </c>
      <c r="AR92" s="828">
        <f>SUM(AR88:AR91)</f>
        <v>0</v>
      </c>
      <c r="AS92" s="1005">
        <f>SUM(AS88:AS91)</f>
        <v>0</v>
      </c>
      <c r="AT92" s="961">
        <f t="shared" ref="AT92:AU92" si="419">SUM(AT88:AT91)</f>
        <v>0</v>
      </c>
      <c r="AU92" s="883">
        <f t="shared" si="419"/>
        <v>0</v>
      </c>
      <c r="AV92" s="883">
        <f t="shared" ref="AV92:AW92" si="420">SUM(AV88:AV91)</f>
        <v>0</v>
      </c>
      <c r="AW92" s="884">
        <f t="shared" si="420"/>
        <v>0</v>
      </c>
      <c r="AX92" s="962">
        <f>SUM(AX88:AX91)</f>
        <v>0</v>
      </c>
      <c r="AY92" s="922">
        <f t="shared" ref="AY92" si="421">SUM(AY88:AY91)</f>
        <v>0</v>
      </c>
      <c r="AZ92" s="602">
        <f>SUM(AZ88:AZ91)</f>
        <v>0</v>
      </c>
      <c r="BA92" s="481">
        <f>SUM(BA88:BA91)</f>
        <v>7790.2077111951685</v>
      </c>
      <c r="BB92" s="155">
        <f>AR92+AO92+AL92+AI92+AF92+AB92+AD92+Z92+W92+S92+P92+M92+J92+G92+D92</f>
        <v>0</v>
      </c>
      <c r="BC92" s="1277">
        <f>SUM(BC88:BC91)</f>
        <v>49484.24</v>
      </c>
      <c r="BD92" s="188">
        <v>3231</v>
      </c>
      <c r="BE92" s="133"/>
      <c r="BF92" s="610"/>
      <c r="BG92" s="610"/>
      <c r="BH92" s="610"/>
      <c r="BI92" s="1655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</row>
    <row r="93" spans="1:148" x14ac:dyDescent="0.25">
      <c r="A93" s="74">
        <v>323211</v>
      </c>
      <c r="B93" s="85" t="s">
        <v>58</v>
      </c>
      <c r="C93" s="631"/>
      <c r="D93" s="631"/>
      <c r="E93" s="626"/>
      <c r="F93" s="633"/>
      <c r="G93" s="633"/>
      <c r="H93" s="626"/>
      <c r="I93" s="632"/>
      <c r="J93" s="632"/>
      <c r="K93" s="1061"/>
      <c r="L93" s="1083"/>
      <c r="M93" s="385"/>
      <c r="N93" s="701"/>
      <c r="O93" s="704"/>
      <c r="P93" s="704"/>
      <c r="Q93" s="701"/>
      <c r="R93" s="704"/>
      <c r="S93" s="704"/>
      <c r="T93" s="701"/>
      <c r="U93" s="1106"/>
      <c r="V93" s="1027">
        <f>6745.5/7.5345</f>
        <v>895.28170416086004</v>
      </c>
      <c r="W93" s="738"/>
      <c r="X93" s="734"/>
      <c r="Y93" s="739"/>
      <c r="Z93" s="739"/>
      <c r="AA93" s="735"/>
      <c r="AB93" s="739"/>
      <c r="AC93" s="735"/>
      <c r="AD93" s="739"/>
      <c r="AE93" s="735"/>
      <c r="AF93" s="739"/>
      <c r="AG93" s="735"/>
      <c r="AH93" s="739"/>
      <c r="AI93" s="739"/>
      <c r="AJ93" s="735"/>
      <c r="AK93" s="739"/>
      <c r="AL93" s="739"/>
      <c r="AM93" s="1025"/>
      <c r="AN93" s="989">
        <f>2080.63/7.5345</f>
        <v>276.14705687172341</v>
      </c>
      <c r="AO93" s="794"/>
      <c r="AP93" s="788"/>
      <c r="AQ93" s="795"/>
      <c r="AR93" s="796"/>
      <c r="AS93" s="987"/>
      <c r="AT93" s="942"/>
      <c r="AU93" s="865"/>
      <c r="AV93" s="862"/>
      <c r="AW93" s="863"/>
      <c r="AX93" s="940"/>
      <c r="AY93" s="910"/>
      <c r="AZ93" s="589"/>
      <c r="BA93" s="137">
        <f t="shared" si="285"/>
        <v>1171.4287610325835</v>
      </c>
      <c r="BB93" s="143"/>
      <c r="BC93" s="1263">
        <f>AS93+AP93+AM93+AJ93+AG93+AE93+AC93+AA93+X93+U93+T93+Q93+N93+K93+H93+E93</f>
        <v>0</v>
      </c>
      <c r="BD93" s="185">
        <v>323211</v>
      </c>
      <c r="BE93" s="34"/>
    </row>
    <row r="94" spans="1:148" s="6" customFormat="1" x14ac:dyDescent="0.25">
      <c r="A94" s="45">
        <v>323221</v>
      </c>
      <c r="B94" s="30" t="s">
        <v>59</v>
      </c>
      <c r="C94" s="615"/>
      <c r="D94" s="615"/>
      <c r="E94" s="654"/>
      <c r="F94" s="617"/>
      <c r="G94" s="617"/>
      <c r="H94" s="654"/>
      <c r="I94" s="616"/>
      <c r="J94" s="616"/>
      <c r="K94" s="1066"/>
      <c r="L94" s="1076"/>
      <c r="M94" s="378"/>
      <c r="N94" s="708"/>
      <c r="O94" s="699"/>
      <c r="P94" s="699"/>
      <c r="Q94" s="708"/>
      <c r="R94" s="699"/>
      <c r="S94" s="699"/>
      <c r="T94" s="708"/>
      <c r="U94" s="1094"/>
      <c r="V94" s="1020"/>
      <c r="W94" s="728"/>
      <c r="X94" s="749">
        <f>7294.86-2513.88+440+99+233.75+567.5+41.48-1573.85+381.25+41.48+41.48</f>
        <v>5053.0699999999979</v>
      </c>
      <c r="Y94" s="729"/>
      <c r="Z94" s="729"/>
      <c r="AA94" s="750">
        <f>2513.88+3999</f>
        <v>6512.88</v>
      </c>
      <c r="AB94" s="729"/>
      <c r="AC94" s="750"/>
      <c r="AD94" s="729"/>
      <c r="AE94" s="750"/>
      <c r="AF94" s="729"/>
      <c r="AG94" s="750"/>
      <c r="AH94" s="729"/>
      <c r="AI94" s="729"/>
      <c r="AJ94" s="750">
        <v>349.4</v>
      </c>
      <c r="AK94" s="729"/>
      <c r="AL94" s="729"/>
      <c r="AM94" s="1036"/>
      <c r="AN94" s="982"/>
      <c r="AO94" s="777"/>
      <c r="AP94" s="814">
        <f>1573.85+236.81</f>
        <v>1810.6599999999999</v>
      </c>
      <c r="AQ94" s="778"/>
      <c r="AR94" s="779"/>
      <c r="AS94" s="999"/>
      <c r="AT94" s="935"/>
      <c r="AU94" s="858"/>
      <c r="AV94" s="875"/>
      <c r="AW94" s="876"/>
      <c r="AX94" s="954"/>
      <c r="AY94" s="905"/>
      <c r="AZ94" s="600"/>
      <c r="BA94" s="137">
        <f t="shared" si="285"/>
        <v>0</v>
      </c>
      <c r="BB94" s="139"/>
      <c r="BC94" s="1263">
        <f>AS94+AP94+AM94+AJ94+AG94+AE94+AC94+AA94+X94+U94+T94+Q94+N94+K94+H94+E94</f>
        <v>13726.009999999998</v>
      </c>
      <c r="BD94" s="186">
        <v>323221</v>
      </c>
      <c r="BE94" s="34"/>
      <c r="BF94" s="1650"/>
      <c r="BG94" s="610"/>
      <c r="BH94" s="610"/>
      <c r="BI94" s="1656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</row>
    <row r="95" spans="1:148" s="6" customFormat="1" ht="15.75" thickBot="1" x14ac:dyDescent="0.3">
      <c r="A95" s="46">
        <v>323291</v>
      </c>
      <c r="B95" s="29" t="s">
        <v>60</v>
      </c>
      <c r="C95" s="618"/>
      <c r="D95" s="618"/>
      <c r="E95" s="657"/>
      <c r="F95" s="620"/>
      <c r="G95" s="620"/>
      <c r="H95" s="657"/>
      <c r="I95" s="619"/>
      <c r="J95" s="619"/>
      <c r="K95" s="1067"/>
      <c r="L95" s="1077"/>
      <c r="M95" s="379"/>
      <c r="N95" s="709"/>
      <c r="O95" s="700"/>
      <c r="P95" s="700"/>
      <c r="Q95" s="709"/>
      <c r="R95" s="700"/>
      <c r="S95" s="700"/>
      <c r="T95" s="709"/>
      <c r="U95" s="1096"/>
      <c r="V95" s="1021">
        <f>30316.94/7.5345</f>
        <v>4023.7494193377129</v>
      </c>
      <c r="W95" s="730"/>
      <c r="X95" s="751">
        <v>7147.23</v>
      </c>
      <c r="Y95" s="731"/>
      <c r="Z95" s="731"/>
      <c r="AA95" s="752"/>
      <c r="AB95" s="731"/>
      <c r="AC95" s="752"/>
      <c r="AD95" s="731"/>
      <c r="AE95" s="752"/>
      <c r="AF95" s="731"/>
      <c r="AG95" s="752"/>
      <c r="AH95" s="731"/>
      <c r="AI95" s="731"/>
      <c r="AJ95" s="752"/>
      <c r="AK95" s="731"/>
      <c r="AL95" s="731"/>
      <c r="AM95" s="1038"/>
      <c r="AN95" s="983"/>
      <c r="AO95" s="780"/>
      <c r="AP95" s="818"/>
      <c r="AQ95" s="781"/>
      <c r="AR95" s="782"/>
      <c r="AS95" s="1001"/>
      <c r="AT95" s="936"/>
      <c r="AU95" s="859"/>
      <c r="AV95" s="877"/>
      <c r="AW95" s="878"/>
      <c r="AX95" s="956"/>
      <c r="AY95" s="906"/>
      <c r="AZ95" s="601"/>
      <c r="BA95" s="137">
        <f t="shared" si="285"/>
        <v>4023.7494193377129</v>
      </c>
      <c r="BB95" s="144"/>
      <c r="BC95" s="1263">
        <f>AS95+AP95+AM95+AJ95+AG95+AE95+AC95+AA95+X95+U95+T95+Q95+N95+K95+H95+E95</f>
        <v>7147.23</v>
      </c>
      <c r="BD95" s="187">
        <v>323291</v>
      </c>
      <c r="BE95" s="34"/>
      <c r="BF95" s="610"/>
      <c r="BG95" s="610"/>
      <c r="BH95" s="610"/>
      <c r="BI95" s="1656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</row>
    <row r="96" spans="1:148" s="2" customFormat="1" ht="15.75" thickBot="1" x14ac:dyDescent="0.3">
      <c r="A96" s="76">
        <v>3232</v>
      </c>
      <c r="B96" s="81" t="s">
        <v>61</v>
      </c>
      <c r="C96" s="621">
        <f t="shared" ref="C96" si="422">SUM(C93:C95)</f>
        <v>0</v>
      </c>
      <c r="D96" s="621">
        <f t="shared" ref="D96:Z96" si="423">SUM(D93:D95)</f>
        <v>0</v>
      </c>
      <c r="E96" s="622">
        <f t="shared" ref="E96:L96" si="424">SUM(E93:E95)</f>
        <v>0</v>
      </c>
      <c r="F96" s="623">
        <f t="shared" ref="F96" si="425">SUM(F93:F95)</f>
        <v>0</v>
      </c>
      <c r="G96" s="623">
        <f t="shared" si="424"/>
        <v>0</v>
      </c>
      <c r="H96" s="622">
        <f t="shared" si="424"/>
        <v>0</v>
      </c>
      <c r="I96" s="622">
        <f t="shared" ref="I96" si="426">SUM(I93:I95)</f>
        <v>0</v>
      </c>
      <c r="J96" s="622">
        <f t="shared" si="424"/>
        <v>0</v>
      </c>
      <c r="K96" s="1060">
        <f t="shared" si="424"/>
        <v>0</v>
      </c>
      <c r="L96" s="1078">
        <f t="shared" si="424"/>
        <v>0</v>
      </c>
      <c r="M96" s="381">
        <f t="shared" ref="M96:Q96" si="427">SUM(M93:M95)</f>
        <v>0</v>
      </c>
      <c r="N96" s="382">
        <f t="shared" si="427"/>
        <v>0</v>
      </c>
      <c r="O96" s="382">
        <f t="shared" ref="O96" si="428">SUM(O93:O95)</f>
        <v>0</v>
      </c>
      <c r="P96" s="382">
        <f t="shared" si="427"/>
        <v>0</v>
      </c>
      <c r="Q96" s="382">
        <f t="shared" si="427"/>
        <v>0</v>
      </c>
      <c r="R96" s="382">
        <f t="shared" ref="R96" si="429">SUM(R93:R95)</f>
        <v>0</v>
      </c>
      <c r="S96" s="382">
        <f t="shared" si="423"/>
        <v>0</v>
      </c>
      <c r="T96" s="382">
        <f t="shared" ref="T96" si="430">SUM(T93:T95)</f>
        <v>0</v>
      </c>
      <c r="U96" s="1079">
        <f t="shared" si="423"/>
        <v>0</v>
      </c>
      <c r="V96" s="1022">
        <f>SUM(V93:V95)</f>
        <v>4919.0311234985729</v>
      </c>
      <c r="W96" s="732">
        <f t="shared" si="423"/>
        <v>0</v>
      </c>
      <c r="X96" s="733">
        <f>SUM(X93:X95)</f>
        <v>12200.299999999997</v>
      </c>
      <c r="Y96" s="733">
        <f t="shared" ref="Y96" si="431">SUM(Y93:Y95)</f>
        <v>0</v>
      </c>
      <c r="Z96" s="733">
        <f t="shared" si="423"/>
        <v>0</v>
      </c>
      <c r="AA96" s="733">
        <f t="shared" ref="AA96:AB96" si="432">SUM(AA93:AA95)</f>
        <v>6512.88</v>
      </c>
      <c r="AB96" s="733">
        <f t="shared" si="432"/>
        <v>0</v>
      </c>
      <c r="AC96" s="733">
        <f t="shared" ref="AC96" si="433">SUM(AC93:AC95)</f>
        <v>0</v>
      </c>
      <c r="AD96" s="733">
        <f t="shared" ref="AD96:AL96" si="434">SUM(AD93:AD95)</f>
        <v>0</v>
      </c>
      <c r="AE96" s="733">
        <f t="shared" ref="AE96:AF96" si="435">SUM(AE93:AE95)</f>
        <v>0</v>
      </c>
      <c r="AF96" s="733">
        <f t="shared" si="435"/>
        <v>0</v>
      </c>
      <c r="AG96" s="733">
        <f t="shared" ref="AG96:AK96" si="436">SUM(AG93:AG95)</f>
        <v>0</v>
      </c>
      <c r="AH96" s="733">
        <f t="shared" ref="AH96" si="437">SUM(AH93:AH95)</f>
        <v>0</v>
      </c>
      <c r="AI96" s="733">
        <f t="shared" si="436"/>
        <v>0</v>
      </c>
      <c r="AJ96" s="733">
        <f t="shared" si="436"/>
        <v>349.4</v>
      </c>
      <c r="AK96" s="733">
        <f t="shared" si="436"/>
        <v>0</v>
      </c>
      <c r="AL96" s="733">
        <f t="shared" si="434"/>
        <v>0</v>
      </c>
      <c r="AM96" s="1023">
        <f t="shared" ref="AM96:AO96" si="438">SUM(AM93:AM95)</f>
        <v>0</v>
      </c>
      <c r="AN96" s="984">
        <f>SUM(AN93:AN95)</f>
        <v>276.14705687172341</v>
      </c>
      <c r="AO96" s="783">
        <f t="shared" si="438"/>
        <v>0</v>
      </c>
      <c r="AP96" s="784">
        <f>SUM(AP93:AP95)</f>
        <v>1810.6599999999999</v>
      </c>
      <c r="AQ96" s="785">
        <f t="shared" ref="AQ96:AR96" si="439">SUM(AQ93:AQ95)</f>
        <v>0</v>
      </c>
      <c r="AR96" s="786">
        <f t="shared" si="439"/>
        <v>0</v>
      </c>
      <c r="AS96" s="985">
        <f t="shared" ref="AS96:AX96" si="440">SUM(AS93:AS95)</f>
        <v>0</v>
      </c>
      <c r="AT96" s="937">
        <f t="shared" ref="AT96:AU96" si="441">SUM(AT93:AT95)</f>
        <v>0</v>
      </c>
      <c r="AU96" s="860">
        <f t="shared" si="441"/>
        <v>0</v>
      </c>
      <c r="AV96" s="860">
        <f t="shared" si="440"/>
        <v>0</v>
      </c>
      <c r="AW96" s="861">
        <f t="shared" si="440"/>
        <v>0</v>
      </c>
      <c r="AX96" s="938">
        <f t="shared" si="440"/>
        <v>0</v>
      </c>
      <c r="AY96" s="907">
        <f t="shared" ref="AY96:AZ96" si="442">SUM(AY93:AY95)</f>
        <v>0</v>
      </c>
      <c r="AZ96" s="586">
        <f t="shared" si="442"/>
        <v>0</v>
      </c>
      <c r="BA96" s="481">
        <f>SUM(BA93:BA95)</f>
        <v>5195.1781803702961</v>
      </c>
      <c r="BB96" s="155">
        <f>AR96+AO96+AL96+AI96+AF96+AB96+AD96+Z96+W96+S96+P96+M96+J96+G96+D96</f>
        <v>0</v>
      </c>
      <c r="BC96" s="1265">
        <f>SUM(BC93:BC95)</f>
        <v>20873.239999999998</v>
      </c>
      <c r="BD96" s="188">
        <v>3232</v>
      </c>
      <c r="BE96" s="131"/>
      <c r="BF96" s="1651"/>
      <c r="BG96" s="610"/>
      <c r="BH96" s="610"/>
      <c r="BI96" s="1655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</row>
    <row r="97" spans="1:148" s="6" customFormat="1" x14ac:dyDescent="0.25">
      <c r="A97" s="74">
        <v>323311</v>
      </c>
      <c r="B97" s="85" t="s">
        <v>149</v>
      </c>
      <c r="C97" s="631"/>
      <c r="D97" s="631"/>
      <c r="E97" s="626"/>
      <c r="F97" s="633">
        <f>97.44/7.5345</f>
        <v>12.932510451921162</v>
      </c>
      <c r="G97" s="633"/>
      <c r="H97" s="626">
        <f>17.24+20.69</f>
        <v>37.93</v>
      </c>
      <c r="I97" s="632">
        <f>1125/7.5345</f>
        <v>149.31315946645429</v>
      </c>
      <c r="J97" s="632"/>
      <c r="K97" s="1061">
        <f>37.33+37.33</f>
        <v>74.66</v>
      </c>
      <c r="L97" s="1083">
        <f>1680.12/7.5345</f>
        <v>222.9902448735815</v>
      </c>
      <c r="M97" s="385"/>
      <c r="N97" s="701">
        <f>297.31+356.79</f>
        <v>654.1</v>
      </c>
      <c r="O97" s="704">
        <f>6375/7.5345</f>
        <v>846.107903643241</v>
      </c>
      <c r="P97" s="704"/>
      <c r="Q97" s="701">
        <f>211.52+211.52</f>
        <v>423.04</v>
      </c>
      <c r="R97" s="704"/>
      <c r="S97" s="704"/>
      <c r="T97" s="701"/>
      <c r="U97" s="1106"/>
      <c r="V97" s="1027"/>
      <c r="W97" s="738"/>
      <c r="X97" s="735"/>
      <c r="Y97" s="739">
        <f>97.44/7.5345</f>
        <v>12.932510451921162</v>
      </c>
      <c r="Z97" s="739"/>
      <c r="AA97" s="735">
        <f>12.93+235.92+17.25+20.7</f>
        <v>286.8</v>
      </c>
      <c r="AB97" s="739"/>
      <c r="AC97" s="735"/>
      <c r="AD97" s="739"/>
      <c r="AE97" s="735"/>
      <c r="AF97" s="739"/>
      <c r="AG97" s="735"/>
      <c r="AH97" s="739"/>
      <c r="AI97" s="739"/>
      <c r="AJ97" s="735"/>
      <c r="AK97" s="739"/>
      <c r="AL97" s="739"/>
      <c r="AM97" s="1025"/>
      <c r="AN97" s="989"/>
      <c r="AO97" s="794"/>
      <c r="AP97" s="788"/>
      <c r="AQ97" s="795"/>
      <c r="AR97" s="796"/>
      <c r="AS97" s="987"/>
      <c r="AT97" s="942"/>
      <c r="AU97" s="865"/>
      <c r="AV97" s="862"/>
      <c r="AW97" s="863"/>
      <c r="AX97" s="940"/>
      <c r="AY97" s="910"/>
      <c r="AZ97" s="589"/>
      <c r="BA97" s="137">
        <f t="shared" si="285"/>
        <v>1244.2763288871192</v>
      </c>
      <c r="BB97" s="143"/>
      <c r="BC97" s="1263">
        <f>AS97+AP97+AM97+AJ97+AG97+AE97+AC97+AA97+X97+U97+T97+Q97+N97+K97+H97+E97</f>
        <v>1476.5300000000002</v>
      </c>
      <c r="BD97" s="185">
        <v>323311</v>
      </c>
      <c r="BE97" s="34"/>
      <c r="BF97" s="1651"/>
      <c r="BG97" s="610"/>
      <c r="BH97" s="610"/>
      <c r="BI97" s="1656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</row>
    <row r="98" spans="1:148" x14ac:dyDescent="0.25">
      <c r="A98" s="45">
        <v>323321</v>
      </c>
      <c r="B98" s="30" t="s">
        <v>62</v>
      </c>
      <c r="C98" s="615"/>
      <c r="D98" s="615"/>
      <c r="E98" s="654"/>
      <c r="F98" s="617"/>
      <c r="G98" s="617"/>
      <c r="H98" s="654">
        <f>16.63+16.66+10.34</f>
        <v>43.629999999999995</v>
      </c>
      <c r="I98" s="616"/>
      <c r="J98" s="616"/>
      <c r="K98" s="1066"/>
      <c r="L98" s="1076"/>
      <c r="M98" s="378"/>
      <c r="N98" s="708">
        <f>286.74+287.3+178.4</f>
        <v>752.43999999999994</v>
      </c>
      <c r="O98" s="699"/>
      <c r="P98" s="699"/>
      <c r="Q98" s="708"/>
      <c r="R98" s="699"/>
      <c r="S98" s="699"/>
      <c r="T98" s="708"/>
      <c r="U98" s="1094"/>
      <c r="V98" s="1020">
        <f>11169/7.5345</f>
        <v>1482.3810471829584</v>
      </c>
      <c r="W98" s="729"/>
      <c r="X98" s="750"/>
      <c r="Y98" s="729"/>
      <c r="Z98" s="729"/>
      <c r="AA98" s="750">
        <f>16.63+16.67+10.35</f>
        <v>43.65</v>
      </c>
      <c r="AB98" s="729"/>
      <c r="AC98" s="750"/>
      <c r="AD98" s="729"/>
      <c r="AE98" s="750"/>
      <c r="AF98" s="729"/>
      <c r="AG98" s="750"/>
      <c r="AH98" s="729"/>
      <c r="AI98" s="729"/>
      <c r="AJ98" s="750"/>
      <c r="AK98" s="729"/>
      <c r="AL98" s="729"/>
      <c r="AM98" s="1036"/>
      <c r="AN98" s="982"/>
      <c r="AO98" s="777"/>
      <c r="AP98" s="814"/>
      <c r="AQ98" s="778"/>
      <c r="AR98" s="779"/>
      <c r="AS98" s="999"/>
      <c r="AT98" s="935"/>
      <c r="AU98" s="858"/>
      <c r="AV98" s="875"/>
      <c r="AW98" s="876"/>
      <c r="AX98" s="954"/>
      <c r="AY98" s="905"/>
      <c r="AZ98" s="600"/>
      <c r="BA98" s="137">
        <f t="shared" si="285"/>
        <v>1482.3810471829584</v>
      </c>
      <c r="BB98" s="139"/>
      <c r="BC98" s="1263">
        <f>AS98+AP98+AM98+AJ98+AG98+AE98+AC98+AA98+X98+U98+T98+Q98+N98+K98+H98+E98</f>
        <v>839.71999999999991</v>
      </c>
      <c r="BD98" s="186">
        <v>323321</v>
      </c>
      <c r="BE98" s="34"/>
      <c r="BF98" s="1650"/>
    </row>
    <row r="99" spans="1:148" x14ac:dyDescent="0.25">
      <c r="A99" s="45">
        <v>323341</v>
      </c>
      <c r="B99" s="30" t="s">
        <v>169</v>
      </c>
      <c r="C99" s="615"/>
      <c r="D99" s="615"/>
      <c r="E99" s="654"/>
      <c r="F99" s="617">
        <f>133.17/7.5345</f>
        <v>17.674696396575747</v>
      </c>
      <c r="G99" s="617"/>
      <c r="H99" s="654">
        <v>34.43</v>
      </c>
      <c r="I99" s="616"/>
      <c r="J99" s="616"/>
      <c r="K99" s="1066">
        <v>12</v>
      </c>
      <c r="L99" s="1076">
        <f>2296.16/7.5345</f>
        <v>304.75280376932773</v>
      </c>
      <c r="M99" s="378"/>
      <c r="N99" s="708">
        <v>593.64</v>
      </c>
      <c r="O99" s="699"/>
      <c r="P99" s="699"/>
      <c r="Q99" s="708">
        <v>68</v>
      </c>
      <c r="R99" s="699"/>
      <c r="S99" s="699"/>
      <c r="T99" s="708"/>
      <c r="U99" s="1094"/>
      <c r="V99" s="1020"/>
      <c r="W99" s="728"/>
      <c r="X99" s="750"/>
      <c r="Y99" s="729">
        <f>133.17/7.5345</f>
        <v>17.674696396575747</v>
      </c>
      <c r="Z99" s="729"/>
      <c r="AA99" s="750">
        <v>34.43</v>
      </c>
      <c r="AB99" s="729"/>
      <c r="AC99" s="750"/>
      <c r="AD99" s="729"/>
      <c r="AE99" s="750"/>
      <c r="AF99" s="729"/>
      <c r="AG99" s="750"/>
      <c r="AH99" s="729"/>
      <c r="AI99" s="729"/>
      <c r="AJ99" s="750"/>
      <c r="AK99" s="729"/>
      <c r="AL99" s="729"/>
      <c r="AM99" s="1036"/>
      <c r="AN99" s="982"/>
      <c r="AO99" s="777"/>
      <c r="AP99" s="814"/>
      <c r="AQ99" s="778"/>
      <c r="AR99" s="779"/>
      <c r="AS99" s="999"/>
      <c r="AT99" s="935"/>
      <c r="AU99" s="858"/>
      <c r="AV99" s="875"/>
      <c r="AW99" s="876"/>
      <c r="AX99" s="954"/>
      <c r="AY99" s="905"/>
      <c r="AZ99" s="600"/>
      <c r="BA99" s="137">
        <f t="shared" si="285"/>
        <v>340.10219656247926</v>
      </c>
      <c r="BB99" s="139"/>
      <c r="BC99" s="1263">
        <f>AS99+AP99+AM99+AJ99+AG99+AE99+AC99+AA99+X99+U99+T99+Q99+N99+K99+H99+E99</f>
        <v>742.49999999999989</v>
      </c>
      <c r="BD99" s="186">
        <v>323341</v>
      </c>
      <c r="BE99" s="34"/>
      <c r="BF99" s="1651"/>
    </row>
    <row r="100" spans="1:148" ht="15.75" thickBot="1" x14ac:dyDescent="0.3">
      <c r="A100" s="46">
        <v>323391</v>
      </c>
      <c r="B100" s="29" t="s">
        <v>63</v>
      </c>
      <c r="C100" s="618"/>
      <c r="D100" s="618"/>
      <c r="E100" s="657"/>
      <c r="F100" s="620"/>
      <c r="G100" s="620"/>
      <c r="H100" s="657"/>
      <c r="I100" s="619"/>
      <c r="J100" s="619"/>
      <c r="K100" s="1067"/>
      <c r="L100" s="1077"/>
      <c r="M100" s="379"/>
      <c r="N100" s="709"/>
      <c r="O100" s="700"/>
      <c r="P100" s="700"/>
      <c r="Q100" s="709"/>
      <c r="R100" s="700"/>
      <c r="S100" s="700"/>
      <c r="T100" s="709"/>
      <c r="U100" s="1096"/>
      <c r="V100" s="1021">
        <f>960/7.5345</f>
        <v>127.41389607804101</v>
      </c>
      <c r="W100" s="730"/>
      <c r="X100" s="752">
        <v>127.44</v>
      </c>
      <c r="Y100" s="731"/>
      <c r="Z100" s="731"/>
      <c r="AA100" s="752"/>
      <c r="AB100" s="731"/>
      <c r="AC100" s="752"/>
      <c r="AD100" s="731"/>
      <c r="AE100" s="752"/>
      <c r="AF100" s="731"/>
      <c r="AG100" s="752"/>
      <c r="AH100" s="731"/>
      <c r="AI100" s="731"/>
      <c r="AJ100" s="752"/>
      <c r="AK100" s="731"/>
      <c r="AL100" s="731"/>
      <c r="AM100" s="1038"/>
      <c r="AN100" s="983"/>
      <c r="AO100" s="780"/>
      <c r="AP100" s="818"/>
      <c r="AQ100" s="781"/>
      <c r="AR100" s="782"/>
      <c r="AS100" s="1001"/>
      <c r="AT100" s="936"/>
      <c r="AU100" s="859"/>
      <c r="AV100" s="877"/>
      <c r="AW100" s="878"/>
      <c r="AX100" s="956"/>
      <c r="AY100" s="906"/>
      <c r="AZ100" s="601"/>
      <c r="BA100" s="137">
        <f t="shared" si="285"/>
        <v>127.41389607804101</v>
      </c>
      <c r="BB100" s="144"/>
      <c r="BC100" s="1263">
        <f>AS100+AP100+AM100+AJ100+AG100+AE100+AC100+AA100+X100+U100+T100+Q100+N100+K100+H100+E100</f>
        <v>127.44</v>
      </c>
      <c r="BD100" s="187">
        <v>323391</v>
      </c>
      <c r="BE100" s="34"/>
    </row>
    <row r="101" spans="1:148" s="2" customFormat="1" ht="15.75" thickBot="1" x14ac:dyDescent="0.3">
      <c r="A101" s="76">
        <v>3233</v>
      </c>
      <c r="B101" s="81" t="s">
        <v>64</v>
      </c>
      <c r="C101" s="621">
        <f t="shared" ref="C101" si="443">C97+C98+C100+C99</f>
        <v>0</v>
      </c>
      <c r="D101" s="621">
        <f t="shared" ref="D101:J101" si="444">D97+D98+D100+D99</f>
        <v>0</v>
      </c>
      <c r="E101" s="622">
        <f t="shared" si="444"/>
        <v>0</v>
      </c>
      <c r="F101" s="623">
        <f>F97+F98+F100+F99</f>
        <v>30.607206848496908</v>
      </c>
      <c r="G101" s="623">
        <f t="shared" si="444"/>
        <v>0</v>
      </c>
      <c r="H101" s="622">
        <f>H97+H98+H100+H99</f>
        <v>115.99000000000001</v>
      </c>
      <c r="I101" s="622">
        <f>I97+I98+I100+I99</f>
        <v>149.31315946645429</v>
      </c>
      <c r="J101" s="622">
        <f t="shared" si="444"/>
        <v>0</v>
      </c>
      <c r="K101" s="1060">
        <f>K97+K98+K100+K99</f>
        <v>86.66</v>
      </c>
      <c r="L101" s="1078">
        <f>L97+L98+L100+L99</f>
        <v>527.74304864290923</v>
      </c>
      <c r="M101" s="381">
        <f t="shared" ref="M101:P101" si="445">M97+M98+M100+M99</f>
        <v>0</v>
      </c>
      <c r="N101" s="382">
        <f>N97+N98+N100+N99</f>
        <v>2000.1799999999998</v>
      </c>
      <c r="O101" s="382">
        <f>O97+O98+O100+O99</f>
        <v>846.107903643241</v>
      </c>
      <c r="P101" s="382">
        <f t="shared" si="445"/>
        <v>0</v>
      </c>
      <c r="Q101" s="382">
        <f>Q97+Q98+Q100+Q99</f>
        <v>491.04</v>
      </c>
      <c r="R101" s="382">
        <f>R97+R98+R100+R99</f>
        <v>0</v>
      </c>
      <c r="S101" s="382">
        <f t="shared" ref="S101:U101" si="446">S97+S98+S100+S99</f>
        <v>0</v>
      </c>
      <c r="T101" s="382">
        <f t="shared" ref="T101" si="447">T97+T98+T100+T99</f>
        <v>0</v>
      </c>
      <c r="U101" s="1079">
        <f t="shared" si="446"/>
        <v>0</v>
      </c>
      <c r="V101" s="1022">
        <f>V97+V98+V100+V99</f>
        <v>1609.7949432609994</v>
      </c>
      <c r="W101" s="732">
        <f t="shared" ref="W101:AC101" si="448">W97+W98+W100+W99</f>
        <v>0</v>
      </c>
      <c r="X101" s="733">
        <f>X97+X98+X100+X99</f>
        <v>127.44</v>
      </c>
      <c r="Y101" s="733">
        <f>Y97+Y98+Y100+Y99</f>
        <v>30.607206848496908</v>
      </c>
      <c r="Z101" s="733">
        <f t="shared" si="448"/>
        <v>0</v>
      </c>
      <c r="AA101" s="733">
        <f>AA97+AA98+AA100+AA99</f>
        <v>364.88</v>
      </c>
      <c r="AB101" s="733">
        <f t="shared" si="448"/>
        <v>0</v>
      </c>
      <c r="AC101" s="733">
        <f t="shared" si="448"/>
        <v>0</v>
      </c>
      <c r="AD101" s="733">
        <f t="shared" ref="AD101:AE101" si="449">AD97+AD98+AD100+AD99</f>
        <v>0</v>
      </c>
      <c r="AE101" s="733">
        <f t="shared" si="449"/>
        <v>0</v>
      </c>
      <c r="AF101" s="733">
        <f t="shared" ref="AF101:AH101" si="450">AF97+AF98+AF100+AF99</f>
        <v>0</v>
      </c>
      <c r="AG101" s="733">
        <f t="shared" si="450"/>
        <v>0</v>
      </c>
      <c r="AH101" s="733">
        <f t="shared" si="450"/>
        <v>0</v>
      </c>
      <c r="AI101" s="733">
        <f t="shared" ref="AI101:AP101" si="451">AI97+AI98+AI100+AI99</f>
        <v>0</v>
      </c>
      <c r="AJ101" s="733">
        <f t="shared" si="451"/>
        <v>0</v>
      </c>
      <c r="AK101" s="733">
        <f t="shared" ref="AK101" si="452">AK97+AK98+AK100+AK99</f>
        <v>0</v>
      </c>
      <c r="AL101" s="733">
        <f t="shared" si="451"/>
        <v>0</v>
      </c>
      <c r="AM101" s="1023">
        <f t="shared" si="451"/>
        <v>0</v>
      </c>
      <c r="AN101" s="984">
        <f t="shared" ref="AN101" si="453">AN97+AN98+AN100+AN99</f>
        <v>0</v>
      </c>
      <c r="AO101" s="783">
        <f t="shared" si="451"/>
        <v>0</v>
      </c>
      <c r="AP101" s="784">
        <f t="shared" si="451"/>
        <v>0</v>
      </c>
      <c r="AQ101" s="785">
        <f t="shared" ref="AQ101" si="454">AQ97+AQ98+AQ100</f>
        <v>0</v>
      </c>
      <c r="AR101" s="786">
        <f t="shared" ref="AR101:AS101" si="455">AR97+AR98+AR100</f>
        <v>0</v>
      </c>
      <c r="AS101" s="985">
        <f t="shared" si="455"/>
        <v>0</v>
      </c>
      <c r="AT101" s="937">
        <f t="shared" ref="AT101:AU101" si="456">AT97+AT98+AT100+AT99</f>
        <v>0</v>
      </c>
      <c r="AU101" s="860">
        <f t="shared" si="456"/>
        <v>0</v>
      </c>
      <c r="AV101" s="860">
        <f t="shared" ref="AV101:AW101" si="457">AV97+AV98+AV100+AV99</f>
        <v>0</v>
      </c>
      <c r="AW101" s="861">
        <f t="shared" si="457"/>
        <v>0</v>
      </c>
      <c r="AX101" s="938">
        <f t="shared" ref="AX101:AZ101" si="458">AX97+AX98+AX100</f>
        <v>0</v>
      </c>
      <c r="AY101" s="907">
        <f t="shared" ref="AY101" si="459">AY97+AY98+AY100+AY99</f>
        <v>0</v>
      </c>
      <c r="AZ101" s="586">
        <f t="shared" si="458"/>
        <v>0</v>
      </c>
      <c r="BA101" s="481">
        <f>SUM(BA97:BA100)</f>
        <v>3194.1734687105977</v>
      </c>
      <c r="BB101" s="155">
        <f>AR101+AO101+AL101+AI101+AF101+AB101+AD101+Z101+W101+S101+P101+M101+J101+G101+D101</f>
        <v>0</v>
      </c>
      <c r="BC101" s="1265">
        <f>SUM(BC97:BC100)</f>
        <v>3186.19</v>
      </c>
      <c r="BD101" s="188">
        <v>3233</v>
      </c>
      <c r="BE101" s="131"/>
      <c r="BF101" s="610"/>
      <c r="BG101" s="610"/>
      <c r="BH101" s="610"/>
      <c r="BI101" s="1655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</row>
    <row r="102" spans="1:148" x14ac:dyDescent="0.25">
      <c r="A102" s="74">
        <v>323411</v>
      </c>
      <c r="B102" s="85" t="s">
        <v>65</v>
      </c>
      <c r="C102" s="631"/>
      <c r="D102" s="631"/>
      <c r="E102" s="626"/>
      <c r="F102" s="633"/>
      <c r="G102" s="633"/>
      <c r="H102" s="626"/>
      <c r="I102" s="632"/>
      <c r="J102" s="632"/>
      <c r="K102" s="1061">
        <v>18.559999999999999</v>
      </c>
      <c r="L102" s="1083"/>
      <c r="M102" s="385"/>
      <c r="N102" s="701"/>
      <c r="O102" s="704"/>
      <c r="P102" s="704"/>
      <c r="Q102" s="701">
        <v>105.2</v>
      </c>
      <c r="R102" s="704"/>
      <c r="S102" s="704"/>
      <c r="T102" s="701"/>
      <c r="U102" s="1106"/>
      <c r="V102" s="1027">
        <f>17312.19/7.5345</f>
        <v>2297.7224766076047</v>
      </c>
      <c r="W102" s="738"/>
      <c r="X102" s="735">
        <f>2070.99-105.2-18.56</f>
        <v>1947.2299999999998</v>
      </c>
      <c r="Y102" s="739"/>
      <c r="Z102" s="739"/>
      <c r="AA102" s="735"/>
      <c r="AB102" s="739"/>
      <c r="AC102" s="735"/>
      <c r="AD102" s="739"/>
      <c r="AE102" s="735"/>
      <c r="AF102" s="739"/>
      <c r="AG102" s="735"/>
      <c r="AH102" s="739"/>
      <c r="AI102" s="739"/>
      <c r="AJ102" s="735"/>
      <c r="AK102" s="739"/>
      <c r="AL102" s="739"/>
      <c r="AM102" s="1025"/>
      <c r="AN102" s="989"/>
      <c r="AO102" s="794"/>
      <c r="AP102" s="788"/>
      <c r="AQ102" s="795"/>
      <c r="AR102" s="796"/>
      <c r="AS102" s="987"/>
      <c r="AT102" s="942"/>
      <c r="AU102" s="865"/>
      <c r="AV102" s="862"/>
      <c r="AW102" s="863"/>
      <c r="AX102" s="940"/>
      <c r="AY102" s="910"/>
      <c r="AZ102" s="589"/>
      <c r="BA102" s="137">
        <f t="shared" si="285"/>
        <v>2297.7224766076047</v>
      </c>
      <c r="BB102" s="143"/>
      <c r="BC102" s="1263">
        <f>AS102+AP102+AM102+AJ102+AG102+AE102+AC102+AA102+X102+U102+T102+Q102+N102+K102+H102+E102</f>
        <v>2070.9899999999998</v>
      </c>
      <c r="BD102" s="185">
        <v>323411</v>
      </c>
      <c r="BE102" s="34"/>
    </row>
    <row r="103" spans="1:148" s="6" customFormat="1" x14ac:dyDescent="0.25">
      <c r="A103" s="45">
        <v>323421</v>
      </c>
      <c r="B103" s="30" t="s">
        <v>66</v>
      </c>
      <c r="C103" s="615"/>
      <c r="D103" s="615"/>
      <c r="E103" s="654"/>
      <c r="F103" s="617"/>
      <c r="G103" s="617"/>
      <c r="H103" s="654"/>
      <c r="I103" s="616"/>
      <c r="J103" s="616"/>
      <c r="K103" s="1066">
        <v>34.630000000000003</v>
      </c>
      <c r="L103" s="1076"/>
      <c r="M103" s="378"/>
      <c r="N103" s="708"/>
      <c r="O103" s="699"/>
      <c r="P103" s="699"/>
      <c r="Q103" s="708">
        <v>196.22</v>
      </c>
      <c r="R103" s="699"/>
      <c r="S103" s="699"/>
      <c r="T103" s="708"/>
      <c r="U103" s="1094"/>
      <c r="V103" s="1020">
        <f>12505.68/7.5345</f>
        <v>1659.7889707346208</v>
      </c>
      <c r="W103" s="728"/>
      <c r="X103" s="750">
        <f>1227.85+38.83+256.86+149.33+256.86+230.77-149.33-351.79</f>
        <v>1659.38</v>
      </c>
      <c r="Y103" s="729"/>
      <c r="Z103" s="729"/>
      <c r="AA103" s="750"/>
      <c r="AB103" s="729"/>
      <c r="AC103" s="750"/>
      <c r="AD103" s="729"/>
      <c r="AE103" s="750"/>
      <c r="AF103" s="729"/>
      <c r="AG103" s="750"/>
      <c r="AH103" s="729"/>
      <c r="AI103" s="729"/>
      <c r="AJ103" s="750"/>
      <c r="AK103" s="729"/>
      <c r="AL103" s="729"/>
      <c r="AM103" s="1036"/>
      <c r="AN103" s="982"/>
      <c r="AO103" s="777"/>
      <c r="AP103" s="814">
        <f>351.79+149.33</f>
        <v>501.12</v>
      </c>
      <c r="AQ103" s="778"/>
      <c r="AR103" s="779"/>
      <c r="AS103" s="999"/>
      <c r="AT103" s="935"/>
      <c r="AU103" s="858"/>
      <c r="AV103" s="875"/>
      <c r="AW103" s="876"/>
      <c r="AX103" s="954"/>
      <c r="AY103" s="905"/>
      <c r="AZ103" s="600"/>
      <c r="BA103" s="137">
        <f t="shared" si="285"/>
        <v>1659.7889707346208</v>
      </c>
      <c r="BB103" s="139"/>
      <c r="BC103" s="1263">
        <f>AS103+AP103+AM103+AJ103+AG103+AE103+AC103+AA103+X103+U103+T103+Q103+N103+K103+H103+E103</f>
        <v>2391.35</v>
      </c>
      <c r="BD103" s="186">
        <v>323421</v>
      </c>
      <c r="BE103" s="34"/>
      <c r="BF103" s="1650"/>
      <c r="BG103" s="610"/>
      <c r="BH103" s="610"/>
      <c r="BI103" s="1656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</row>
    <row r="104" spans="1:148" x14ac:dyDescent="0.25">
      <c r="A104" s="45">
        <v>323441</v>
      </c>
      <c r="B104" s="30" t="s">
        <v>67</v>
      </c>
      <c r="C104" s="615"/>
      <c r="D104" s="615"/>
      <c r="E104" s="654"/>
      <c r="F104" s="617"/>
      <c r="G104" s="617"/>
      <c r="H104" s="654"/>
      <c r="I104" s="616"/>
      <c r="J104" s="616"/>
      <c r="K104" s="1066"/>
      <c r="L104" s="1076"/>
      <c r="M104" s="378"/>
      <c r="N104" s="708"/>
      <c r="O104" s="699"/>
      <c r="P104" s="699"/>
      <c r="Q104" s="708"/>
      <c r="R104" s="699"/>
      <c r="S104" s="699"/>
      <c r="T104" s="708"/>
      <c r="U104" s="1094"/>
      <c r="V104" s="1020"/>
      <c r="W104" s="728"/>
      <c r="X104" s="750"/>
      <c r="Y104" s="729"/>
      <c r="Z104" s="729"/>
      <c r="AA104" s="750"/>
      <c r="AB104" s="729"/>
      <c r="AC104" s="750"/>
      <c r="AD104" s="729"/>
      <c r="AE104" s="750"/>
      <c r="AF104" s="729"/>
      <c r="AG104" s="750"/>
      <c r="AH104" s="729"/>
      <c r="AI104" s="729"/>
      <c r="AJ104" s="750"/>
      <c r="AK104" s="729"/>
      <c r="AL104" s="729"/>
      <c r="AM104" s="1036"/>
      <c r="AN104" s="982"/>
      <c r="AO104" s="777"/>
      <c r="AP104" s="814"/>
      <c r="AQ104" s="778"/>
      <c r="AR104" s="779"/>
      <c r="AS104" s="999"/>
      <c r="AT104" s="935"/>
      <c r="AU104" s="858"/>
      <c r="AV104" s="875"/>
      <c r="AW104" s="876"/>
      <c r="AX104" s="954"/>
      <c r="AY104" s="905"/>
      <c r="AZ104" s="600"/>
      <c r="BA104" s="137">
        <f t="shared" si="285"/>
        <v>0</v>
      </c>
      <c r="BB104" s="139"/>
      <c r="BC104" s="1263">
        <f>AS104+AP104+AM104+AJ104+AG104+AE104+AC104+AA104+X104+U104+T104+Q104+N104+K104+H104+E104</f>
        <v>0</v>
      </c>
      <c r="BD104" s="186">
        <v>323441</v>
      </c>
      <c r="BE104" s="34"/>
    </row>
    <row r="105" spans="1:148" ht="15.75" thickBot="1" x14ac:dyDescent="0.3">
      <c r="A105" s="46">
        <v>323491</v>
      </c>
      <c r="B105" s="29" t="s">
        <v>68</v>
      </c>
      <c r="C105" s="618"/>
      <c r="D105" s="618"/>
      <c r="E105" s="657"/>
      <c r="F105" s="620"/>
      <c r="G105" s="620"/>
      <c r="H105" s="657"/>
      <c r="I105" s="619"/>
      <c r="J105" s="619"/>
      <c r="K105" s="1067"/>
      <c r="L105" s="1077"/>
      <c r="M105" s="379"/>
      <c r="N105" s="709"/>
      <c r="O105" s="700"/>
      <c r="P105" s="700"/>
      <c r="Q105" s="709"/>
      <c r="R105" s="700"/>
      <c r="S105" s="700"/>
      <c r="T105" s="709"/>
      <c r="U105" s="1096"/>
      <c r="V105" s="1021">
        <f>20137.08/7.5345</f>
        <v>2672.649810869998</v>
      </c>
      <c r="W105" s="730"/>
      <c r="X105" s="752">
        <v>4175.88</v>
      </c>
      <c r="Y105" s="731"/>
      <c r="Z105" s="731"/>
      <c r="AA105" s="752"/>
      <c r="AB105" s="731"/>
      <c r="AC105" s="752"/>
      <c r="AD105" s="731"/>
      <c r="AE105" s="752"/>
      <c r="AF105" s="731"/>
      <c r="AG105" s="752"/>
      <c r="AH105" s="731"/>
      <c r="AI105" s="731"/>
      <c r="AJ105" s="752"/>
      <c r="AK105" s="731"/>
      <c r="AL105" s="731"/>
      <c r="AM105" s="1038"/>
      <c r="AN105" s="983"/>
      <c r="AO105" s="780"/>
      <c r="AP105" s="818"/>
      <c r="AQ105" s="781"/>
      <c r="AR105" s="782"/>
      <c r="AS105" s="1001"/>
      <c r="AT105" s="936"/>
      <c r="AU105" s="859"/>
      <c r="AV105" s="877"/>
      <c r="AW105" s="878"/>
      <c r="AX105" s="956"/>
      <c r="AY105" s="906"/>
      <c r="AZ105" s="601"/>
      <c r="BA105" s="137">
        <f t="shared" si="285"/>
        <v>2672.649810869998</v>
      </c>
      <c r="BB105" s="144"/>
      <c r="BC105" s="1263">
        <f>AS105+AP105+AM105+AJ105+AG105+AE105+AC105+AA105+X105+U105+T105+Q105+N105+K105+H105+E105</f>
        <v>4175.88</v>
      </c>
      <c r="BD105" s="187">
        <v>323491</v>
      </c>
      <c r="BE105" s="34"/>
      <c r="BF105" s="1651"/>
    </row>
    <row r="106" spans="1:148" s="2" customFormat="1" ht="15.75" thickBot="1" x14ac:dyDescent="0.3">
      <c r="A106" s="76">
        <v>3234</v>
      </c>
      <c r="B106" s="81" t="s">
        <v>69</v>
      </c>
      <c r="C106" s="621">
        <f>SUM(C102:C105)</f>
        <v>0</v>
      </c>
      <c r="D106" s="621">
        <f>SUM(D102:D105)</f>
        <v>0</v>
      </c>
      <c r="E106" s="622">
        <f>SUM(E102:E105)</f>
        <v>0</v>
      </c>
      <c r="F106" s="623">
        <f t="shared" ref="F106" si="460">SUM(F102:F105)</f>
        <v>0</v>
      </c>
      <c r="G106" s="623">
        <f t="shared" ref="G106:K106" si="461">SUM(G102:G105)</f>
        <v>0</v>
      </c>
      <c r="H106" s="622">
        <f t="shared" si="461"/>
        <v>0</v>
      </c>
      <c r="I106" s="622">
        <f t="shared" ref="I106" si="462">SUM(I102:I105)</f>
        <v>0</v>
      </c>
      <c r="J106" s="622">
        <f t="shared" si="461"/>
        <v>0</v>
      </c>
      <c r="K106" s="1060">
        <f t="shared" si="461"/>
        <v>53.19</v>
      </c>
      <c r="L106" s="1078">
        <f>SUM(L102:L105)</f>
        <v>0</v>
      </c>
      <c r="M106" s="381">
        <f>SUM(M102:M105)</f>
        <v>0</v>
      </c>
      <c r="N106" s="382">
        <f>SUM(N102:N105)</f>
        <v>0</v>
      </c>
      <c r="O106" s="382">
        <f t="shared" ref="O106" si="463">SUM(O102:O105)</f>
        <v>0</v>
      </c>
      <c r="P106" s="382">
        <f t="shared" ref="P106:R106" si="464">SUM(P102:P105)</f>
        <v>0</v>
      </c>
      <c r="Q106" s="382">
        <f t="shared" si="464"/>
        <v>301.42</v>
      </c>
      <c r="R106" s="382">
        <f t="shared" si="464"/>
        <v>0</v>
      </c>
      <c r="S106" s="382">
        <f t="shared" ref="S106:W106" si="465">SUM(S102:S105)</f>
        <v>0</v>
      </c>
      <c r="T106" s="382">
        <f t="shared" ref="T106" si="466">SUM(T102:T105)</f>
        <v>0</v>
      </c>
      <c r="U106" s="1079">
        <f t="shared" si="465"/>
        <v>0</v>
      </c>
      <c r="V106" s="1022">
        <f>SUM(V102:V105)</f>
        <v>6630.1612582122234</v>
      </c>
      <c r="W106" s="732">
        <f t="shared" si="465"/>
        <v>0</v>
      </c>
      <c r="X106" s="733">
        <f>SUM(X102:X105)</f>
        <v>7782.49</v>
      </c>
      <c r="Y106" s="733">
        <f t="shared" ref="Y106" si="467">SUM(Y102:Y105)</f>
        <v>0</v>
      </c>
      <c r="Z106" s="733">
        <f t="shared" ref="Z106:AA106" si="468">SUM(Z102:Z105)</f>
        <v>0</v>
      </c>
      <c r="AA106" s="733">
        <f t="shared" si="468"/>
        <v>0</v>
      </c>
      <c r="AB106" s="733">
        <f t="shared" ref="AB106:AC106" si="469">SUM(AB102:AB105)</f>
        <v>0</v>
      </c>
      <c r="AC106" s="733">
        <f t="shared" si="469"/>
        <v>0</v>
      </c>
      <c r="AD106" s="733">
        <f t="shared" ref="AD106:AL106" si="470">SUM(AD102:AD105)</f>
        <v>0</v>
      </c>
      <c r="AE106" s="733">
        <f t="shared" ref="AE106:AF106" si="471">SUM(AE102:AE105)</f>
        <v>0</v>
      </c>
      <c r="AF106" s="733">
        <f t="shared" si="471"/>
        <v>0</v>
      </c>
      <c r="AG106" s="733">
        <f t="shared" ref="AG106:AK106" si="472">SUM(AG102:AG105)</f>
        <v>0</v>
      </c>
      <c r="AH106" s="733">
        <f t="shared" ref="AH106" si="473">SUM(AH102:AH105)</f>
        <v>0</v>
      </c>
      <c r="AI106" s="733">
        <f t="shared" si="472"/>
        <v>0</v>
      </c>
      <c r="AJ106" s="733">
        <f t="shared" si="472"/>
        <v>0</v>
      </c>
      <c r="AK106" s="733">
        <f t="shared" si="472"/>
        <v>0</v>
      </c>
      <c r="AL106" s="733">
        <f t="shared" si="470"/>
        <v>0</v>
      </c>
      <c r="AM106" s="1023">
        <f t="shared" ref="AM106:AO106" si="474">SUM(AM102:AM105)</f>
        <v>0</v>
      </c>
      <c r="AN106" s="984">
        <f t="shared" ref="AN106" si="475">SUM(AN102:AN105)</f>
        <v>0</v>
      </c>
      <c r="AO106" s="783">
        <f t="shared" si="474"/>
        <v>0</v>
      </c>
      <c r="AP106" s="784">
        <f t="shared" ref="AP106:AR106" si="476">SUM(AP102:AP105)</f>
        <v>501.12</v>
      </c>
      <c r="AQ106" s="785">
        <f t="shared" ref="AQ106" si="477">SUM(AQ102:AQ105)</f>
        <v>0</v>
      </c>
      <c r="AR106" s="786">
        <f t="shared" si="476"/>
        <v>0</v>
      </c>
      <c r="AS106" s="985">
        <f t="shared" ref="AS106:AX106" si="478">SUM(AS102:AS105)</f>
        <v>0</v>
      </c>
      <c r="AT106" s="937">
        <f t="shared" ref="AT106:AU106" si="479">SUM(AT102:AT105)</f>
        <v>0</v>
      </c>
      <c r="AU106" s="860">
        <f t="shared" si="479"/>
        <v>0</v>
      </c>
      <c r="AV106" s="860">
        <f t="shared" si="478"/>
        <v>0</v>
      </c>
      <c r="AW106" s="861">
        <f t="shared" si="478"/>
        <v>0</v>
      </c>
      <c r="AX106" s="938">
        <f t="shared" si="478"/>
        <v>0</v>
      </c>
      <c r="AY106" s="907">
        <f t="shared" ref="AY106:AZ106" si="480">SUM(AY102:AY105)</f>
        <v>0</v>
      </c>
      <c r="AZ106" s="586">
        <f t="shared" si="480"/>
        <v>0</v>
      </c>
      <c r="BA106" s="481">
        <f>SUM(BA102:BA105)</f>
        <v>6630.1612582122234</v>
      </c>
      <c r="BB106" s="155">
        <f>AR106+AO106+AL106+AI106+AF106+AB106+AD106+Z106+W106+S106+P106+M106+J106+G106+D106</f>
        <v>0</v>
      </c>
      <c r="BC106" s="1265">
        <f>SUM(BC102:BC105)</f>
        <v>8638.2200000000012</v>
      </c>
      <c r="BD106" s="188">
        <v>3234</v>
      </c>
      <c r="BE106" s="131"/>
      <c r="BF106" s="610"/>
      <c r="BG106" s="610"/>
      <c r="BH106" s="610"/>
      <c r="BI106" s="1655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</row>
    <row r="107" spans="1:148" s="6" customFormat="1" x14ac:dyDescent="0.25">
      <c r="A107" s="74">
        <v>323521</v>
      </c>
      <c r="B107" s="85" t="s">
        <v>70</v>
      </c>
      <c r="C107" s="631"/>
      <c r="D107" s="631"/>
      <c r="E107" s="626"/>
      <c r="F107" s="633"/>
      <c r="G107" s="633"/>
      <c r="H107" s="626"/>
      <c r="I107" s="632"/>
      <c r="J107" s="632"/>
      <c r="K107" s="1061"/>
      <c r="L107" s="1083"/>
      <c r="M107" s="385"/>
      <c r="N107" s="701"/>
      <c r="O107" s="704"/>
      <c r="P107" s="704"/>
      <c r="Q107" s="701"/>
      <c r="R107" s="704"/>
      <c r="S107" s="704"/>
      <c r="T107" s="701"/>
      <c r="U107" s="1106"/>
      <c r="V107" s="1027">
        <f>2637.5/7.5345</f>
        <v>350.05640719357621</v>
      </c>
      <c r="W107" s="738"/>
      <c r="X107" s="735">
        <v>418.32</v>
      </c>
      <c r="Y107" s="739"/>
      <c r="Z107" s="739"/>
      <c r="AA107" s="735"/>
      <c r="AB107" s="739"/>
      <c r="AC107" s="735"/>
      <c r="AD107" s="739"/>
      <c r="AE107" s="735"/>
      <c r="AF107" s="739"/>
      <c r="AG107" s="735"/>
      <c r="AH107" s="739"/>
      <c r="AI107" s="739"/>
      <c r="AJ107" s="735"/>
      <c r="AK107" s="739"/>
      <c r="AL107" s="739"/>
      <c r="AM107" s="1025"/>
      <c r="AN107" s="989"/>
      <c r="AO107" s="794"/>
      <c r="AP107" s="788"/>
      <c r="AQ107" s="795"/>
      <c r="AR107" s="796"/>
      <c r="AS107" s="987"/>
      <c r="AT107" s="942"/>
      <c r="AU107" s="865"/>
      <c r="AV107" s="862"/>
      <c r="AW107" s="863"/>
      <c r="AX107" s="940"/>
      <c r="AY107" s="910"/>
      <c r="AZ107" s="589"/>
      <c r="BA107" s="137">
        <f t="shared" si="285"/>
        <v>350.05640719357621</v>
      </c>
      <c r="BB107" s="143"/>
      <c r="BC107" s="1263">
        <f>AS107+AP107+AM107+AJ107+AG107+AE107+AC107+AA107+X107+U107+T107+Q107+N107+K107+H107+E107</f>
        <v>418.32</v>
      </c>
      <c r="BD107" s="185">
        <v>323521</v>
      </c>
      <c r="BE107" s="34"/>
      <c r="BF107" s="610"/>
      <c r="BG107" s="610"/>
      <c r="BH107" s="610"/>
      <c r="BI107" s="1656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</row>
    <row r="108" spans="1:148" ht="15.75" thickBot="1" x14ac:dyDescent="0.3">
      <c r="A108" s="46">
        <v>323541</v>
      </c>
      <c r="B108" s="29" t="s">
        <v>71</v>
      </c>
      <c r="C108" s="618"/>
      <c r="D108" s="618"/>
      <c r="E108" s="657"/>
      <c r="F108" s="620"/>
      <c r="G108" s="620"/>
      <c r="H108" s="657"/>
      <c r="I108" s="619">
        <f>84468.93/7.5345</f>
        <v>11210.953613378457</v>
      </c>
      <c r="J108" s="619"/>
      <c r="K108" s="1067">
        <v>86.35</v>
      </c>
      <c r="L108" s="1077"/>
      <c r="M108" s="379"/>
      <c r="N108" s="709"/>
      <c r="O108" s="700">
        <f>478657.28/7.5345</f>
        <v>63528.738469706019</v>
      </c>
      <c r="P108" s="700"/>
      <c r="Q108" s="709">
        <v>489.34</v>
      </c>
      <c r="R108" s="700"/>
      <c r="S108" s="700"/>
      <c r="T108" s="709"/>
      <c r="U108" s="1096"/>
      <c r="V108" s="1021">
        <f>9000/7.5345</f>
        <v>1194.5052757316344</v>
      </c>
      <c r="W108" s="730"/>
      <c r="X108" s="752">
        <v>1012.5</v>
      </c>
      <c r="Y108" s="731"/>
      <c r="Z108" s="731"/>
      <c r="AA108" s="752"/>
      <c r="AB108" s="731"/>
      <c r="AC108" s="752"/>
      <c r="AD108" s="731"/>
      <c r="AE108" s="752"/>
      <c r="AF108" s="731"/>
      <c r="AG108" s="752"/>
      <c r="AH108" s="731"/>
      <c r="AI108" s="731"/>
      <c r="AJ108" s="752"/>
      <c r="AK108" s="731"/>
      <c r="AL108" s="731"/>
      <c r="AM108" s="1038"/>
      <c r="AN108" s="983"/>
      <c r="AO108" s="780"/>
      <c r="AP108" s="818"/>
      <c r="AQ108" s="781"/>
      <c r="AR108" s="782"/>
      <c r="AS108" s="1001"/>
      <c r="AT108" s="936"/>
      <c r="AU108" s="859"/>
      <c r="AV108" s="877"/>
      <c r="AW108" s="878"/>
      <c r="AX108" s="956"/>
      <c r="AY108" s="906"/>
      <c r="AZ108" s="601"/>
      <c r="BA108" s="137">
        <f t="shared" si="285"/>
        <v>75934.197358816105</v>
      </c>
      <c r="BB108" s="144"/>
      <c r="BC108" s="1263">
        <f>AS108+AP108+AM108+AJ108+AG108+AE108+AC108+AA108+X108+U108+T108+Q108+N108+K108+H108+E108</f>
        <v>1588.1899999999998</v>
      </c>
      <c r="BD108" s="187">
        <v>323541</v>
      </c>
      <c r="BE108" s="34"/>
      <c r="BF108" s="1650"/>
    </row>
    <row r="109" spans="1:148" s="2" customFormat="1" ht="15.75" thickBot="1" x14ac:dyDescent="0.3">
      <c r="A109" s="76">
        <v>3235</v>
      </c>
      <c r="B109" s="81" t="s">
        <v>72</v>
      </c>
      <c r="C109" s="621">
        <f>C107+C108</f>
        <v>0</v>
      </c>
      <c r="D109" s="621">
        <f>D107+D108</f>
        <v>0</v>
      </c>
      <c r="E109" s="622">
        <f>E107+E108</f>
        <v>0</v>
      </c>
      <c r="F109" s="623">
        <f t="shared" ref="F109" si="481">F107+F108</f>
        <v>0</v>
      </c>
      <c r="G109" s="623">
        <f t="shared" ref="G109:J109" si="482">G107+G108</f>
        <v>0</v>
      </c>
      <c r="H109" s="622">
        <f t="shared" si="482"/>
        <v>0</v>
      </c>
      <c r="I109" s="622">
        <f>I107+I108</f>
        <v>11210.953613378457</v>
      </c>
      <c r="J109" s="622">
        <f t="shared" si="482"/>
        <v>0</v>
      </c>
      <c r="K109" s="1060">
        <f>K107+K108</f>
        <v>86.35</v>
      </c>
      <c r="L109" s="1078">
        <f>L107+L108</f>
        <v>0</v>
      </c>
      <c r="M109" s="381">
        <f>M107+M108</f>
        <v>0</v>
      </c>
      <c r="N109" s="382">
        <f>N107+N108</f>
        <v>0</v>
      </c>
      <c r="O109" s="382">
        <f>O107+O108</f>
        <v>63528.738469706019</v>
      </c>
      <c r="P109" s="382">
        <f t="shared" ref="P109" si="483">P107+P108</f>
        <v>0</v>
      </c>
      <c r="Q109" s="382">
        <f>Q107+Q108</f>
        <v>489.34</v>
      </c>
      <c r="R109" s="382">
        <f t="shared" ref="R109" si="484">R107+R108</f>
        <v>0</v>
      </c>
      <c r="S109" s="382">
        <f t="shared" ref="S109:W109" si="485">S107+S108</f>
        <v>0</v>
      </c>
      <c r="T109" s="382">
        <f t="shared" ref="T109" si="486">T107+T108</f>
        <v>0</v>
      </c>
      <c r="U109" s="1079">
        <f t="shared" si="485"/>
        <v>0</v>
      </c>
      <c r="V109" s="1022">
        <f>V107+V108</f>
        <v>1544.5616829252106</v>
      </c>
      <c r="W109" s="732">
        <f t="shared" si="485"/>
        <v>0</v>
      </c>
      <c r="X109" s="733">
        <f>X107+X108</f>
        <v>1430.82</v>
      </c>
      <c r="Y109" s="733">
        <f t="shared" ref="Y109" si="487">Y107+Y108</f>
        <v>0</v>
      </c>
      <c r="Z109" s="733">
        <f t="shared" ref="Z109:AA109" si="488">Z107+Z108</f>
        <v>0</v>
      </c>
      <c r="AA109" s="733">
        <f t="shared" si="488"/>
        <v>0</v>
      </c>
      <c r="AB109" s="733">
        <f t="shared" ref="AB109:AC109" si="489">AB107+AB108</f>
        <v>0</v>
      </c>
      <c r="AC109" s="733">
        <f t="shared" si="489"/>
        <v>0</v>
      </c>
      <c r="AD109" s="733">
        <f t="shared" ref="AD109:AL109" si="490">AD107+AD108</f>
        <v>0</v>
      </c>
      <c r="AE109" s="733">
        <f t="shared" ref="AE109:AF109" si="491">AE107+AE108</f>
        <v>0</v>
      </c>
      <c r="AF109" s="733">
        <f t="shared" si="491"/>
        <v>0</v>
      </c>
      <c r="AG109" s="733">
        <f t="shared" ref="AG109:AK109" si="492">AG107+AG108</f>
        <v>0</v>
      </c>
      <c r="AH109" s="733">
        <f t="shared" ref="AH109" si="493">AH107+AH108</f>
        <v>0</v>
      </c>
      <c r="AI109" s="733">
        <f t="shared" si="492"/>
        <v>0</v>
      </c>
      <c r="AJ109" s="733">
        <f t="shared" si="492"/>
        <v>0</v>
      </c>
      <c r="AK109" s="733">
        <f t="shared" si="492"/>
        <v>0</v>
      </c>
      <c r="AL109" s="733">
        <f t="shared" si="490"/>
        <v>0</v>
      </c>
      <c r="AM109" s="1023">
        <f t="shared" ref="AM109:AO109" si="494">AM107+AM108</f>
        <v>0</v>
      </c>
      <c r="AN109" s="984">
        <f t="shared" ref="AN109" si="495">AN107+AN108</f>
        <v>0</v>
      </c>
      <c r="AO109" s="783">
        <f t="shared" si="494"/>
        <v>0</v>
      </c>
      <c r="AP109" s="784">
        <f t="shared" ref="AP109:AR109" si="496">AP107+AP108</f>
        <v>0</v>
      </c>
      <c r="AQ109" s="785">
        <f t="shared" ref="AQ109" si="497">AQ107+AQ108</f>
        <v>0</v>
      </c>
      <c r="AR109" s="786">
        <f t="shared" si="496"/>
        <v>0</v>
      </c>
      <c r="AS109" s="985">
        <f t="shared" ref="AS109:AX109" si="498">AS107+AS108</f>
        <v>0</v>
      </c>
      <c r="AT109" s="937">
        <f t="shared" ref="AT109:AU109" si="499">AT107+AT108</f>
        <v>0</v>
      </c>
      <c r="AU109" s="860">
        <f t="shared" si="499"/>
        <v>0</v>
      </c>
      <c r="AV109" s="860">
        <f t="shared" si="498"/>
        <v>0</v>
      </c>
      <c r="AW109" s="861">
        <f t="shared" si="498"/>
        <v>0</v>
      </c>
      <c r="AX109" s="938">
        <f t="shared" si="498"/>
        <v>0</v>
      </c>
      <c r="AY109" s="907">
        <f t="shared" ref="AY109:AZ109" si="500">AY107+AY108</f>
        <v>0</v>
      </c>
      <c r="AZ109" s="586">
        <f t="shared" si="500"/>
        <v>0</v>
      </c>
      <c r="BA109" s="481">
        <f>SUM(BA107:BA108)</f>
        <v>76284.253766009686</v>
      </c>
      <c r="BB109" s="155">
        <f>AR109+AO109+AL109+AI109+AF109+AB109+AD109+Z109+W109+S109+P109+M109+J109+G109+D109</f>
        <v>0</v>
      </c>
      <c r="BC109" s="1265">
        <f>SUM(BC107:BC108)</f>
        <v>2006.5099999999998</v>
      </c>
      <c r="BD109" s="188">
        <v>3235</v>
      </c>
      <c r="BE109" s="131"/>
      <c r="BF109" s="1651"/>
      <c r="BG109" s="610"/>
      <c r="BH109" s="610"/>
      <c r="BI109" s="1655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</row>
    <row r="110" spans="1:148" s="6" customFormat="1" x14ac:dyDescent="0.25">
      <c r="A110" s="276">
        <v>323611</v>
      </c>
      <c r="B110" s="350" t="s">
        <v>73</v>
      </c>
      <c r="C110" s="646"/>
      <c r="D110" s="646"/>
      <c r="E110" s="1167"/>
      <c r="F110" s="648"/>
      <c r="G110" s="648"/>
      <c r="H110" s="1167"/>
      <c r="I110" s="647"/>
      <c r="J110" s="647"/>
      <c r="K110" s="1181"/>
      <c r="L110" s="1090"/>
      <c r="M110" s="391"/>
      <c r="N110" s="1189"/>
      <c r="O110" s="707"/>
      <c r="P110" s="707"/>
      <c r="Q110" s="1189"/>
      <c r="R110" s="707"/>
      <c r="S110" s="707"/>
      <c r="T110" s="1189"/>
      <c r="U110" s="1199"/>
      <c r="V110" s="1034">
        <f>9375/7.5345</f>
        <v>1244.2763288871192</v>
      </c>
      <c r="W110" s="747"/>
      <c r="X110" s="1209">
        <v>3400.91</v>
      </c>
      <c r="Y110" s="748"/>
      <c r="Z110" s="748"/>
      <c r="AA110" s="1209"/>
      <c r="AB110" s="748"/>
      <c r="AC110" s="1209"/>
      <c r="AD110" s="748"/>
      <c r="AE110" s="1209"/>
      <c r="AF110" s="748"/>
      <c r="AG110" s="1209"/>
      <c r="AH110" s="748"/>
      <c r="AI110" s="748"/>
      <c r="AJ110" s="1209"/>
      <c r="AK110" s="748"/>
      <c r="AL110" s="748"/>
      <c r="AM110" s="1217"/>
      <c r="AN110" s="997"/>
      <c r="AO110" s="810"/>
      <c r="AP110" s="1223"/>
      <c r="AQ110" s="811"/>
      <c r="AR110" s="812"/>
      <c r="AS110" s="1229"/>
      <c r="AT110" s="952"/>
      <c r="AU110" s="874"/>
      <c r="AV110" s="1243"/>
      <c r="AW110" s="1244"/>
      <c r="AX110" s="1245"/>
      <c r="AY110" s="917"/>
      <c r="AZ110" s="1132"/>
      <c r="BA110" s="136">
        <f t="shared" ref="BA110:BA111" si="501">AQ110+AN110+AK110+AH110+AC110+Y110+V110+R110+O110+L110+I110+F110+C110+AT110</f>
        <v>1244.2763288871192</v>
      </c>
      <c r="BB110" s="160"/>
      <c r="BC110" s="1274">
        <f>AS110+AP110+AM110+AJ110+AG110+AE110+AC110+AA110+X110+U110+T110+Q110+N110+K110+H110+E110</f>
        <v>3400.91</v>
      </c>
      <c r="BD110" s="351">
        <v>323611</v>
      </c>
      <c r="BE110" s="34"/>
      <c r="BF110" s="610"/>
      <c r="BG110" s="610"/>
      <c r="BH110" s="610"/>
      <c r="BI110" s="1656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</row>
    <row r="111" spans="1:148" s="6" customFormat="1" ht="15.75" thickBot="1" x14ac:dyDescent="0.3">
      <c r="A111" s="78">
        <v>323631</v>
      </c>
      <c r="B111" s="79" t="s">
        <v>239</v>
      </c>
      <c r="C111" s="628"/>
      <c r="D111" s="628"/>
      <c r="E111" s="1165"/>
      <c r="F111" s="630"/>
      <c r="G111" s="630"/>
      <c r="H111" s="1165"/>
      <c r="I111" s="629"/>
      <c r="J111" s="629"/>
      <c r="K111" s="1180"/>
      <c r="L111" s="1082"/>
      <c r="M111" s="384"/>
      <c r="N111" s="1188"/>
      <c r="O111" s="703"/>
      <c r="P111" s="703"/>
      <c r="Q111" s="1188"/>
      <c r="R111" s="703"/>
      <c r="S111" s="703"/>
      <c r="T111" s="1188"/>
      <c r="U111" s="1197"/>
      <c r="V111" s="1026">
        <f>3275/7.5345</f>
        <v>434.66719755790029</v>
      </c>
      <c r="W111" s="736"/>
      <c r="X111" s="1208"/>
      <c r="Y111" s="737"/>
      <c r="Z111" s="737"/>
      <c r="AA111" s="1208"/>
      <c r="AB111" s="737"/>
      <c r="AC111" s="1208"/>
      <c r="AD111" s="737"/>
      <c r="AE111" s="1208"/>
      <c r="AF111" s="737"/>
      <c r="AG111" s="1208"/>
      <c r="AH111" s="737"/>
      <c r="AI111" s="737"/>
      <c r="AJ111" s="1208"/>
      <c r="AK111" s="737"/>
      <c r="AL111" s="737"/>
      <c r="AM111" s="1216"/>
      <c r="AN111" s="988">
        <f>100/7.5345</f>
        <v>13.272280841462605</v>
      </c>
      <c r="AO111" s="791"/>
      <c r="AP111" s="1222"/>
      <c r="AQ111" s="792"/>
      <c r="AR111" s="793"/>
      <c r="AS111" s="996"/>
      <c r="AT111" s="941"/>
      <c r="AU111" s="864"/>
      <c r="AV111" s="1240"/>
      <c r="AW111" s="1241"/>
      <c r="AX111" s="951"/>
      <c r="AY111" s="909"/>
      <c r="AZ111" s="595"/>
      <c r="BA111" s="136">
        <f t="shared" si="501"/>
        <v>447.93947839936288</v>
      </c>
      <c r="BB111" s="148"/>
      <c r="BC111" s="1263">
        <f>AS111+AP111+AM111+AJ111+AG111+AE111+AC111+AA111+X111+U111+T111+Q111+N111+K111+H111+E111</f>
        <v>0</v>
      </c>
      <c r="BD111" s="189">
        <v>323631</v>
      </c>
      <c r="BE111" s="34"/>
      <c r="BF111" s="1650"/>
      <c r="BG111" s="610"/>
      <c r="BH111" s="610"/>
      <c r="BI111" s="1656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</row>
    <row r="112" spans="1:148" s="2" customFormat="1" ht="15.75" thickBot="1" x14ac:dyDescent="0.3">
      <c r="A112" s="76">
        <v>3236</v>
      </c>
      <c r="B112" s="81" t="s">
        <v>74</v>
      </c>
      <c r="C112" s="621">
        <f>C110</f>
        <v>0</v>
      </c>
      <c r="D112" s="621">
        <f>D110</f>
        <v>0</v>
      </c>
      <c r="E112" s="622">
        <f>E110</f>
        <v>0</v>
      </c>
      <c r="F112" s="623">
        <f t="shared" ref="F112" si="502">F110</f>
        <v>0</v>
      </c>
      <c r="G112" s="623">
        <f t="shared" ref="G112:K112" si="503">G110</f>
        <v>0</v>
      </c>
      <c r="H112" s="622">
        <f t="shared" si="503"/>
        <v>0</v>
      </c>
      <c r="I112" s="622">
        <f t="shared" ref="I112" si="504">I110</f>
        <v>0</v>
      </c>
      <c r="J112" s="622">
        <f t="shared" si="503"/>
        <v>0</v>
      </c>
      <c r="K112" s="1060">
        <f t="shared" si="503"/>
        <v>0</v>
      </c>
      <c r="L112" s="1078"/>
      <c r="M112" s="381"/>
      <c r="N112" s="382"/>
      <c r="O112" s="382">
        <f t="shared" ref="O112" si="505">O110</f>
        <v>0</v>
      </c>
      <c r="P112" s="382">
        <f t="shared" ref="P112:R112" si="506">P110</f>
        <v>0</v>
      </c>
      <c r="Q112" s="382">
        <f t="shared" si="506"/>
        <v>0</v>
      </c>
      <c r="R112" s="382">
        <f t="shared" si="506"/>
        <v>0</v>
      </c>
      <c r="S112" s="382">
        <f t="shared" ref="S112:W112" si="507">S110</f>
        <v>0</v>
      </c>
      <c r="T112" s="382">
        <f t="shared" ref="T112" si="508">T110</f>
        <v>0</v>
      </c>
      <c r="U112" s="1079">
        <f t="shared" si="507"/>
        <v>0</v>
      </c>
      <c r="V112" s="1022">
        <f>SUM(V110:V111)</f>
        <v>1678.9435264450194</v>
      </c>
      <c r="W112" s="732">
        <f t="shared" si="507"/>
        <v>0</v>
      </c>
      <c r="X112" s="733">
        <f>SUM(X110:X111)</f>
        <v>3400.91</v>
      </c>
      <c r="Y112" s="733">
        <f t="shared" ref="Y112" si="509">SUM(Y110:Y111)</f>
        <v>0</v>
      </c>
      <c r="Z112" s="733">
        <f t="shared" ref="Z112:AM112" si="510">SUM(Z110:Z111)</f>
        <v>0</v>
      </c>
      <c r="AA112" s="733">
        <f t="shared" si="510"/>
        <v>0</v>
      </c>
      <c r="AB112" s="733">
        <f t="shared" si="510"/>
        <v>0</v>
      </c>
      <c r="AC112" s="733">
        <f t="shared" si="510"/>
        <v>0</v>
      </c>
      <c r="AD112" s="733">
        <f t="shared" si="510"/>
        <v>0</v>
      </c>
      <c r="AE112" s="733">
        <f t="shared" si="510"/>
        <v>0</v>
      </c>
      <c r="AF112" s="733">
        <f t="shared" si="510"/>
        <v>0</v>
      </c>
      <c r="AG112" s="733">
        <f t="shared" si="510"/>
        <v>0</v>
      </c>
      <c r="AH112" s="733">
        <f t="shared" ref="AH112" si="511">SUM(AH110:AH111)</f>
        <v>0</v>
      </c>
      <c r="AI112" s="733">
        <f t="shared" si="510"/>
        <v>0</v>
      </c>
      <c r="AJ112" s="733">
        <f t="shared" si="510"/>
        <v>0</v>
      </c>
      <c r="AK112" s="733">
        <f t="shared" ref="AK112" si="512">SUM(AK110:AK111)</f>
        <v>0</v>
      </c>
      <c r="AL112" s="733">
        <f t="shared" si="510"/>
        <v>0</v>
      </c>
      <c r="AM112" s="1023">
        <f t="shared" si="510"/>
        <v>0</v>
      </c>
      <c r="AN112" s="984">
        <f>SUM(AN110:AN111)</f>
        <v>13.272280841462605</v>
      </c>
      <c r="AO112" s="783">
        <f t="shared" ref="AO112" si="513">AO110</f>
        <v>0</v>
      </c>
      <c r="AP112" s="784">
        <f>SUM(AP110:AP111)</f>
        <v>0</v>
      </c>
      <c r="AQ112" s="785">
        <f t="shared" ref="AQ112:AR112" si="514">AQ110</f>
        <v>0</v>
      </c>
      <c r="AR112" s="786">
        <f t="shared" si="514"/>
        <v>0</v>
      </c>
      <c r="AS112" s="985">
        <f t="shared" ref="AS112:AV112" si="515">AS110</f>
        <v>0</v>
      </c>
      <c r="AT112" s="937">
        <f t="shared" ref="AT112:AU112" si="516">AT110</f>
        <v>0</v>
      </c>
      <c r="AU112" s="860">
        <f t="shared" si="516"/>
        <v>0</v>
      </c>
      <c r="AV112" s="860">
        <f t="shared" si="515"/>
        <v>0</v>
      </c>
      <c r="AW112" s="861">
        <f>SUM(AW110:AW111)</f>
        <v>0</v>
      </c>
      <c r="AX112" s="938">
        <f t="shared" ref="AX112:AZ112" si="517">AX110</f>
        <v>0</v>
      </c>
      <c r="AY112" s="907">
        <f>SUM(AY110:AY111)</f>
        <v>0</v>
      </c>
      <c r="AZ112" s="586">
        <f t="shared" si="517"/>
        <v>0</v>
      </c>
      <c r="BA112" s="481">
        <f>SUM(BA110:BA111)</f>
        <v>1692.2158072864822</v>
      </c>
      <c r="BB112" s="155">
        <f>AR112+AO112+AL112+AI112+AF112+AB112+AD112+Z112+W112+S112+P112+M112+J112+G112+D112</f>
        <v>0</v>
      </c>
      <c r="BC112" s="1265">
        <f>SUM(BC110:BC111)</f>
        <v>3400.91</v>
      </c>
      <c r="BD112" s="188">
        <v>3236</v>
      </c>
      <c r="BE112" s="131"/>
      <c r="BF112" s="1651"/>
      <c r="BG112" s="610"/>
      <c r="BH112" s="610"/>
      <c r="BI112" s="1655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</row>
    <row r="113" spans="1:148" s="6" customFormat="1" x14ac:dyDescent="0.25">
      <c r="A113" s="74">
        <v>323711</v>
      </c>
      <c r="B113" s="85" t="s">
        <v>75</v>
      </c>
      <c r="C113" s="631"/>
      <c r="D113" s="631"/>
      <c r="E113" s="626"/>
      <c r="F113" s="633"/>
      <c r="G113" s="633"/>
      <c r="H113" s="626"/>
      <c r="I113" s="632"/>
      <c r="J113" s="632"/>
      <c r="K113" s="1061"/>
      <c r="L113" s="1083"/>
      <c r="M113" s="385"/>
      <c r="N113" s="701"/>
      <c r="O113" s="704"/>
      <c r="P113" s="704"/>
      <c r="Q113" s="701"/>
      <c r="R113" s="704"/>
      <c r="S113" s="704"/>
      <c r="T113" s="701"/>
      <c r="U113" s="1106"/>
      <c r="V113" s="1027"/>
      <c r="W113" s="738"/>
      <c r="X113" s="735"/>
      <c r="Y113" s="739"/>
      <c r="Z113" s="739"/>
      <c r="AA113" s="735"/>
      <c r="AB113" s="739"/>
      <c r="AC113" s="735"/>
      <c r="AD113" s="739"/>
      <c r="AE113" s="735"/>
      <c r="AF113" s="739"/>
      <c r="AG113" s="735"/>
      <c r="AH113" s="739"/>
      <c r="AI113" s="739"/>
      <c r="AJ113" s="735"/>
      <c r="AK113" s="739"/>
      <c r="AL113" s="739"/>
      <c r="AM113" s="1025"/>
      <c r="AN113" s="989">
        <f>1963.63/7.5345</f>
        <v>260.61848828721213</v>
      </c>
      <c r="AO113" s="794"/>
      <c r="AP113" s="788"/>
      <c r="AQ113" s="795"/>
      <c r="AR113" s="796"/>
      <c r="AS113" s="987"/>
      <c r="AT113" s="942"/>
      <c r="AU113" s="865"/>
      <c r="AV113" s="862"/>
      <c r="AW113" s="863"/>
      <c r="AX113" s="940"/>
      <c r="AY113" s="910"/>
      <c r="AZ113" s="589"/>
      <c r="BA113" s="137">
        <f t="shared" ref="BA113:BA128" si="518">AQ113+AN113+AK113+AH113+Y113+V113+R113+O113+L113+I113+F113+C113+AT113</f>
        <v>260.61848828721213</v>
      </c>
      <c r="BB113" s="143"/>
      <c r="BC113" s="1263">
        <f>AS113+AP113+AM113+AJ113+AG113+AE113+AC113+AA113+X113+U113+T113+Q113+N113+K113+H113+E113</f>
        <v>0</v>
      </c>
      <c r="BD113" s="185">
        <v>323711</v>
      </c>
      <c r="BE113" s="34"/>
      <c r="BF113" s="1651"/>
      <c r="BG113" s="610"/>
      <c r="BH113" s="610"/>
      <c r="BI113" s="1656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</row>
    <row r="114" spans="1:148" x14ac:dyDescent="0.25">
      <c r="A114" s="45">
        <v>323721</v>
      </c>
      <c r="B114" s="30" t="s">
        <v>76</v>
      </c>
      <c r="C114" s="615">
        <f>61432.87/7.5345</f>
        <v>8153.5430353706288</v>
      </c>
      <c r="D114" s="615"/>
      <c r="E114" s="654">
        <v>5281.12</v>
      </c>
      <c r="F114" s="617"/>
      <c r="G114" s="617"/>
      <c r="H114" s="654"/>
      <c r="I114" s="616"/>
      <c r="J114" s="616"/>
      <c r="K114" s="1066"/>
      <c r="L114" s="1076"/>
      <c r="M114" s="378"/>
      <c r="N114" s="708"/>
      <c r="O114" s="699"/>
      <c r="P114" s="699"/>
      <c r="Q114" s="708"/>
      <c r="R114" s="699"/>
      <c r="S114" s="699"/>
      <c r="T114" s="708"/>
      <c r="U114" s="1094"/>
      <c r="V114" s="1020"/>
      <c r="W114" s="728"/>
      <c r="X114" s="750"/>
      <c r="Y114" s="729"/>
      <c r="Z114" s="729"/>
      <c r="AA114" s="750"/>
      <c r="AB114" s="729"/>
      <c r="AC114" s="750"/>
      <c r="AD114" s="729"/>
      <c r="AE114" s="750"/>
      <c r="AF114" s="729"/>
      <c r="AG114" s="750"/>
      <c r="AH114" s="729"/>
      <c r="AI114" s="729"/>
      <c r="AJ114" s="750"/>
      <c r="AK114" s="729"/>
      <c r="AL114" s="729"/>
      <c r="AM114" s="1036"/>
      <c r="AN114" s="982"/>
      <c r="AO114" s="777"/>
      <c r="AP114" s="814"/>
      <c r="AQ114" s="778"/>
      <c r="AR114" s="779"/>
      <c r="AS114" s="999"/>
      <c r="AT114" s="935"/>
      <c r="AU114" s="858"/>
      <c r="AV114" s="875"/>
      <c r="AW114" s="876"/>
      <c r="AX114" s="954"/>
      <c r="AY114" s="905"/>
      <c r="AZ114" s="600"/>
      <c r="BA114" s="137">
        <f t="shared" si="518"/>
        <v>8153.5430353706288</v>
      </c>
      <c r="BB114" s="139"/>
      <c r="BC114" s="1263">
        <f>AS114+AP114+AM114+AJ114+AG114+AE114+AC114+AA114+X114+U114+T114+Q114+N114+K114+H114+E114</f>
        <v>5281.12</v>
      </c>
      <c r="BD114" s="186">
        <v>323721</v>
      </c>
      <c r="BE114" s="34"/>
      <c r="BF114" s="1650"/>
    </row>
    <row r="115" spans="1:148" s="6" customFormat="1" x14ac:dyDescent="0.25">
      <c r="A115" s="45">
        <v>323731</v>
      </c>
      <c r="B115" s="30" t="s">
        <v>77</v>
      </c>
      <c r="C115" s="615"/>
      <c r="D115" s="615"/>
      <c r="E115" s="654"/>
      <c r="F115" s="617"/>
      <c r="G115" s="617"/>
      <c r="H115" s="654"/>
      <c r="I115" s="616"/>
      <c r="J115" s="616"/>
      <c r="K115" s="1066"/>
      <c r="L115" s="1076"/>
      <c r="M115" s="378"/>
      <c r="N115" s="708"/>
      <c r="O115" s="699"/>
      <c r="P115" s="699"/>
      <c r="Q115" s="708"/>
      <c r="R115" s="699"/>
      <c r="S115" s="699"/>
      <c r="T115" s="708"/>
      <c r="U115" s="1094"/>
      <c r="V115" s="1020">
        <f>1875/7.5345</f>
        <v>248.85526577742382</v>
      </c>
      <c r="W115" s="728"/>
      <c r="X115" s="750"/>
      <c r="Y115" s="729"/>
      <c r="Z115" s="729"/>
      <c r="AA115" s="750"/>
      <c r="AB115" s="729"/>
      <c r="AC115" s="750"/>
      <c r="AD115" s="729"/>
      <c r="AE115" s="750"/>
      <c r="AF115" s="729"/>
      <c r="AG115" s="750"/>
      <c r="AH115" s="729"/>
      <c r="AI115" s="729"/>
      <c r="AJ115" s="750"/>
      <c r="AK115" s="729"/>
      <c r="AL115" s="729"/>
      <c r="AM115" s="1036"/>
      <c r="AN115" s="982"/>
      <c r="AO115" s="777"/>
      <c r="AP115" s="814"/>
      <c r="AQ115" s="778"/>
      <c r="AR115" s="779"/>
      <c r="AS115" s="999"/>
      <c r="AT115" s="935"/>
      <c r="AU115" s="858"/>
      <c r="AV115" s="875"/>
      <c r="AW115" s="876"/>
      <c r="AX115" s="954"/>
      <c r="AY115" s="905"/>
      <c r="AZ115" s="600"/>
      <c r="BA115" s="137">
        <f t="shared" si="518"/>
        <v>248.85526577742382</v>
      </c>
      <c r="BB115" s="139"/>
      <c r="BC115" s="1263">
        <f>AS115+AP115+AM115+AJ115+AG115+AE115+AC115+AA115+X115+U115+T115+Q115+N115+K115+H115+E115</f>
        <v>0</v>
      </c>
      <c r="BD115" s="186">
        <v>323731</v>
      </c>
      <c r="BE115" s="34"/>
      <c r="BF115" s="1651"/>
      <c r="BG115" s="610"/>
      <c r="BH115" s="610"/>
      <c r="BI115" s="1656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</row>
    <row r="116" spans="1:148" s="6" customFormat="1" ht="15.75" thickBot="1" x14ac:dyDescent="0.3">
      <c r="A116" s="46">
        <v>323791</v>
      </c>
      <c r="B116" s="29" t="s">
        <v>78</v>
      </c>
      <c r="C116" s="618"/>
      <c r="D116" s="618"/>
      <c r="E116" s="657"/>
      <c r="F116" s="620">
        <f>487.2/7.5345</f>
        <v>64.662552259605803</v>
      </c>
      <c r="G116" s="620"/>
      <c r="H116" s="657"/>
      <c r="I116" s="619">
        <f>118107.49/7.5345</f>
        <v>15675.557767602362</v>
      </c>
      <c r="J116" s="619"/>
      <c r="K116" s="1067">
        <f>597.25+224.79+555.78+683.52+555.78+258.81+508.77+508.77+683.52+683.52+683.52+683.52+1592.67+223.97+683.52+683.5+1035.24+3229.57</f>
        <v>14076.02</v>
      </c>
      <c r="L116" s="1077">
        <f>8400.59/7.5345</f>
        <v>1114.9498971398234</v>
      </c>
      <c r="M116" s="379"/>
      <c r="N116" s="709"/>
      <c r="O116" s="700">
        <f>630364.7/7.5345</f>
        <v>83663.773309443219</v>
      </c>
      <c r="P116" s="700"/>
      <c r="Q116" s="709">
        <f>3384.43+1273.82+3149.4+3873.29+3149.4+1466.59+5866.35+3873.29+3873.29+1269.16+9025.15+3873.29+3873.29+3873.29+3873.29+2883.03+2883.04+18300.93</f>
        <v>79764.33</v>
      </c>
      <c r="R116" s="700"/>
      <c r="S116" s="700"/>
      <c r="T116" s="709"/>
      <c r="U116" s="1096"/>
      <c r="V116" s="1021">
        <f>19615/7.5345</f>
        <v>2603.35788705289</v>
      </c>
      <c r="W116" s="730"/>
      <c r="X116" s="752">
        <f>500+250+500+250+250+250+156.25+250+250+250</f>
        <v>2906.25</v>
      </c>
      <c r="Y116" s="731">
        <f>487.21/7.5345</f>
        <v>64.663879487689954</v>
      </c>
      <c r="Z116" s="731"/>
      <c r="AA116" s="752"/>
      <c r="AB116" s="731"/>
      <c r="AC116" s="752"/>
      <c r="AD116" s="731"/>
      <c r="AE116" s="752"/>
      <c r="AF116" s="731"/>
      <c r="AG116" s="752"/>
      <c r="AH116" s="731"/>
      <c r="AI116" s="731"/>
      <c r="AJ116" s="752"/>
      <c r="AK116" s="731"/>
      <c r="AL116" s="731"/>
      <c r="AM116" s="1038"/>
      <c r="AN116" s="983"/>
      <c r="AO116" s="780"/>
      <c r="AP116" s="818"/>
      <c r="AQ116" s="781"/>
      <c r="AR116" s="782"/>
      <c r="AS116" s="1001"/>
      <c r="AT116" s="936"/>
      <c r="AU116" s="859"/>
      <c r="AV116" s="877"/>
      <c r="AW116" s="878"/>
      <c r="AX116" s="956"/>
      <c r="AY116" s="906"/>
      <c r="AZ116" s="601"/>
      <c r="BA116" s="137">
        <f t="shared" si="518"/>
        <v>103186.96529298559</v>
      </c>
      <c r="BB116" s="144"/>
      <c r="BC116" s="1263">
        <f>AS116+AP116+AM116+AJ116+AG116+AE116+AC116+AA116+X116+U116+T116+Q116+N116+K116+H116+E116</f>
        <v>96746.6</v>
      </c>
      <c r="BD116" s="187">
        <v>323791</v>
      </c>
      <c r="BE116" s="34"/>
      <c r="BF116" s="610"/>
      <c r="BG116" s="610"/>
      <c r="BH116" s="610"/>
      <c r="BI116" s="1656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</row>
    <row r="117" spans="1:148" s="2" customFormat="1" ht="15.75" thickBot="1" x14ac:dyDescent="0.3">
      <c r="A117" s="76">
        <v>3237</v>
      </c>
      <c r="B117" s="81" t="s">
        <v>79</v>
      </c>
      <c r="C117" s="621">
        <f>SUM(C113:C116)</f>
        <v>8153.5430353706288</v>
      </c>
      <c r="D117" s="621">
        <f t="shared" ref="D117:H117" si="519">SUM(D113:D116)</f>
        <v>0</v>
      </c>
      <c r="E117" s="622">
        <f t="shared" si="519"/>
        <v>5281.12</v>
      </c>
      <c r="F117" s="623">
        <f>SUM(F113:F116)</f>
        <v>64.662552259605803</v>
      </c>
      <c r="G117" s="623">
        <f t="shared" si="519"/>
        <v>0</v>
      </c>
      <c r="H117" s="622">
        <f t="shared" si="519"/>
        <v>0</v>
      </c>
      <c r="I117" s="622">
        <f>SUM(I113:I116)</f>
        <v>15675.557767602362</v>
      </c>
      <c r="J117" s="622">
        <f t="shared" ref="J117" si="520">SUM(J113:J116)</f>
        <v>0</v>
      </c>
      <c r="K117" s="1060">
        <f>SUM(K113:K116)</f>
        <v>14076.02</v>
      </c>
      <c r="L117" s="1078">
        <f>SUM(L113:L116)</f>
        <v>1114.9498971398234</v>
      </c>
      <c r="M117" s="381">
        <f>SUM(M113:M116)</f>
        <v>0</v>
      </c>
      <c r="N117" s="382">
        <f>SUM(N113:N116)</f>
        <v>0</v>
      </c>
      <c r="O117" s="382">
        <f>SUM(O113:O116)</f>
        <v>83663.773309443219</v>
      </c>
      <c r="P117" s="382">
        <f t="shared" ref="P117" si="521">SUM(P113:P116)</f>
        <v>0</v>
      </c>
      <c r="Q117" s="382">
        <f>SUM(Q113:Q116)</f>
        <v>79764.33</v>
      </c>
      <c r="R117" s="382">
        <f t="shared" ref="R117" si="522">SUM(R113:R116)</f>
        <v>0</v>
      </c>
      <c r="S117" s="382">
        <f t="shared" ref="S117:U117" si="523">SUM(S113:S116)</f>
        <v>0</v>
      </c>
      <c r="T117" s="382">
        <f t="shared" ref="T117" si="524">SUM(T113:T116)</f>
        <v>0</v>
      </c>
      <c r="U117" s="1079">
        <f t="shared" si="523"/>
        <v>0</v>
      </c>
      <c r="V117" s="1022">
        <f>SUM(V113:V116)</f>
        <v>2852.2131528303139</v>
      </c>
      <c r="W117" s="732">
        <f t="shared" ref="W117:AC117" si="525">SUM(W113:W116)</f>
        <v>0</v>
      </c>
      <c r="X117" s="733">
        <f>SUM(X113:X116)</f>
        <v>2906.25</v>
      </c>
      <c r="Y117" s="733">
        <f t="shared" ref="Y117" si="526">SUM(Y113:Y116)</f>
        <v>64.663879487689954</v>
      </c>
      <c r="Z117" s="733">
        <f t="shared" si="525"/>
        <v>0</v>
      </c>
      <c r="AA117" s="733">
        <f>SUM(AA113:AA116)</f>
        <v>0</v>
      </c>
      <c r="AB117" s="733">
        <f t="shared" si="525"/>
        <v>0</v>
      </c>
      <c r="AC117" s="733">
        <f t="shared" si="525"/>
        <v>0</v>
      </c>
      <c r="AD117" s="733">
        <f t="shared" ref="AD117:AL117" si="527">SUM(AD113:AD116)</f>
        <v>0</v>
      </c>
      <c r="AE117" s="733">
        <f t="shared" ref="AE117:AF117" si="528">SUM(AE113:AE116)</f>
        <v>0</v>
      </c>
      <c r="AF117" s="733">
        <f t="shared" si="528"/>
        <v>0</v>
      </c>
      <c r="AG117" s="733">
        <f t="shared" ref="AG117:AK117" si="529">SUM(AG113:AG116)</f>
        <v>0</v>
      </c>
      <c r="AH117" s="733">
        <f t="shared" ref="AH117" si="530">SUM(AH113:AH116)</f>
        <v>0</v>
      </c>
      <c r="AI117" s="733">
        <f t="shared" si="529"/>
        <v>0</v>
      </c>
      <c r="AJ117" s="733">
        <f t="shared" si="529"/>
        <v>0</v>
      </c>
      <c r="AK117" s="733">
        <f t="shared" si="529"/>
        <v>0</v>
      </c>
      <c r="AL117" s="733">
        <f t="shared" si="527"/>
        <v>0</v>
      </c>
      <c r="AM117" s="1023">
        <f t="shared" ref="AM117:AO117" si="531">SUM(AM113:AM116)</f>
        <v>0</v>
      </c>
      <c r="AN117" s="984">
        <f>SUM(AN113:AN116)</f>
        <v>260.61848828721213</v>
      </c>
      <c r="AO117" s="783">
        <f t="shared" si="531"/>
        <v>0</v>
      </c>
      <c r="AP117" s="784">
        <f>SUM(AP113:AP116)</f>
        <v>0</v>
      </c>
      <c r="AQ117" s="785">
        <f>SUM(AQ113:AQ116)</f>
        <v>0</v>
      </c>
      <c r="AR117" s="786">
        <f>SUM(AR113:AR116)</f>
        <v>0</v>
      </c>
      <c r="AS117" s="985">
        <f>SUM(AS113:AS116)</f>
        <v>0</v>
      </c>
      <c r="AT117" s="937">
        <f t="shared" ref="AT117:AU117" si="532">SUM(AT113:AT116)</f>
        <v>0</v>
      </c>
      <c r="AU117" s="860">
        <f t="shared" si="532"/>
        <v>0</v>
      </c>
      <c r="AV117" s="860">
        <f t="shared" ref="AV117:AW117" si="533">SUM(AV113:AV116)</f>
        <v>0</v>
      </c>
      <c r="AW117" s="861">
        <f t="shared" si="533"/>
        <v>0</v>
      </c>
      <c r="AX117" s="938">
        <f>SUM(AX113:AX116)</f>
        <v>0</v>
      </c>
      <c r="AY117" s="907">
        <f t="shared" ref="AY117" si="534">SUM(AY113:AY116)</f>
        <v>0</v>
      </c>
      <c r="AZ117" s="586">
        <f>SUM(AZ113:AZ116)</f>
        <v>0</v>
      </c>
      <c r="BA117" s="481">
        <f>SUM(BA113:BA116)</f>
        <v>111849.98208242086</v>
      </c>
      <c r="BB117" s="155">
        <f>AR117+AO117+AL117+AI117+AF117+AB117+AD117+Z117+W117+S117+P117+M117+J117+G117+D117</f>
        <v>0</v>
      </c>
      <c r="BC117" s="1265">
        <f>SUM(BC113:BC116)</f>
        <v>102027.72</v>
      </c>
      <c r="BD117" s="188">
        <v>3237</v>
      </c>
      <c r="BE117" s="131"/>
      <c r="BF117" s="1651"/>
      <c r="BG117" s="610"/>
      <c r="BH117" s="610"/>
      <c r="BI117" s="1655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</row>
    <row r="118" spans="1:148" x14ac:dyDescent="0.25">
      <c r="A118" s="78">
        <v>323811</v>
      </c>
      <c r="B118" s="79" t="s">
        <v>80</v>
      </c>
      <c r="C118" s="628"/>
      <c r="D118" s="628"/>
      <c r="E118" s="626"/>
      <c r="F118" s="630"/>
      <c r="G118" s="630"/>
      <c r="H118" s="1165"/>
      <c r="I118" s="629"/>
      <c r="J118" s="629"/>
      <c r="K118" s="1180"/>
      <c r="L118" s="1083"/>
      <c r="M118" s="385"/>
      <c r="N118" s="701"/>
      <c r="O118" s="704"/>
      <c r="P118" s="704"/>
      <c r="Q118" s="701"/>
      <c r="R118" s="703"/>
      <c r="S118" s="703"/>
      <c r="T118" s="1188"/>
      <c r="U118" s="1197"/>
      <c r="V118" s="1026">
        <f>375/7.5345</f>
        <v>49.771053155484765</v>
      </c>
      <c r="W118" s="736"/>
      <c r="X118" s="1208">
        <v>49.78</v>
      </c>
      <c r="Y118" s="737"/>
      <c r="Z118" s="737"/>
      <c r="AA118" s="1208"/>
      <c r="AB118" s="737"/>
      <c r="AC118" s="1208"/>
      <c r="AD118" s="737"/>
      <c r="AE118" s="1208"/>
      <c r="AF118" s="737"/>
      <c r="AG118" s="1208"/>
      <c r="AH118" s="737"/>
      <c r="AI118" s="737"/>
      <c r="AJ118" s="1208"/>
      <c r="AK118" s="737"/>
      <c r="AL118" s="737"/>
      <c r="AM118" s="1216"/>
      <c r="AN118" s="988"/>
      <c r="AO118" s="791"/>
      <c r="AP118" s="1222"/>
      <c r="AQ118" s="792"/>
      <c r="AR118" s="793"/>
      <c r="AS118" s="987"/>
      <c r="AT118" s="941"/>
      <c r="AU118" s="864"/>
      <c r="AV118" s="1240"/>
      <c r="AW118" s="1241"/>
      <c r="AX118" s="951"/>
      <c r="AY118" s="909"/>
      <c r="AZ118" s="595"/>
      <c r="BA118" s="137">
        <f t="shared" si="518"/>
        <v>49.771053155484765</v>
      </c>
      <c r="BB118" s="148"/>
      <c r="BC118" s="1263">
        <f>AS118+AP118+AM118+AJ118+AG118+AE118+AC118+AA118+X118+U118+T118+Q118+N118+K118+H118+E118</f>
        <v>49.78</v>
      </c>
      <c r="BD118" s="189">
        <v>323811</v>
      </c>
      <c r="BE118" s="34"/>
      <c r="BF118" s="1651"/>
    </row>
    <row r="119" spans="1:148" x14ac:dyDescent="0.25">
      <c r="A119" s="46">
        <v>323821</v>
      </c>
      <c r="B119" s="29" t="s">
        <v>160</v>
      </c>
      <c r="C119" s="618"/>
      <c r="D119" s="618"/>
      <c r="E119" s="654"/>
      <c r="F119" s="620"/>
      <c r="G119" s="620"/>
      <c r="H119" s="657"/>
      <c r="I119" s="619"/>
      <c r="J119" s="619"/>
      <c r="K119" s="1067"/>
      <c r="L119" s="1076"/>
      <c r="M119" s="378"/>
      <c r="N119" s="708"/>
      <c r="O119" s="699"/>
      <c r="P119" s="699"/>
      <c r="Q119" s="708"/>
      <c r="R119" s="700"/>
      <c r="S119" s="700"/>
      <c r="T119" s="709"/>
      <c r="U119" s="1096"/>
      <c r="V119" s="1021"/>
      <c r="W119" s="730"/>
      <c r="X119" s="752"/>
      <c r="Y119" s="731"/>
      <c r="Z119" s="731"/>
      <c r="AA119" s="752"/>
      <c r="AB119" s="731"/>
      <c r="AC119" s="752"/>
      <c r="AD119" s="731"/>
      <c r="AE119" s="752"/>
      <c r="AF119" s="731"/>
      <c r="AG119" s="752"/>
      <c r="AH119" s="731"/>
      <c r="AI119" s="731"/>
      <c r="AJ119" s="752"/>
      <c r="AK119" s="731"/>
      <c r="AL119" s="731"/>
      <c r="AM119" s="1038"/>
      <c r="AN119" s="983"/>
      <c r="AO119" s="780"/>
      <c r="AP119" s="818"/>
      <c r="AQ119" s="781"/>
      <c r="AR119" s="782"/>
      <c r="AS119" s="999"/>
      <c r="AT119" s="936"/>
      <c r="AU119" s="859"/>
      <c r="AV119" s="877"/>
      <c r="AW119" s="878"/>
      <c r="AX119" s="956"/>
      <c r="AY119" s="906"/>
      <c r="AZ119" s="601"/>
      <c r="BA119" s="137">
        <f t="shared" si="518"/>
        <v>0</v>
      </c>
      <c r="BB119" s="144"/>
      <c r="BC119" s="1263">
        <f>AS119+AP119+AM119+AJ119+AG119+AE119+AC119+AA119+X119+U119+T119+Q119+N119+K119+H119+E119</f>
        <v>0</v>
      </c>
      <c r="BD119" s="187">
        <v>323821</v>
      </c>
      <c r="BE119" s="34"/>
      <c r="BF119" s="1650"/>
    </row>
    <row r="120" spans="1:148" ht="15.75" thickBot="1" x14ac:dyDescent="0.3">
      <c r="A120" s="46">
        <v>323891</v>
      </c>
      <c r="B120" s="29" t="s">
        <v>81</v>
      </c>
      <c r="C120" s="618"/>
      <c r="D120" s="618"/>
      <c r="E120" s="657"/>
      <c r="F120" s="620"/>
      <c r="G120" s="620"/>
      <c r="H120" s="657"/>
      <c r="I120" s="619"/>
      <c r="J120" s="619"/>
      <c r="K120" s="1067"/>
      <c r="L120" s="1077"/>
      <c r="M120" s="379"/>
      <c r="N120" s="709"/>
      <c r="O120" s="700"/>
      <c r="P120" s="700"/>
      <c r="Q120" s="709"/>
      <c r="R120" s="700"/>
      <c r="S120" s="700"/>
      <c r="T120" s="709"/>
      <c r="U120" s="1096"/>
      <c r="V120" s="1021">
        <f>7920.5/7.5345</f>
        <v>1051.2310040480456</v>
      </c>
      <c r="W120" s="730"/>
      <c r="X120" s="752">
        <v>150.76</v>
      </c>
      <c r="Y120" s="731"/>
      <c r="Z120" s="731"/>
      <c r="AA120" s="752"/>
      <c r="AB120" s="731"/>
      <c r="AC120" s="752"/>
      <c r="AD120" s="731"/>
      <c r="AE120" s="752"/>
      <c r="AF120" s="731"/>
      <c r="AG120" s="752"/>
      <c r="AH120" s="731">
        <f>1750/7.5345</f>
        <v>232.26491472559559</v>
      </c>
      <c r="AI120" s="731"/>
      <c r="AJ120" s="752"/>
      <c r="AK120" s="731"/>
      <c r="AL120" s="731"/>
      <c r="AM120" s="1038"/>
      <c r="AN120" s="983"/>
      <c r="AO120" s="780"/>
      <c r="AP120" s="818"/>
      <c r="AQ120" s="781"/>
      <c r="AR120" s="782"/>
      <c r="AS120" s="1001"/>
      <c r="AT120" s="936"/>
      <c r="AU120" s="859"/>
      <c r="AV120" s="877"/>
      <c r="AW120" s="878"/>
      <c r="AX120" s="956"/>
      <c r="AY120" s="906"/>
      <c r="AZ120" s="601"/>
      <c r="BA120" s="137">
        <f t="shared" si="518"/>
        <v>1283.4959187736413</v>
      </c>
      <c r="BB120" s="144"/>
      <c r="BC120" s="1263">
        <f>AS120+AP120+AM120+AJ120+AG120+AE120+AC120+AA120+X120+U120+T120+Q120+N120+K120+H120+E120</f>
        <v>150.76</v>
      </c>
      <c r="BD120" s="187">
        <v>323891</v>
      </c>
      <c r="BE120" s="34"/>
    </row>
    <row r="121" spans="1:148" s="2" customFormat="1" ht="15.75" thickBot="1" x14ac:dyDescent="0.3">
      <c r="A121" s="76">
        <v>3238</v>
      </c>
      <c r="B121" s="87" t="s">
        <v>82</v>
      </c>
      <c r="C121" s="668">
        <f>SUM(C118:C120)</f>
        <v>0</v>
      </c>
      <c r="D121" s="668">
        <f>SUM(D118:D120)</f>
        <v>0</v>
      </c>
      <c r="E121" s="669">
        <f>SUM(E118:E120)</f>
        <v>0</v>
      </c>
      <c r="F121" s="670">
        <f t="shared" ref="F121" si="535">SUM(F118:F120)</f>
        <v>0</v>
      </c>
      <c r="G121" s="670">
        <f t="shared" ref="G121:K121" si="536">SUM(G118:G120)</f>
        <v>0</v>
      </c>
      <c r="H121" s="669">
        <f t="shared" si="536"/>
        <v>0</v>
      </c>
      <c r="I121" s="669">
        <f t="shared" ref="I121" si="537">SUM(I118:I120)</f>
        <v>0</v>
      </c>
      <c r="J121" s="669">
        <f t="shared" si="536"/>
        <v>0</v>
      </c>
      <c r="K121" s="1070">
        <f t="shared" si="536"/>
        <v>0</v>
      </c>
      <c r="L121" s="1101">
        <f>SUM(L118:L120)</f>
        <v>0</v>
      </c>
      <c r="M121" s="403">
        <f>SUM(M118:M120)</f>
        <v>0</v>
      </c>
      <c r="N121" s="712">
        <f>SUM(N118:N120)</f>
        <v>0</v>
      </c>
      <c r="O121" s="712">
        <f t="shared" ref="O121" si="538">SUM(O118:O120)</f>
        <v>0</v>
      </c>
      <c r="P121" s="712">
        <f t="shared" ref="P121:R121" si="539">SUM(P118:P120)</f>
        <v>0</v>
      </c>
      <c r="Q121" s="712">
        <f t="shared" si="539"/>
        <v>0</v>
      </c>
      <c r="R121" s="712">
        <f t="shared" si="539"/>
        <v>0</v>
      </c>
      <c r="S121" s="712">
        <f t="shared" ref="S121:W121" si="540">SUM(S118:S120)</f>
        <v>0</v>
      </c>
      <c r="T121" s="712">
        <f t="shared" ref="T121" si="541">SUM(T118:T120)</f>
        <v>0</v>
      </c>
      <c r="U121" s="1102">
        <f t="shared" si="540"/>
        <v>0</v>
      </c>
      <c r="V121" s="1043">
        <f>SUM(V118:V120)</f>
        <v>1101.0020572035305</v>
      </c>
      <c r="W121" s="758">
        <f t="shared" si="540"/>
        <v>0</v>
      </c>
      <c r="X121" s="759">
        <f>SUM(X118:X120)</f>
        <v>200.54</v>
      </c>
      <c r="Y121" s="759">
        <f t="shared" ref="Y121" si="542">SUM(Y118:Y120)</f>
        <v>0</v>
      </c>
      <c r="Z121" s="759">
        <f t="shared" ref="Z121:AA121" si="543">SUM(Z118:Z120)</f>
        <v>0</v>
      </c>
      <c r="AA121" s="759">
        <f t="shared" si="543"/>
        <v>0</v>
      </c>
      <c r="AB121" s="759">
        <f t="shared" ref="AB121:AC121" si="544">SUM(AB118:AB120)</f>
        <v>0</v>
      </c>
      <c r="AC121" s="759">
        <f t="shared" si="544"/>
        <v>0</v>
      </c>
      <c r="AD121" s="759">
        <f t="shared" ref="AD121:AE121" si="545">SUM(AD118:AD120)</f>
        <v>0</v>
      </c>
      <c r="AE121" s="759">
        <f t="shared" si="545"/>
        <v>0</v>
      </c>
      <c r="AF121" s="759">
        <f t="shared" ref="AF121:AH121" si="546">SUM(AF118:AF120)</f>
        <v>0</v>
      </c>
      <c r="AG121" s="759">
        <f t="shared" si="546"/>
        <v>0</v>
      </c>
      <c r="AH121" s="759">
        <f t="shared" si="546"/>
        <v>232.26491472559559</v>
      </c>
      <c r="AI121" s="759">
        <f t="shared" ref="AI121:AU121" si="547">SUM(AI118:AI120)</f>
        <v>0</v>
      </c>
      <c r="AJ121" s="759">
        <f t="shared" si="547"/>
        <v>0</v>
      </c>
      <c r="AK121" s="759">
        <f t="shared" ref="AK121" si="548">SUM(AK118:AK120)</f>
        <v>0</v>
      </c>
      <c r="AL121" s="759">
        <f t="shared" si="547"/>
        <v>0</v>
      </c>
      <c r="AM121" s="1044">
        <f t="shared" si="547"/>
        <v>0</v>
      </c>
      <c r="AN121" s="1004">
        <f t="shared" ref="AN121" si="549">SUM(AN118:AN120)</f>
        <v>0</v>
      </c>
      <c r="AO121" s="825">
        <f t="shared" si="547"/>
        <v>0</v>
      </c>
      <c r="AP121" s="826">
        <f t="shared" si="547"/>
        <v>0</v>
      </c>
      <c r="AQ121" s="829">
        <f t="shared" ref="AQ121" si="550">SUM(AQ118:AQ120)</f>
        <v>0</v>
      </c>
      <c r="AR121" s="830">
        <f t="shared" si="547"/>
        <v>0</v>
      </c>
      <c r="AS121" s="1006">
        <f t="shared" si="547"/>
        <v>0</v>
      </c>
      <c r="AT121" s="961">
        <f t="shared" ref="AT121" si="551">SUM(AT118:AT120)</f>
        <v>0</v>
      </c>
      <c r="AU121" s="883">
        <f t="shared" si="547"/>
        <v>0</v>
      </c>
      <c r="AV121" s="883">
        <f t="shared" ref="AV121:AX121" si="552">SUM(AV118:AV120)</f>
        <v>0</v>
      </c>
      <c r="AW121" s="884">
        <f t="shared" si="552"/>
        <v>0</v>
      </c>
      <c r="AX121" s="963">
        <f t="shared" si="552"/>
        <v>0</v>
      </c>
      <c r="AY121" s="922">
        <f t="shared" ref="AY121:AZ121" si="553">SUM(AY118:AY120)</f>
        <v>0</v>
      </c>
      <c r="AZ121" s="603">
        <f t="shared" si="553"/>
        <v>0</v>
      </c>
      <c r="BA121" s="481">
        <f>SUM(BA118:BA120)</f>
        <v>1333.2669719291262</v>
      </c>
      <c r="BB121" s="155">
        <f>AR121+AO121+AL121+AI121+AF121+AB121+AD121+Z121+W121+S121+P121+M121+J121+G121+D121</f>
        <v>0</v>
      </c>
      <c r="BC121" s="1278">
        <f>SUM(BC118:BC120)</f>
        <v>200.54</v>
      </c>
      <c r="BD121" s="188">
        <v>3238</v>
      </c>
      <c r="BE121" s="134"/>
      <c r="BF121" s="610"/>
      <c r="BG121" s="610"/>
      <c r="BH121" s="610"/>
      <c r="BI121" s="1655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</row>
    <row r="122" spans="1:148" x14ac:dyDescent="0.25">
      <c r="A122" s="74">
        <v>323911</v>
      </c>
      <c r="B122" s="85" t="s">
        <v>83</v>
      </c>
      <c r="C122" s="631"/>
      <c r="D122" s="631"/>
      <c r="E122" s="626">
        <f>140.07+350</f>
        <v>490.07</v>
      </c>
      <c r="F122" s="633"/>
      <c r="G122" s="633"/>
      <c r="H122" s="626">
        <f>33.47+18.19</f>
        <v>51.66</v>
      </c>
      <c r="I122" s="632">
        <f>25875/7.5345</f>
        <v>3434.2026677284489</v>
      </c>
      <c r="J122" s="632"/>
      <c r="K122" s="1061">
        <f>2812.06+1990.84+1990.84+2314.35</f>
        <v>9108.09</v>
      </c>
      <c r="L122" s="1083"/>
      <c r="M122" s="385"/>
      <c r="N122" s="701">
        <f>577.06+313.62</f>
        <v>890.68</v>
      </c>
      <c r="O122" s="704">
        <f>146625/7.5345</f>
        <v>19460.481783794545</v>
      </c>
      <c r="P122" s="704"/>
      <c r="Q122" s="701">
        <f>15935.04+11281.44+11281.44+13114.68</f>
        <v>51612.600000000006</v>
      </c>
      <c r="R122" s="704"/>
      <c r="S122" s="704"/>
      <c r="T122" s="701"/>
      <c r="U122" s="1106"/>
      <c r="V122" s="1027"/>
      <c r="W122" s="738"/>
      <c r="X122" s="735">
        <v>142.88</v>
      </c>
      <c r="Y122" s="739"/>
      <c r="Z122" s="739"/>
      <c r="AA122" s="735">
        <f>33.47+18.19</f>
        <v>51.66</v>
      </c>
      <c r="AB122" s="739"/>
      <c r="AC122" s="735"/>
      <c r="AD122" s="739"/>
      <c r="AE122" s="735"/>
      <c r="AF122" s="739"/>
      <c r="AG122" s="735"/>
      <c r="AH122" s="739"/>
      <c r="AI122" s="739"/>
      <c r="AJ122" s="735"/>
      <c r="AK122" s="739"/>
      <c r="AL122" s="739"/>
      <c r="AM122" s="1025"/>
      <c r="AN122" s="989">
        <f>13680/7.5345</f>
        <v>1815.6480191120843</v>
      </c>
      <c r="AO122" s="794"/>
      <c r="AP122" s="788">
        <f>53.1+119.63+295.08+157.13+141.41</f>
        <v>766.34999999999991</v>
      </c>
      <c r="AQ122" s="795"/>
      <c r="AR122" s="796"/>
      <c r="AS122" s="987"/>
      <c r="AT122" s="942"/>
      <c r="AU122" s="865"/>
      <c r="AV122" s="862"/>
      <c r="AW122" s="863"/>
      <c r="AX122" s="940"/>
      <c r="AY122" s="910"/>
      <c r="AZ122" s="589"/>
      <c r="BA122" s="137">
        <f t="shared" si="518"/>
        <v>24710.332470635076</v>
      </c>
      <c r="BB122" s="143"/>
      <c r="BC122" s="1263">
        <f t="shared" ref="BC122:BC128" si="554">AS122+AP122+AM122+AJ122+AG122+AE122+AC122+AA122+X122+U122+T122+Q122+N122+K122+H122+E122</f>
        <v>63113.990000000013</v>
      </c>
      <c r="BD122" s="185">
        <v>323911</v>
      </c>
      <c r="BE122" s="34"/>
    </row>
    <row r="123" spans="1:148" x14ac:dyDescent="0.25">
      <c r="A123" s="45">
        <v>323921</v>
      </c>
      <c r="B123" s="30" t="s">
        <v>84</v>
      </c>
      <c r="C123" s="615"/>
      <c r="D123" s="615"/>
      <c r="E123" s="654"/>
      <c r="F123" s="617"/>
      <c r="G123" s="617"/>
      <c r="H123" s="654"/>
      <c r="I123" s="616"/>
      <c r="J123" s="616"/>
      <c r="K123" s="1066"/>
      <c r="L123" s="1076"/>
      <c r="M123" s="378"/>
      <c r="N123" s="708"/>
      <c r="O123" s="699"/>
      <c r="P123" s="699"/>
      <c r="Q123" s="708"/>
      <c r="R123" s="699"/>
      <c r="S123" s="699"/>
      <c r="T123" s="708"/>
      <c r="U123" s="1094"/>
      <c r="V123" s="1020"/>
      <c r="W123" s="728"/>
      <c r="X123" s="750"/>
      <c r="Y123" s="729"/>
      <c r="Z123" s="729"/>
      <c r="AA123" s="750"/>
      <c r="AB123" s="729"/>
      <c r="AC123" s="750"/>
      <c r="AD123" s="729"/>
      <c r="AE123" s="750"/>
      <c r="AF123" s="729"/>
      <c r="AG123" s="750"/>
      <c r="AH123" s="729"/>
      <c r="AI123" s="729"/>
      <c r="AJ123" s="750"/>
      <c r="AK123" s="729"/>
      <c r="AL123" s="729"/>
      <c r="AM123" s="1036"/>
      <c r="AN123" s="982"/>
      <c r="AO123" s="777"/>
      <c r="AP123" s="814"/>
      <c r="AQ123" s="778"/>
      <c r="AR123" s="779"/>
      <c r="AS123" s="999"/>
      <c r="AT123" s="935"/>
      <c r="AU123" s="858"/>
      <c r="AV123" s="875"/>
      <c r="AW123" s="876"/>
      <c r="AX123" s="954"/>
      <c r="AY123" s="905"/>
      <c r="AZ123" s="600"/>
      <c r="BA123" s="137">
        <f t="shared" si="518"/>
        <v>0</v>
      </c>
      <c r="BB123" s="139"/>
      <c r="BC123" s="1263">
        <f t="shared" si="554"/>
        <v>0</v>
      </c>
      <c r="BD123" s="186">
        <v>323921</v>
      </c>
      <c r="BE123" s="34"/>
      <c r="BF123" s="1650"/>
    </row>
    <row r="124" spans="1:148" x14ac:dyDescent="0.25">
      <c r="A124" s="45">
        <v>323931</v>
      </c>
      <c r="B124" s="30" t="s">
        <v>85</v>
      </c>
      <c r="C124" s="615"/>
      <c r="D124" s="615"/>
      <c r="E124" s="654"/>
      <c r="F124" s="617"/>
      <c r="G124" s="617"/>
      <c r="H124" s="654"/>
      <c r="I124" s="616"/>
      <c r="J124" s="616"/>
      <c r="K124" s="1066"/>
      <c r="L124" s="1076"/>
      <c r="M124" s="378"/>
      <c r="N124" s="708"/>
      <c r="O124" s="699"/>
      <c r="P124" s="699"/>
      <c r="Q124" s="708"/>
      <c r="R124" s="699"/>
      <c r="S124" s="699"/>
      <c r="T124" s="708"/>
      <c r="U124" s="1094"/>
      <c r="V124" s="1020"/>
      <c r="W124" s="728"/>
      <c r="X124" s="750"/>
      <c r="Y124" s="729"/>
      <c r="Z124" s="729"/>
      <c r="AA124" s="750"/>
      <c r="AB124" s="729"/>
      <c r="AC124" s="750"/>
      <c r="AD124" s="729"/>
      <c r="AE124" s="750"/>
      <c r="AF124" s="729"/>
      <c r="AG124" s="750"/>
      <c r="AH124" s="729"/>
      <c r="AI124" s="729"/>
      <c r="AJ124" s="750"/>
      <c r="AK124" s="729"/>
      <c r="AL124" s="729"/>
      <c r="AM124" s="1036"/>
      <c r="AN124" s="982"/>
      <c r="AO124" s="777"/>
      <c r="AP124" s="814"/>
      <c r="AQ124" s="778"/>
      <c r="AR124" s="779"/>
      <c r="AS124" s="999"/>
      <c r="AT124" s="935"/>
      <c r="AU124" s="858"/>
      <c r="AV124" s="875"/>
      <c r="AW124" s="876"/>
      <c r="AX124" s="954"/>
      <c r="AY124" s="905"/>
      <c r="AZ124" s="600"/>
      <c r="BA124" s="137">
        <f t="shared" si="518"/>
        <v>0</v>
      </c>
      <c r="BB124" s="139"/>
      <c r="BC124" s="1263">
        <f t="shared" si="554"/>
        <v>0</v>
      </c>
      <c r="BD124" s="186">
        <v>323931</v>
      </c>
      <c r="BE124" s="34"/>
    </row>
    <row r="125" spans="1:148" s="6" customFormat="1" x14ac:dyDescent="0.25">
      <c r="A125" s="45">
        <v>323951</v>
      </c>
      <c r="B125" s="30" t="s">
        <v>86</v>
      </c>
      <c r="C125" s="615"/>
      <c r="D125" s="615"/>
      <c r="E125" s="654"/>
      <c r="F125" s="617"/>
      <c r="G125" s="617"/>
      <c r="H125" s="654"/>
      <c r="I125" s="616"/>
      <c r="J125" s="616"/>
      <c r="K125" s="1066"/>
      <c r="L125" s="1076"/>
      <c r="M125" s="378"/>
      <c r="N125" s="708"/>
      <c r="O125" s="699"/>
      <c r="P125" s="699"/>
      <c r="Q125" s="708"/>
      <c r="R125" s="699"/>
      <c r="S125" s="699"/>
      <c r="T125" s="708"/>
      <c r="U125" s="1094"/>
      <c r="V125" s="1020">
        <f>437/7.5345</f>
        <v>57.999867277191584</v>
      </c>
      <c r="W125" s="728"/>
      <c r="X125" s="750">
        <v>463.82</v>
      </c>
      <c r="Y125" s="729"/>
      <c r="Z125" s="729"/>
      <c r="AA125" s="750"/>
      <c r="AB125" s="729"/>
      <c r="AC125" s="750"/>
      <c r="AD125" s="729"/>
      <c r="AE125" s="750"/>
      <c r="AF125" s="729"/>
      <c r="AG125" s="750"/>
      <c r="AH125" s="729"/>
      <c r="AI125" s="729"/>
      <c r="AJ125" s="750"/>
      <c r="AK125" s="729"/>
      <c r="AL125" s="729"/>
      <c r="AM125" s="1036"/>
      <c r="AN125" s="982"/>
      <c r="AO125" s="777"/>
      <c r="AP125" s="814"/>
      <c r="AQ125" s="778"/>
      <c r="AR125" s="779"/>
      <c r="AS125" s="999"/>
      <c r="AT125" s="935"/>
      <c r="AU125" s="858"/>
      <c r="AV125" s="875"/>
      <c r="AW125" s="876"/>
      <c r="AX125" s="954"/>
      <c r="AY125" s="905"/>
      <c r="AZ125" s="600"/>
      <c r="BA125" s="137">
        <f t="shared" si="518"/>
        <v>57.999867277191584</v>
      </c>
      <c r="BB125" s="139"/>
      <c r="BC125" s="1263">
        <f t="shared" si="554"/>
        <v>463.82</v>
      </c>
      <c r="BD125" s="186">
        <v>323951</v>
      </c>
      <c r="BE125" s="34"/>
      <c r="BF125" s="610"/>
      <c r="BG125" s="610"/>
      <c r="BH125" s="610"/>
      <c r="BI125" s="1656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</row>
    <row r="126" spans="1:148" x14ac:dyDescent="0.25">
      <c r="A126" s="45">
        <v>323961</v>
      </c>
      <c r="B126" s="30" t="s">
        <v>87</v>
      </c>
      <c r="C126" s="615"/>
      <c r="D126" s="615"/>
      <c r="E126" s="654"/>
      <c r="F126" s="617"/>
      <c r="G126" s="617"/>
      <c r="H126" s="654"/>
      <c r="I126" s="616"/>
      <c r="J126" s="616"/>
      <c r="K126" s="1066"/>
      <c r="L126" s="1076"/>
      <c r="M126" s="378"/>
      <c r="N126" s="708"/>
      <c r="O126" s="699"/>
      <c r="P126" s="699"/>
      <c r="Q126" s="708"/>
      <c r="R126" s="699"/>
      <c r="S126" s="699"/>
      <c r="T126" s="708"/>
      <c r="U126" s="1094"/>
      <c r="V126" s="1020">
        <f>1750/7.5345</f>
        <v>232.26491472559559</v>
      </c>
      <c r="W126" s="728"/>
      <c r="X126" s="750">
        <v>199.08</v>
      </c>
      <c r="Y126" s="729"/>
      <c r="Z126" s="729"/>
      <c r="AA126" s="750"/>
      <c r="AB126" s="729"/>
      <c r="AC126" s="750"/>
      <c r="AD126" s="729"/>
      <c r="AE126" s="750"/>
      <c r="AF126" s="729"/>
      <c r="AG126" s="750"/>
      <c r="AH126" s="729"/>
      <c r="AI126" s="729"/>
      <c r="AJ126" s="750"/>
      <c r="AK126" s="729"/>
      <c r="AL126" s="729"/>
      <c r="AM126" s="1036"/>
      <c r="AN126" s="982"/>
      <c r="AO126" s="777"/>
      <c r="AP126" s="814"/>
      <c r="AQ126" s="778"/>
      <c r="AR126" s="779"/>
      <c r="AS126" s="999"/>
      <c r="AT126" s="935"/>
      <c r="AU126" s="858"/>
      <c r="AV126" s="875"/>
      <c r="AW126" s="876"/>
      <c r="AX126" s="954"/>
      <c r="AY126" s="905"/>
      <c r="AZ126" s="600"/>
      <c r="BA126" s="137">
        <f t="shared" si="518"/>
        <v>232.26491472559559</v>
      </c>
      <c r="BB126" s="139"/>
      <c r="BC126" s="1263">
        <f t="shared" si="554"/>
        <v>199.08</v>
      </c>
      <c r="BD126" s="186">
        <v>323961</v>
      </c>
      <c r="BE126" s="34"/>
    </row>
    <row r="127" spans="1:148" x14ac:dyDescent="0.25">
      <c r="A127" s="45">
        <v>323981</v>
      </c>
      <c r="B127" s="30" t="s">
        <v>243</v>
      </c>
      <c r="C127" s="615"/>
      <c r="D127" s="615"/>
      <c r="E127" s="654"/>
      <c r="F127" s="617"/>
      <c r="G127" s="617"/>
      <c r="H127" s="654"/>
      <c r="I127" s="616"/>
      <c r="J127" s="616"/>
      <c r="K127" s="1066"/>
      <c r="L127" s="1076"/>
      <c r="M127" s="378"/>
      <c r="N127" s="708"/>
      <c r="O127" s="699"/>
      <c r="P127" s="699"/>
      <c r="Q127" s="708"/>
      <c r="R127" s="699"/>
      <c r="S127" s="699"/>
      <c r="T127" s="708"/>
      <c r="U127" s="1094"/>
      <c r="V127" s="1020">
        <f>5037.31/7.5345</f>
        <v>668.56593005508</v>
      </c>
      <c r="W127" s="728"/>
      <c r="X127" s="750"/>
      <c r="Y127" s="729"/>
      <c r="Z127" s="729"/>
      <c r="AA127" s="750"/>
      <c r="AB127" s="729"/>
      <c r="AC127" s="750"/>
      <c r="AD127" s="729"/>
      <c r="AE127" s="750"/>
      <c r="AF127" s="729"/>
      <c r="AG127" s="750"/>
      <c r="AH127" s="729"/>
      <c r="AI127" s="729"/>
      <c r="AJ127" s="750"/>
      <c r="AK127" s="729"/>
      <c r="AL127" s="729"/>
      <c r="AM127" s="1036"/>
      <c r="AN127" s="982"/>
      <c r="AO127" s="777"/>
      <c r="AP127" s="814"/>
      <c r="AQ127" s="778"/>
      <c r="AR127" s="779"/>
      <c r="AS127" s="999"/>
      <c r="AT127" s="935"/>
      <c r="AU127" s="858"/>
      <c r="AV127" s="875"/>
      <c r="AW127" s="876"/>
      <c r="AX127" s="954"/>
      <c r="AY127" s="905"/>
      <c r="AZ127" s="600"/>
      <c r="BA127" s="137">
        <f t="shared" si="518"/>
        <v>668.56593005508</v>
      </c>
      <c r="BB127" s="139"/>
      <c r="BC127" s="1263">
        <f t="shared" si="554"/>
        <v>0</v>
      </c>
      <c r="BD127" s="186">
        <v>323981</v>
      </c>
      <c r="BE127" s="34"/>
      <c r="BF127" s="1651"/>
    </row>
    <row r="128" spans="1:148" ht="15.75" thickBot="1" x14ac:dyDescent="0.3">
      <c r="A128" s="46">
        <v>323991</v>
      </c>
      <c r="B128" s="29" t="s">
        <v>88</v>
      </c>
      <c r="C128" s="618"/>
      <c r="D128" s="618"/>
      <c r="E128" s="657"/>
      <c r="F128" s="620">
        <f>4213.86/7.5345</f>
        <v>559.27533346605605</v>
      </c>
      <c r="G128" s="620"/>
      <c r="H128" s="657">
        <f>256.06+17.34+597.48</f>
        <v>870.88</v>
      </c>
      <c r="I128" s="619"/>
      <c r="J128" s="619"/>
      <c r="K128" s="1067"/>
      <c r="L128" s="1077">
        <f>72657.28/7.5345</f>
        <v>9643.2782533678401</v>
      </c>
      <c r="M128" s="379"/>
      <c r="N128" s="709">
        <f>10302.14+299.01+4415.2</f>
        <v>15016.349999999999</v>
      </c>
      <c r="O128" s="700"/>
      <c r="P128" s="700"/>
      <c r="Q128" s="709"/>
      <c r="R128" s="700"/>
      <c r="S128" s="700"/>
      <c r="T128" s="709"/>
      <c r="U128" s="1096"/>
      <c r="V128" s="1021">
        <f>11714.62/7.5345</f>
        <v>1554.7972659101467</v>
      </c>
      <c r="W128" s="730"/>
      <c r="X128" s="752">
        <f>112.79+2.41+1.91+1.91+1.91</f>
        <v>120.92999999999999</v>
      </c>
      <c r="Y128" s="731">
        <f>4213.86/7.5345</f>
        <v>559.27533346605605</v>
      </c>
      <c r="Z128" s="731"/>
      <c r="AA128" s="752">
        <f>256.07+17.34+562.5+597.49</f>
        <v>1433.4</v>
      </c>
      <c r="AB128" s="731"/>
      <c r="AC128" s="752"/>
      <c r="AD128" s="731"/>
      <c r="AE128" s="752"/>
      <c r="AF128" s="731"/>
      <c r="AG128" s="752"/>
      <c r="AH128" s="731"/>
      <c r="AI128" s="731"/>
      <c r="AJ128" s="752"/>
      <c r="AK128" s="731"/>
      <c r="AL128" s="731"/>
      <c r="AM128" s="1038"/>
      <c r="AN128" s="983"/>
      <c r="AO128" s="780"/>
      <c r="AP128" s="818"/>
      <c r="AQ128" s="781"/>
      <c r="AR128" s="782"/>
      <c r="AS128" s="1001"/>
      <c r="AT128" s="936"/>
      <c r="AU128" s="859"/>
      <c r="AV128" s="877"/>
      <c r="AW128" s="878"/>
      <c r="AX128" s="956"/>
      <c r="AY128" s="906"/>
      <c r="AZ128" s="601"/>
      <c r="BA128" s="137">
        <f t="shared" si="518"/>
        <v>12316.626186210098</v>
      </c>
      <c r="BB128" s="144"/>
      <c r="BC128" s="1263">
        <f t="shared" si="554"/>
        <v>17441.560000000001</v>
      </c>
      <c r="BD128" s="187">
        <v>323991</v>
      </c>
      <c r="BE128" s="34"/>
    </row>
    <row r="129" spans="1:148" ht="15.75" thickBot="1" x14ac:dyDescent="0.3">
      <c r="A129" s="76">
        <v>3239</v>
      </c>
      <c r="B129" s="81" t="s">
        <v>89</v>
      </c>
      <c r="C129" s="621">
        <f>SUM(C122:C128)</f>
        <v>0</v>
      </c>
      <c r="D129" s="621">
        <f>SUM(D122:D128)</f>
        <v>0</v>
      </c>
      <c r="E129" s="622">
        <f>SUM(E122:E128)</f>
        <v>490.07</v>
      </c>
      <c r="F129" s="623">
        <f t="shared" ref="F129" si="555">SUM(F122:F128)</f>
        <v>559.27533346605605</v>
      </c>
      <c r="G129" s="623">
        <f t="shared" ref="G129:J129" si="556">SUM(G122:G128)</f>
        <v>0</v>
      </c>
      <c r="H129" s="622">
        <f>SUM(H122:H128)</f>
        <v>922.54</v>
      </c>
      <c r="I129" s="622">
        <f t="shared" ref="I129" si="557">SUM(I122:I128)</f>
        <v>3434.2026677284489</v>
      </c>
      <c r="J129" s="622">
        <f t="shared" si="556"/>
        <v>0</v>
      </c>
      <c r="K129" s="1060">
        <f>SUM(K122:K128)</f>
        <v>9108.09</v>
      </c>
      <c r="L129" s="1078">
        <f>SUM(L122:L128)</f>
        <v>9643.2782533678401</v>
      </c>
      <c r="M129" s="381">
        <f>SUM(M122:M128)</f>
        <v>0</v>
      </c>
      <c r="N129" s="382">
        <f>SUM(N122:N128)</f>
        <v>15907.029999999999</v>
      </c>
      <c r="O129" s="382">
        <f t="shared" ref="O129:P129" si="558">SUM(O122:O128)</f>
        <v>19460.481783794545</v>
      </c>
      <c r="P129" s="382">
        <f t="shared" si="558"/>
        <v>0</v>
      </c>
      <c r="Q129" s="382">
        <f>SUM(Q122:Q128)</f>
        <v>51612.600000000006</v>
      </c>
      <c r="R129" s="382">
        <f t="shared" ref="R129" si="559">SUM(R122:R128)</f>
        <v>0</v>
      </c>
      <c r="S129" s="382">
        <f t="shared" ref="S129:W129" si="560">SUM(S122:S128)</f>
        <v>0</v>
      </c>
      <c r="T129" s="382">
        <f t="shared" ref="T129" si="561">SUM(T122:T128)</f>
        <v>0</v>
      </c>
      <c r="U129" s="1079">
        <f t="shared" si="560"/>
        <v>0</v>
      </c>
      <c r="V129" s="1022">
        <f>SUM(V122:V128)</f>
        <v>2513.627977968014</v>
      </c>
      <c r="W129" s="732">
        <f t="shared" si="560"/>
        <v>0</v>
      </c>
      <c r="X129" s="733">
        <f>SUM(X122:X128)</f>
        <v>926.71</v>
      </c>
      <c r="Y129" s="733">
        <f t="shared" ref="Y129:Z129" si="562">SUM(Y122:Y128)</f>
        <v>559.27533346605605</v>
      </c>
      <c r="Z129" s="733">
        <f t="shared" si="562"/>
        <v>0</v>
      </c>
      <c r="AA129" s="733">
        <f>SUM(AA122:AA128)</f>
        <v>1485.0600000000002</v>
      </c>
      <c r="AB129" s="733">
        <f t="shared" ref="AB129:AC129" si="563">SUM(AB122:AB128)</f>
        <v>0</v>
      </c>
      <c r="AC129" s="733">
        <f t="shared" si="563"/>
        <v>0</v>
      </c>
      <c r="AD129" s="733">
        <f t="shared" ref="AD129:AL129" si="564">SUM(AD122:AD128)</f>
        <v>0</v>
      </c>
      <c r="AE129" s="733">
        <f t="shared" ref="AE129:AF129" si="565">SUM(AE122:AE128)</f>
        <v>0</v>
      </c>
      <c r="AF129" s="733">
        <f t="shared" si="565"/>
        <v>0</v>
      </c>
      <c r="AG129" s="733">
        <f t="shared" ref="AG129:AK129" si="566">SUM(AG122:AG128)</f>
        <v>0</v>
      </c>
      <c r="AH129" s="733">
        <f t="shared" ref="AH129" si="567">SUM(AH122:AH128)</f>
        <v>0</v>
      </c>
      <c r="AI129" s="733">
        <f t="shared" si="566"/>
        <v>0</v>
      </c>
      <c r="AJ129" s="733">
        <f t="shared" si="566"/>
        <v>0</v>
      </c>
      <c r="AK129" s="733">
        <f t="shared" si="566"/>
        <v>0</v>
      </c>
      <c r="AL129" s="733">
        <f t="shared" si="564"/>
        <v>0</v>
      </c>
      <c r="AM129" s="1023">
        <f t="shared" ref="AM129:AO129" si="568">SUM(AM122:AM128)</f>
        <v>0</v>
      </c>
      <c r="AN129" s="984">
        <f t="shared" ref="AN129" si="569">SUM(AN122:AN128)</f>
        <v>1815.6480191120843</v>
      </c>
      <c r="AO129" s="783">
        <f t="shared" si="568"/>
        <v>0</v>
      </c>
      <c r="AP129" s="784">
        <f>SUM(AP122:AP128)</f>
        <v>766.34999999999991</v>
      </c>
      <c r="AQ129" s="785">
        <f t="shared" ref="AQ129:AR129" si="570">SUM(AQ122:AQ128)</f>
        <v>0</v>
      </c>
      <c r="AR129" s="786">
        <f t="shared" si="570"/>
        <v>0</v>
      </c>
      <c r="AS129" s="985">
        <f t="shared" ref="AS129:AX129" si="571">SUM(AS122:AS128)</f>
        <v>0</v>
      </c>
      <c r="AT129" s="937">
        <f t="shared" ref="AT129:AU129" si="572">SUM(AT122:AT128)</f>
        <v>0</v>
      </c>
      <c r="AU129" s="860">
        <f t="shared" si="572"/>
        <v>0</v>
      </c>
      <c r="AV129" s="860">
        <f t="shared" si="571"/>
        <v>0</v>
      </c>
      <c r="AW129" s="861">
        <f t="shared" si="571"/>
        <v>0</v>
      </c>
      <c r="AX129" s="938">
        <f t="shared" si="571"/>
        <v>0</v>
      </c>
      <c r="AY129" s="907">
        <f t="shared" ref="AY129:AZ129" si="573">SUM(AY122:AY128)</f>
        <v>0</v>
      </c>
      <c r="AZ129" s="586">
        <f t="shared" si="573"/>
        <v>0</v>
      </c>
      <c r="BA129" s="147">
        <f>SUM(BA122:BA128)</f>
        <v>37985.789368903039</v>
      </c>
      <c r="BB129" s="155">
        <f>AR129+AO129+AL129+AI129+AF129+AB129+AD129+Z129+W129+S129+P129+M129+J129+G129+D129</f>
        <v>0</v>
      </c>
      <c r="BC129" s="1265">
        <f>SUM(BC122:BC128)</f>
        <v>81218.450000000012</v>
      </c>
      <c r="BD129" s="188">
        <v>3239</v>
      </c>
      <c r="BE129" s="131"/>
    </row>
    <row r="130" spans="1:148" s="2" customFormat="1" ht="15.75" thickBot="1" x14ac:dyDescent="0.3">
      <c r="A130" s="204">
        <v>323</v>
      </c>
      <c r="B130" s="340" t="s">
        <v>90</v>
      </c>
      <c r="C130" s="664">
        <f>C92+C96+C101+C106+C109+C112+C117+C121+C129</f>
        <v>8153.5430353706288</v>
      </c>
      <c r="D130" s="660">
        <v>10000</v>
      </c>
      <c r="E130" s="661">
        <f>E92+E96+E101+E106+E109+E112+E117+E121+E129</f>
        <v>5771.19</v>
      </c>
      <c r="F130" s="663">
        <f>F92+F96+F101+F106+F109+F112+F117+F121+F129</f>
        <v>654.54509257415873</v>
      </c>
      <c r="G130" s="662">
        <v>1065</v>
      </c>
      <c r="H130" s="661">
        <f>H92+H96+H101+H106+H109+H112+H117+H121+H129</f>
        <v>1038.53</v>
      </c>
      <c r="I130" s="663">
        <f>I92+I96+I101+I106+I109+I112+I117+I121+I129</f>
        <v>30685.277058862561</v>
      </c>
      <c r="J130" s="661">
        <v>25500</v>
      </c>
      <c r="K130" s="1068">
        <f>K92+K96+K101+K106+K109+K112+K117+K121+K129</f>
        <v>27656.29</v>
      </c>
      <c r="L130" s="1097">
        <f>L92+L96+L101+L106+L109+L112+L117+L121+L129</f>
        <v>11285.971199150572</v>
      </c>
      <c r="M130" s="395">
        <v>18345</v>
      </c>
      <c r="N130" s="396">
        <f>N92+N96+N101+N106+N109+N112+N117+N121+N129</f>
        <v>17907.21</v>
      </c>
      <c r="O130" s="396">
        <f>O92+O96+O101+O106+O109+O112+O117+O121+O129</f>
        <v>168718.85062047909</v>
      </c>
      <c r="P130" s="396">
        <v>144500</v>
      </c>
      <c r="Q130" s="396">
        <f>Q92+Q96+Q101+Q106+Q109+Q112+Q117+Q121+Q129</f>
        <v>156719.01</v>
      </c>
      <c r="R130" s="396">
        <f>R92+R96+R101+R106+R109+R112+R117+R121+R129</f>
        <v>0</v>
      </c>
      <c r="S130" s="396">
        <f>11500+6200+17000</f>
        <v>34700</v>
      </c>
      <c r="T130" s="396">
        <f t="shared" ref="T130" si="574">T92+T96+T101+T106+T109+T112+T117+T121+T129</f>
        <v>11337.46</v>
      </c>
      <c r="U130" s="1098">
        <f t="shared" ref="U130" si="575">U92+U96+U101+U106+U109+U112+U117+U121+U129</f>
        <v>6597.57</v>
      </c>
      <c r="V130" s="1041">
        <f>V92+V96+V101+V106+V109+V112+V117+V121+V129</f>
        <v>25259.1545557104</v>
      </c>
      <c r="W130" s="755">
        <v>31831</v>
      </c>
      <c r="X130" s="756">
        <f>X92+X96+X101+X106+X109+X112+X117+X121+X129</f>
        <v>32197.859999999997</v>
      </c>
      <c r="Y130" s="756">
        <f>Y92+Y96+Y101+Y106+Y109+Y112+Y117+Y121+Y129</f>
        <v>654.54641980224289</v>
      </c>
      <c r="Z130" s="756">
        <v>8390</v>
      </c>
      <c r="AA130" s="756">
        <f t="shared" ref="AA130:AB130" si="576">AA92+AA96+AA101+AA106+AA109+AA112+AA117+AA121+AA129</f>
        <v>8362.82</v>
      </c>
      <c r="AB130" s="756">
        <f t="shared" si="576"/>
        <v>0</v>
      </c>
      <c r="AC130" s="756">
        <f t="shared" ref="AC130" si="577">AC92+AC96+AC101+AC106+AC109+AC112+AC117+AC121+AC129</f>
        <v>0</v>
      </c>
      <c r="AD130" s="756">
        <f t="shared" ref="AD130:AL130" si="578">AD92+AD96+AD101+AD106+AD109+AD112+AD117+AD121+AD129</f>
        <v>0</v>
      </c>
      <c r="AE130" s="756">
        <f t="shared" ref="AE130:AF130" si="579">AE92+AE96+AE101+AE106+AE109+AE112+AE117+AE121+AE129</f>
        <v>0</v>
      </c>
      <c r="AF130" s="756">
        <f t="shared" si="579"/>
        <v>0</v>
      </c>
      <c r="AG130" s="756">
        <f t="shared" ref="AG130:AK130" si="580">AG92+AG96+AG101+AG106+AG109+AG112+AG117+AG121+AG129</f>
        <v>0</v>
      </c>
      <c r="AH130" s="756">
        <f t="shared" si="580"/>
        <v>232.26491472559559</v>
      </c>
      <c r="AI130" s="756">
        <v>500</v>
      </c>
      <c r="AJ130" s="756">
        <f t="shared" si="580"/>
        <v>349.4</v>
      </c>
      <c r="AK130" s="756">
        <f t="shared" si="580"/>
        <v>0</v>
      </c>
      <c r="AL130" s="756">
        <f t="shared" si="578"/>
        <v>0</v>
      </c>
      <c r="AM130" s="1042">
        <f t="shared" ref="AM130" si="581">AM92+AM96+AM101+AM106+AM109+AM112+AM117+AM121+AM129</f>
        <v>0</v>
      </c>
      <c r="AN130" s="1003">
        <f>AN92+AN96+AN101+AN106+AN109+AN112+AN117+AN121+AN129</f>
        <v>6311.0757183622009</v>
      </c>
      <c r="AO130" s="823">
        <v>6530</v>
      </c>
      <c r="AP130" s="824">
        <f>AP92+AP96+AP101+AP106+AP109+AP112+AP117+AP121+AP129</f>
        <v>3098.68</v>
      </c>
      <c r="AQ130" s="799">
        <f>AQ92+AQ96+AQ101+AQ106+AQ109+AQ112+AQ117+AQ121+AQ129</f>
        <v>0</v>
      </c>
      <c r="AR130" s="800">
        <f>AR92+AR96+AR101+AR106+AR109+AR112+AR117+AR121+AR129</f>
        <v>0</v>
      </c>
      <c r="AS130" s="991">
        <f>AS92+AS96+AS101+AS106+AS109+AS112+AS117+AS121+AS129</f>
        <v>0</v>
      </c>
      <c r="AT130" s="960">
        <f t="shared" ref="AT130:AV130" si="582">AT92+AT96+AT101+AT106+AT109+AT112+AT117+AT121+AT129</f>
        <v>0</v>
      </c>
      <c r="AU130" s="882">
        <f t="shared" si="582"/>
        <v>0</v>
      </c>
      <c r="AV130" s="882">
        <f t="shared" si="582"/>
        <v>0</v>
      </c>
      <c r="AW130" s="882">
        <f>AW92+AW96+AW101+AW106+AW109+AW112+AW117+AW121+AW129</f>
        <v>0</v>
      </c>
      <c r="AX130" s="948">
        <f>AX92+AX96+AX101+AX106+AX109+AX112+AX117+AX121+AX129</f>
        <v>0</v>
      </c>
      <c r="AY130" s="921">
        <f>AY92+AY96+AY101+AY106+AY109+AY112+AY117+AY121+AY129</f>
        <v>0</v>
      </c>
      <c r="AZ130" s="593">
        <f>AZ92+AZ96+AZ101+AZ106+AZ109+AZ112+AZ117+AZ121+AZ129</f>
        <v>0</v>
      </c>
      <c r="BA130" s="163">
        <f>BA129+BA121+BA117+BA112+BA109+BA106+BA101+BA96+BA92</f>
        <v>251955.22861503749</v>
      </c>
      <c r="BB130" s="162">
        <f>AR130+AO130+AL130+AI130+AF130+AB130+AD130+Z130+W130+S130+P130+M130+J130+G130+D130+AU130</f>
        <v>281361</v>
      </c>
      <c r="BC130" s="1275">
        <f>BC129+BC121+BC117+BC112+BC109+BC106+BC101+BC96+BC92</f>
        <v>271036.02</v>
      </c>
      <c r="BD130" s="346">
        <v>323</v>
      </c>
      <c r="BE130" s="132"/>
      <c r="BF130" s="610"/>
      <c r="BG130" s="610"/>
      <c r="BH130" s="610"/>
      <c r="BI130" s="1655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</row>
    <row r="131" spans="1:148" ht="15.75" thickTop="1" x14ac:dyDescent="0.25">
      <c r="A131" s="171">
        <v>324111</v>
      </c>
      <c r="B131" s="172" t="s">
        <v>91</v>
      </c>
      <c r="C131" s="671"/>
      <c r="D131" s="671"/>
      <c r="E131" s="672"/>
      <c r="F131" s="673"/>
      <c r="G131" s="673"/>
      <c r="H131" s="672"/>
      <c r="I131" s="672"/>
      <c r="J131" s="672"/>
      <c r="K131" s="1071"/>
      <c r="L131" s="1103"/>
      <c r="M131" s="398"/>
      <c r="N131" s="713"/>
      <c r="O131" s="713"/>
      <c r="P131" s="713"/>
      <c r="Q131" s="713"/>
      <c r="R131" s="713"/>
      <c r="S131" s="713"/>
      <c r="T131" s="713"/>
      <c r="U131" s="1104"/>
      <c r="V131" s="1030"/>
      <c r="W131" s="742"/>
      <c r="X131" s="760"/>
      <c r="Y131" s="743"/>
      <c r="Z131" s="743"/>
      <c r="AA131" s="760"/>
      <c r="AB131" s="743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1045"/>
      <c r="AN131" s="1007"/>
      <c r="AO131" s="831"/>
      <c r="AP131" s="832"/>
      <c r="AQ131" s="833"/>
      <c r="AR131" s="834"/>
      <c r="AS131" s="1008"/>
      <c r="AT131" s="964"/>
      <c r="AU131" s="885"/>
      <c r="AV131" s="885"/>
      <c r="AW131" s="886"/>
      <c r="AX131" s="965"/>
      <c r="AY131" s="923"/>
      <c r="AZ131" s="604"/>
      <c r="BA131" s="136">
        <f t="shared" ref="BA131:BA147" si="583">AQ131+AN131+AK131+AH131+AC131+Y131+V131+R131+O131+L131+I131+F131+C131+AT131</f>
        <v>0</v>
      </c>
      <c r="BB131" s="166"/>
      <c r="BC131" s="1276">
        <f>AS131+AP131+AM131+AJ131+AG131+AE131+AC131+AA131+X131+U131+T131+Q131+N131+K131+H131+E131</f>
        <v>0</v>
      </c>
      <c r="BD131" s="191">
        <v>324111</v>
      </c>
      <c r="BE131" s="34"/>
    </row>
    <row r="132" spans="1:148" ht="15.75" thickBot="1" x14ac:dyDescent="0.3">
      <c r="A132" s="46">
        <v>324121</v>
      </c>
      <c r="B132" s="29" t="s">
        <v>92</v>
      </c>
      <c r="C132" s="618"/>
      <c r="D132" s="618"/>
      <c r="E132" s="657"/>
      <c r="F132" s="620"/>
      <c r="G132" s="620"/>
      <c r="H132" s="657"/>
      <c r="I132" s="619"/>
      <c r="J132" s="619"/>
      <c r="K132" s="1067"/>
      <c r="L132" s="1077"/>
      <c r="M132" s="379"/>
      <c r="N132" s="709"/>
      <c r="O132" s="700"/>
      <c r="P132" s="700"/>
      <c r="Q132" s="709"/>
      <c r="R132" s="700"/>
      <c r="S132" s="700"/>
      <c r="T132" s="709"/>
      <c r="U132" s="1096"/>
      <c r="V132" s="1021"/>
      <c r="W132" s="730"/>
      <c r="X132" s="752"/>
      <c r="Y132" s="731"/>
      <c r="Z132" s="731"/>
      <c r="AA132" s="752"/>
      <c r="AB132" s="731"/>
      <c r="AC132" s="752"/>
      <c r="AD132" s="731"/>
      <c r="AE132" s="752"/>
      <c r="AF132" s="731"/>
      <c r="AG132" s="752"/>
      <c r="AH132" s="731"/>
      <c r="AI132" s="731"/>
      <c r="AJ132" s="752"/>
      <c r="AK132" s="731"/>
      <c r="AL132" s="731"/>
      <c r="AM132" s="1038"/>
      <c r="AN132" s="983"/>
      <c r="AO132" s="780"/>
      <c r="AP132" s="818"/>
      <c r="AQ132" s="781"/>
      <c r="AR132" s="782"/>
      <c r="AS132" s="1001"/>
      <c r="AT132" s="936"/>
      <c r="AU132" s="859"/>
      <c r="AV132" s="877"/>
      <c r="AW132" s="878"/>
      <c r="AX132" s="956"/>
      <c r="AY132" s="906"/>
      <c r="AZ132" s="601"/>
      <c r="BA132" s="136">
        <f t="shared" si="583"/>
        <v>0</v>
      </c>
      <c r="BB132" s="144"/>
      <c r="BC132" s="1263">
        <f>AS132+AP132+AM132+AJ132+AG132+AE132+AC132+AA132+X132+U132+T132+Q132+N132+K132+H132+E132</f>
        <v>0</v>
      </c>
      <c r="BD132" s="187">
        <v>324121</v>
      </c>
      <c r="BE132" s="34"/>
      <c r="BF132" s="1650"/>
    </row>
    <row r="133" spans="1:148" s="2" customFormat="1" ht="15.75" thickBot="1" x14ac:dyDescent="0.3">
      <c r="A133" s="204">
        <v>324</v>
      </c>
      <c r="B133" s="340" t="s">
        <v>93</v>
      </c>
      <c r="C133" s="634">
        <f t="shared" ref="C133" si="584">C131+C132</f>
        <v>0</v>
      </c>
      <c r="D133" s="634">
        <f t="shared" ref="D133:K133" si="585">D131+D132</f>
        <v>0</v>
      </c>
      <c r="E133" s="635">
        <f t="shared" si="585"/>
        <v>0</v>
      </c>
      <c r="F133" s="636">
        <f t="shared" ref="F133" si="586">F131+F132</f>
        <v>0</v>
      </c>
      <c r="G133" s="636">
        <f t="shared" si="585"/>
        <v>0</v>
      </c>
      <c r="H133" s="635">
        <f t="shared" si="585"/>
        <v>0</v>
      </c>
      <c r="I133" s="635">
        <f t="shared" ref="I133" si="587">I131+I132</f>
        <v>0</v>
      </c>
      <c r="J133" s="635">
        <f t="shared" si="585"/>
        <v>0</v>
      </c>
      <c r="K133" s="1063">
        <f t="shared" si="585"/>
        <v>0</v>
      </c>
      <c r="L133" s="1084"/>
      <c r="M133" s="386"/>
      <c r="N133" s="387"/>
      <c r="O133" s="387">
        <f t="shared" ref="O133" si="588">O131+O132</f>
        <v>0</v>
      </c>
      <c r="P133" s="387">
        <f t="shared" ref="P133:Q133" si="589">P131+P132</f>
        <v>0</v>
      </c>
      <c r="Q133" s="387">
        <f t="shared" si="589"/>
        <v>0</v>
      </c>
      <c r="R133" s="387">
        <f>R131+R132</f>
        <v>0</v>
      </c>
      <c r="S133" s="387">
        <f>S131+S132</f>
        <v>0</v>
      </c>
      <c r="T133" s="387">
        <f>T131+T132</f>
        <v>0</v>
      </c>
      <c r="U133" s="1085">
        <f>U131+U132</f>
        <v>0</v>
      </c>
      <c r="V133" s="1028"/>
      <c r="W133" s="740">
        <v>0</v>
      </c>
      <c r="X133" s="741">
        <f t="shared" ref="X133:Y133" si="590">X131+X132</f>
        <v>0</v>
      </c>
      <c r="Y133" s="741">
        <f t="shared" si="590"/>
        <v>0</v>
      </c>
      <c r="Z133" s="741">
        <f t="shared" ref="Z133:AA133" si="591">Z131+Z132</f>
        <v>0</v>
      </c>
      <c r="AA133" s="741">
        <f t="shared" si="591"/>
        <v>0</v>
      </c>
      <c r="AB133" s="741">
        <f t="shared" ref="AB133:AC133" si="592">AB131+AB132</f>
        <v>0</v>
      </c>
      <c r="AC133" s="741">
        <f t="shared" si="592"/>
        <v>0</v>
      </c>
      <c r="AD133" s="741">
        <f t="shared" ref="AD133:AL133" si="593">AD131+AD132</f>
        <v>0</v>
      </c>
      <c r="AE133" s="741">
        <f t="shared" ref="AE133:AF133" si="594">AE131+AE132</f>
        <v>0</v>
      </c>
      <c r="AF133" s="741">
        <f t="shared" si="594"/>
        <v>0</v>
      </c>
      <c r="AG133" s="741">
        <f t="shared" ref="AG133:AK133" si="595">AG131+AG132</f>
        <v>0</v>
      </c>
      <c r="AH133" s="741">
        <f t="shared" ref="AH133" si="596">AH131+AH132</f>
        <v>0</v>
      </c>
      <c r="AI133" s="741">
        <f t="shared" si="595"/>
        <v>0</v>
      </c>
      <c r="AJ133" s="741">
        <f t="shared" si="595"/>
        <v>0</v>
      </c>
      <c r="AK133" s="741">
        <f t="shared" si="595"/>
        <v>0</v>
      </c>
      <c r="AL133" s="741">
        <f t="shared" si="593"/>
        <v>0</v>
      </c>
      <c r="AM133" s="1029">
        <f t="shared" ref="AM133" si="597">AM131+AM132</f>
        <v>0</v>
      </c>
      <c r="AN133" s="990"/>
      <c r="AO133" s="797">
        <v>0</v>
      </c>
      <c r="AP133" s="798">
        <f t="shared" ref="AP133:AR133" si="598">AP131+AP132</f>
        <v>0</v>
      </c>
      <c r="AQ133" s="799">
        <f t="shared" ref="AQ133" si="599">AQ131+AQ132</f>
        <v>0</v>
      </c>
      <c r="AR133" s="800">
        <f t="shared" si="598"/>
        <v>0</v>
      </c>
      <c r="AS133" s="991">
        <f t="shared" ref="AS133" si="600">AS131+AS132</f>
        <v>0</v>
      </c>
      <c r="AT133" s="947"/>
      <c r="AU133" s="869"/>
      <c r="AV133" s="869"/>
      <c r="AW133" s="870">
        <f t="shared" ref="AW133:AX133" si="601">AW131+AW132</f>
        <v>0</v>
      </c>
      <c r="AX133" s="948">
        <f t="shared" si="601"/>
        <v>0</v>
      </c>
      <c r="AY133" s="913">
        <f t="shared" ref="AY133:AZ133" si="602">AY131+AY132</f>
        <v>0</v>
      </c>
      <c r="AZ133" s="593">
        <f t="shared" si="602"/>
        <v>0</v>
      </c>
      <c r="BA133" s="482">
        <f>SUM(BA131:BA132)</f>
        <v>0</v>
      </c>
      <c r="BB133" s="162">
        <f>AR133+AO133+AL133+AI133+AF133+AB133+AD133+Z133+W133+S133+P133+M133+J133+G133+D133+AU133</f>
        <v>0</v>
      </c>
      <c r="BC133" s="1266"/>
      <c r="BD133" s="346">
        <v>324</v>
      </c>
      <c r="BE133" s="182"/>
      <c r="BF133" s="610"/>
      <c r="BG133" s="610"/>
      <c r="BH133" s="610"/>
      <c r="BI133" s="1655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</row>
    <row r="134" spans="1:148" s="6" customFormat="1" ht="16.5" thickTop="1" thickBot="1" x14ac:dyDescent="0.3">
      <c r="A134" s="277">
        <v>329231</v>
      </c>
      <c r="B134" s="289" t="s">
        <v>95</v>
      </c>
      <c r="C134" s="674"/>
      <c r="D134" s="674"/>
      <c r="E134" s="689"/>
      <c r="F134" s="676"/>
      <c r="G134" s="676"/>
      <c r="H134" s="689"/>
      <c r="I134" s="675"/>
      <c r="J134" s="675"/>
      <c r="K134" s="1073"/>
      <c r="L134" s="1105"/>
      <c r="M134" s="399"/>
      <c r="N134" s="724"/>
      <c r="O134" s="714"/>
      <c r="P134" s="714"/>
      <c r="Q134" s="724"/>
      <c r="R134" s="714"/>
      <c r="S134" s="714"/>
      <c r="T134" s="724">
        <v>270.87</v>
      </c>
      <c r="U134" s="1119"/>
      <c r="V134" s="1046"/>
      <c r="W134" s="761"/>
      <c r="X134" s="772"/>
      <c r="Y134" s="762"/>
      <c r="Z134" s="762"/>
      <c r="AA134" s="772"/>
      <c r="AB134" s="762"/>
      <c r="AC134" s="772">
        <v>1157.26</v>
      </c>
      <c r="AD134" s="762"/>
      <c r="AE134" s="772"/>
      <c r="AF134" s="762"/>
      <c r="AG134" s="772"/>
      <c r="AH134" s="762"/>
      <c r="AI134" s="762"/>
      <c r="AJ134" s="772"/>
      <c r="AK134" s="762"/>
      <c r="AL134" s="762"/>
      <c r="AM134" s="1054"/>
      <c r="AN134" s="1009">
        <f>7540/7.5345</f>
        <v>1000.7299754462804</v>
      </c>
      <c r="AO134" s="835"/>
      <c r="AP134" s="850">
        <v>1218</v>
      </c>
      <c r="AQ134" s="836"/>
      <c r="AR134" s="837"/>
      <c r="AS134" s="1016"/>
      <c r="AT134" s="966"/>
      <c r="AU134" s="887"/>
      <c r="AV134" s="895"/>
      <c r="AW134" s="896"/>
      <c r="AX134" s="974"/>
      <c r="AY134" s="924"/>
      <c r="AZ134" s="606"/>
      <c r="BA134" s="137">
        <f t="shared" ref="BA134" si="603">AQ134+AN134+AK134+AH134+Y134+V134+R134+O134+L134+I134+F134+C134+AT134</f>
        <v>1000.7299754462804</v>
      </c>
      <c r="BB134" s="167"/>
      <c r="BC134" s="1279">
        <f>AS134+AP134+AM134+AJ134+AG134+AE134+AC134+AA134+X134+U134+T134+Q134+N134+K134+H134+E134</f>
        <v>2646.13</v>
      </c>
      <c r="BD134" s="352">
        <v>329231</v>
      </c>
      <c r="BE134" s="34"/>
      <c r="BF134" s="610"/>
      <c r="BG134" s="610"/>
      <c r="BH134" s="610"/>
      <c r="BI134" s="1656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</row>
    <row r="135" spans="1:148" s="2" customFormat="1" ht="15.75" thickBot="1" x14ac:dyDescent="0.3">
      <c r="A135" s="76">
        <v>3292</v>
      </c>
      <c r="B135" s="81" t="s">
        <v>96</v>
      </c>
      <c r="C135" s="621">
        <f t="shared" ref="C135" si="604">C134</f>
        <v>0</v>
      </c>
      <c r="D135" s="621">
        <f t="shared" ref="D135:Z135" si="605">D134</f>
        <v>0</v>
      </c>
      <c r="E135" s="622">
        <f t="shared" ref="E135:L135" si="606">E134</f>
        <v>0</v>
      </c>
      <c r="F135" s="623">
        <f t="shared" ref="F135" si="607">F134</f>
        <v>0</v>
      </c>
      <c r="G135" s="623">
        <f t="shared" si="606"/>
        <v>0</v>
      </c>
      <c r="H135" s="622">
        <f t="shared" si="606"/>
        <v>0</v>
      </c>
      <c r="I135" s="622">
        <f t="shared" ref="I135" si="608">I134</f>
        <v>0</v>
      </c>
      <c r="J135" s="622">
        <f t="shared" si="606"/>
        <v>0</v>
      </c>
      <c r="K135" s="1060">
        <f t="shared" si="606"/>
        <v>0</v>
      </c>
      <c r="L135" s="1078">
        <f t="shared" si="606"/>
        <v>0</v>
      </c>
      <c r="M135" s="381">
        <f t="shared" ref="M135:R135" si="609">M134</f>
        <v>0</v>
      </c>
      <c r="N135" s="382">
        <f t="shared" si="609"/>
        <v>0</v>
      </c>
      <c r="O135" s="382">
        <f t="shared" ref="O135" si="610">O134</f>
        <v>0</v>
      </c>
      <c r="P135" s="382">
        <f t="shared" si="609"/>
        <v>0</v>
      </c>
      <c r="Q135" s="382">
        <f t="shared" si="609"/>
        <v>0</v>
      </c>
      <c r="R135" s="382">
        <f t="shared" si="609"/>
        <v>0</v>
      </c>
      <c r="S135" s="382">
        <f t="shared" si="605"/>
        <v>0</v>
      </c>
      <c r="T135" s="382">
        <f t="shared" ref="T135" si="611">T134</f>
        <v>270.87</v>
      </c>
      <c r="U135" s="1079">
        <f t="shared" si="605"/>
        <v>0</v>
      </c>
      <c r="V135" s="1022">
        <f t="shared" ref="V135" si="612">V134</f>
        <v>0</v>
      </c>
      <c r="W135" s="732">
        <f t="shared" si="605"/>
        <v>0</v>
      </c>
      <c r="X135" s="733">
        <f t="shared" ref="X135:Y135" si="613">X134</f>
        <v>0</v>
      </c>
      <c r="Y135" s="733">
        <f t="shared" si="613"/>
        <v>0</v>
      </c>
      <c r="Z135" s="733">
        <f t="shared" si="605"/>
        <v>0</v>
      </c>
      <c r="AA135" s="733">
        <f t="shared" ref="AA135:AB135" si="614">AA134</f>
        <v>0</v>
      </c>
      <c r="AB135" s="733">
        <f t="shared" si="614"/>
        <v>0</v>
      </c>
      <c r="AC135" s="733">
        <f t="shared" ref="AC135" si="615">AC134</f>
        <v>1157.26</v>
      </c>
      <c r="AD135" s="733">
        <f t="shared" ref="AD135:AL135" si="616">AD134</f>
        <v>0</v>
      </c>
      <c r="AE135" s="733">
        <f t="shared" ref="AE135:AF135" si="617">AE134</f>
        <v>0</v>
      </c>
      <c r="AF135" s="733">
        <f t="shared" si="617"/>
        <v>0</v>
      </c>
      <c r="AG135" s="733">
        <f t="shared" ref="AG135:AK135" si="618">AG134</f>
        <v>0</v>
      </c>
      <c r="AH135" s="733">
        <f t="shared" ref="AH135" si="619">AH134</f>
        <v>0</v>
      </c>
      <c r="AI135" s="733">
        <f t="shared" si="618"/>
        <v>0</v>
      </c>
      <c r="AJ135" s="733">
        <f t="shared" si="618"/>
        <v>0</v>
      </c>
      <c r="AK135" s="733">
        <f t="shared" si="618"/>
        <v>0</v>
      </c>
      <c r="AL135" s="733">
        <f t="shared" si="616"/>
        <v>0</v>
      </c>
      <c r="AM135" s="1023">
        <f t="shared" ref="AM135:AO135" si="620">AM134</f>
        <v>0</v>
      </c>
      <c r="AN135" s="984">
        <f t="shared" ref="AN135" si="621">AN134</f>
        <v>1000.7299754462804</v>
      </c>
      <c r="AO135" s="783">
        <f t="shared" si="620"/>
        <v>0</v>
      </c>
      <c r="AP135" s="784">
        <f>AP134</f>
        <v>1218</v>
      </c>
      <c r="AQ135" s="785">
        <f t="shared" ref="AQ135:AR135" si="622">AQ134</f>
        <v>0</v>
      </c>
      <c r="AR135" s="786">
        <f t="shared" si="622"/>
        <v>0</v>
      </c>
      <c r="AS135" s="985">
        <f t="shared" ref="AS135:AX135" si="623">AS134</f>
        <v>0</v>
      </c>
      <c r="AT135" s="937">
        <f t="shared" ref="AT135:AU135" si="624">AT134</f>
        <v>0</v>
      </c>
      <c r="AU135" s="860">
        <f t="shared" si="624"/>
        <v>0</v>
      </c>
      <c r="AV135" s="860">
        <f t="shared" si="623"/>
        <v>0</v>
      </c>
      <c r="AW135" s="861">
        <f t="shared" si="623"/>
        <v>0</v>
      </c>
      <c r="AX135" s="938">
        <f t="shared" si="623"/>
        <v>0</v>
      </c>
      <c r="AY135" s="907">
        <f t="shared" ref="AY135:AZ135" si="625">AY134</f>
        <v>0</v>
      </c>
      <c r="AZ135" s="586">
        <f t="shared" si="625"/>
        <v>0</v>
      </c>
      <c r="BA135" s="481">
        <f>SUM(BA134)</f>
        <v>1000.7299754462804</v>
      </c>
      <c r="BB135" s="155">
        <f>AR135+AO135+AL135+AI135+AF135+AB135+AD135+Z135+W135+S135+P135+M135+J135+G135+D135</f>
        <v>0</v>
      </c>
      <c r="BC135" s="1269">
        <f>SUM(BC134)</f>
        <v>2646.13</v>
      </c>
      <c r="BD135" s="188">
        <v>3292</v>
      </c>
      <c r="BE135" s="34"/>
      <c r="BF135" s="1650"/>
      <c r="BG135" s="610"/>
      <c r="BH135" s="610"/>
      <c r="BI135" s="1655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</row>
    <row r="136" spans="1:148" ht="15.75" thickBot="1" x14ac:dyDescent="0.3">
      <c r="A136" s="78">
        <v>329311</v>
      </c>
      <c r="B136" s="79" t="s">
        <v>94</v>
      </c>
      <c r="C136" s="628"/>
      <c r="D136" s="628"/>
      <c r="E136" s="1165"/>
      <c r="F136" s="630"/>
      <c r="G136" s="630"/>
      <c r="H136" s="1165">
        <v>41.38</v>
      </c>
      <c r="I136" s="629">
        <f>11181.55/7.5345</f>
        <v>1484.0467184285617</v>
      </c>
      <c r="J136" s="629"/>
      <c r="K136" s="1180">
        <f>33.6+149.31+149.31+149.31+179.18+33.6+74.66+74.66+199.08+298.63+199.08+33.6+179.18+78.39+28+626.12+74.66+78.39+149.31+78.39+179.18+74.66+74.66+626.12+313.06+412.1+149.31+626.12+74.66+74.66+313.06+179.18+74.66+74.66+78.39+78.39+74.66+28+149.31+149.31+313.06+28+5763.99</f>
        <v>12775.660000000002</v>
      </c>
      <c r="L136" s="1082"/>
      <c r="M136" s="384"/>
      <c r="N136" s="1188">
        <v>713.56</v>
      </c>
      <c r="O136" s="703">
        <f>63362.2/7.5345</f>
        <v>8409.6091313292181</v>
      </c>
      <c r="P136" s="703"/>
      <c r="Q136" s="1188">
        <f>444.21+1015.33+190.38+1128.15+1692.21+1128.15+423.05+423.05+190.38+1015.33+846.12+846.12+846.12+190.38+1015.32+1774+423.05+423.05+3548.01+846.12+2335.26+1774+3548.01+423.05+423.05+1015.33+444.21+846.12+444.21+423.05+3548.01+158.64+1774+846.12+846.12+158.64+423.05+444.21+444.21+423.05+423.05+158.64+32662.62</f>
        <v>72395.180000000008</v>
      </c>
      <c r="R136" s="703"/>
      <c r="S136" s="703"/>
      <c r="T136" s="1188"/>
      <c r="U136" s="1197"/>
      <c r="V136" s="1026">
        <f>2735.83/7.5345</f>
        <v>363.10704094498635</v>
      </c>
      <c r="W136" s="736"/>
      <c r="X136" s="1208">
        <f>37.79+46.74+39.7+46.74+8.28-8.28-131.27</f>
        <v>39.699999999999989</v>
      </c>
      <c r="Y136" s="737">
        <f>3000/7.5345</f>
        <v>398.16842524387812</v>
      </c>
      <c r="Z136" s="737"/>
      <c r="AA136" s="1208">
        <v>945.06</v>
      </c>
      <c r="AB136" s="737"/>
      <c r="AC136" s="1208"/>
      <c r="AD136" s="737"/>
      <c r="AE136" s="1208"/>
      <c r="AF136" s="737"/>
      <c r="AG136" s="1208"/>
      <c r="AH136" s="737"/>
      <c r="AI136" s="737"/>
      <c r="AJ136" s="1208"/>
      <c r="AK136" s="737"/>
      <c r="AL136" s="737"/>
      <c r="AM136" s="1216"/>
      <c r="AN136" s="988">
        <f>1342.5/7.5345</f>
        <v>178.18037029663546</v>
      </c>
      <c r="AO136" s="791"/>
      <c r="AP136" s="1222">
        <f>122.08+34.64+150+46.18-230.82+99</f>
        <v>221.08000000000004</v>
      </c>
      <c r="AQ136" s="792"/>
      <c r="AR136" s="793"/>
      <c r="AS136" s="996"/>
      <c r="AT136" s="941"/>
      <c r="AU136" s="864"/>
      <c r="AV136" s="1240"/>
      <c r="AW136" s="1241"/>
      <c r="AX136" s="951"/>
      <c r="AY136" s="909"/>
      <c r="AZ136" s="595"/>
      <c r="BA136" s="136">
        <f>AQ136+AN136+AK136+AH136+Y136+V136+R136+O136+L136+I136+F136+C136+AT136</f>
        <v>10833.111686243279</v>
      </c>
      <c r="BB136" s="148"/>
      <c r="BC136" s="1263">
        <f>AS136+AP136+AM136+AJ136+AG136+AE136+AC136+AA136+X136+U136+T136+Q136+N136+K136+H136+E136</f>
        <v>87131.62000000001</v>
      </c>
      <c r="BD136" s="189">
        <v>329311</v>
      </c>
      <c r="BE136" s="34"/>
      <c r="BF136" s="1651"/>
    </row>
    <row r="137" spans="1:148" ht="15.75" thickBot="1" x14ac:dyDescent="0.3">
      <c r="A137" s="76">
        <v>3293</v>
      </c>
      <c r="B137" s="81" t="s">
        <v>94</v>
      </c>
      <c r="C137" s="621">
        <f>C136</f>
        <v>0</v>
      </c>
      <c r="D137" s="621">
        <f>D136</f>
        <v>0</v>
      </c>
      <c r="E137" s="622">
        <f>E136</f>
        <v>0</v>
      </c>
      <c r="F137" s="623">
        <f t="shared" ref="F137" si="626">F136</f>
        <v>0</v>
      </c>
      <c r="G137" s="623">
        <f t="shared" ref="G137:J137" si="627">G136</f>
        <v>0</v>
      </c>
      <c r="H137" s="622">
        <f t="shared" si="627"/>
        <v>41.38</v>
      </c>
      <c r="I137" s="622">
        <f>I136</f>
        <v>1484.0467184285617</v>
      </c>
      <c r="J137" s="622">
        <f t="shared" si="627"/>
        <v>0</v>
      </c>
      <c r="K137" s="1060">
        <f>K136</f>
        <v>12775.660000000002</v>
      </c>
      <c r="L137" s="1078">
        <f>L136</f>
        <v>0</v>
      </c>
      <c r="M137" s="381">
        <f>M136</f>
        <v>0</v>
      </c>
      <c r="N137" s="382">
        <f>N136</f>
        <v>713.56</v>
      </c>
      <c r="O137" s="382">
        <f t="shared" ref="O137:P137" si="628">O136</f>
        <v>8409.6091313292181</v>
      </c>
      <c r="P137" s="382">
        <f t="shared" si="628"/>
        <v>0</v>
      </c>
      <c r="Q137" s="382">
        <f>Q136</f>
        <v>72395.180000000008</v>
      </c>
      <c r="R137" s="382">
        <f t="shared" ref="R137" si="629">R136</f>
        <v>0</v>
      </c>
      <c r="S137" s="382">
        <f t="shared" ref="S137:W137" si="630">S136</f>
        <v>0</v>
      </c>
      <c r="T137" s="382">
        <f t="shared" ref="T137" si="631">T136</f>
        <v>0</v>
      </c>
      <c r="U137" s="1079">
        <f t="shared" si="630"/>
        <v>0</v>
      </c>
      <c r="V137" s="1022">
        <f>V136</f>
        <v>363.10704094498635</v>
      </c>
      <c r="W137" s="732">
        <f t="shared" si="630"/>
        <v>0</v>
      </c>
      <c r="X137" s="733">
        <f t="shared" ref="X137:Y137" si="632">X136</f>
        <v>39.699999999999989</v>
      </c>
      <c r="Y137" s="733">
        <f t="shared" si="632"/>
        <v>398.16842524387812</v>
      </c>
      <c r="Z137" s="733">
        <f t="shared" ref="Z137:AA137" si="633">Z136</f>
        <v>0</v>
      </c>
      <c r="AA137" s="733">
        <f t="shared" si="633"/>
        <v>945.06</v>
      </c>
      <c r="AB137" s="733">
        <f t="shared" ref="AB137:AC137" si="634">AB136</f>
        <v>0</v>
      </c>
      <c r="AC137" s="733">
        <f t="shared" si="634"/>
        <v>0</v>
      </c>
      <c r="AD137" s="733">
        <f t="shared" ref="AD137:AL137" si="635">AD136</f>
        <v>0</v>
      </c>
      <c r="AE137" s="733">
        <f t="shared" ref="AE137:AF137" si="636">AE136</f>
        <v>0</v>
      </c>
      <c r="AF137" s="733">
        <f t="shared" si="636"/>
        <v>0</v>
      </c>
      <c r="AG137" s="733">
        <f t="shared" ref="AG137:AK137" si="637">AG136</f>
        <v>0</v>
      </c>
      <c r="AH137" s="733">
        <f t="shared" ref="AH137" si="638">AH136</f>
        <v>0</v>
      </c>
      <c r="AI137" s="733">
        <f t="shared" si="637"/>
        <v>0</v>
      </c>
      <c r="AJ137" s="733">
        <f t="shared" si="637"/>
        <v>0</v>
      </c>
      <c r="AK137" s="733">
        <f t="shared" si="637"/>
        <v>0</v>
      </c>
      <c r="AL137" s="733">
        <f t="shared" si="635"/>
        <v>0</v>
      </c>
      <c r="AM137" s="1023">
        <f t="shared" ref="AM137:AO137" si="639">AM136</f>
        <v>0</v>
      </c>
      <c r="AN137" s="984">
        <f t="shared" ref="AN137" si="640">AN136</f>
        <v>178.18037029663546</v>
      </c>
      <c r="AO137" s="783">
        <f t="shared" si="639"/>
        <v>0</v>
      </c>
      <c r="AP137" s="784">
        <f>AP136</f>
        <v>221.08000000000004</v>
      </c>
      <c r="AQ137" s="785">
        <f>AQ136</f>
        <v>0</v>
      </c>
      <c r="AR137" s="786">
        <f>AR136</f>
        <v>0</v>
      </c>
      <c r="AS137" s="985">
        <f>AS136</f>
        <v>0</v>
      </c>
      <c r="AT137" s="937">
        <f t="shared" ref="AT137:AU137" si="641">AT136</f>
        <v>0</v>
      </c>
      <c r="AU137" s="860">
        <f t="shared" si="641"/>
        <v>0</v>
      </c>
      <c r="AV137" s="860">
        <f t="shared" ref="AV137:AW137" si="642">AV136</f>
        <v>0</v>
      </c>
      <c r="AW137" s="861">
        <f t="shared" si="642"/>
        <v>0</v>
      </c>
      <c r="AX137" s="938">
        <f>AX136</f>
        <v>0</v>
      </c>
      <c r="AY137" s="907">
        <f t="shared" ref="AY137" si="643">AY136</f>
        <v>0</v>
      </c>
      <c r="AZ137" s="586">
        <f>AZ136</f>
        <v>0</v>
      </c>
      <c r="BA137" s="481">
        <f>SUM(BA136)</f>
        <v>10833.111686243279</v>
      </c>
      <c r="BB137" s="155">
        <f>AR137+AO137+AL137+AI137+AF137+AB137+AD137+Z137+W137+S137+P137+M137+J137+G137+D137</f>
        <v>0</v>
      </c>
      <c r="BC137" s="1265">
        <f>SUM(BC136)</f>
        <v>87131.62000000001</v>
      </c>
      <c r="BD137" s="188">
        <v>3293</v>
      </c>
      <c r="BE137" s="131"/>
      <c r="BF137" s="1650"/>
    </row>
    <row r="138" spans="1:148" ht="15.75" thickBot="1" x14ac:dyDescent="0.3">
      <c r="A138" s="78">
        <v>329411</v>
      </c>
      <c r="B138" s="79" t="s">
        <v>97</v>
      </c>
      <c r="C138" s="628"/>
      <c r="D138" s="628"/>
      <c r="E138" s="1165"/>
      <c r="F138" s="630"/>
      <c r="G138" s="630"/>
      <c r="H138" s="1165"/>
      <c r="I138" s="629"/>
      <c r="J138" s="629"/>
      <c r="K138" s="1180"/>
      <c r="L138" s="1082"/>
      <c r="M138" s="384"/>
      <c r="N138" s="1188"/>
      <c r="O138" s="703"/>
      <c r="P138" s="703"/>
      <c r="Q138" s="1188"/>
      <c r="R138" s="703"/>
      <c r="S138" s="703"/>
      <c r="T138" s="1188"/>
      <c r="U138" s="1197"/>
      <c r="V138" s="1026">
        <f>250/7.5345</f>
        <v>33.180702103656515</v>
      </c>
      <c r="W138" s="736"/>
      <c r="X138" s="1208">
        <v>35</v>
      </c>
      <c r="Y138" s="737"/>
      <c r="Z138" s="737"/>
      <c r="AA138" s="1208"/>
      <c r="AB138" s="737"/>
      <c r="AC138" s="1208"/>
      <c r="AD138" s="737"/>
      <c r="AE138" s="1208"/>
      <c r="AF138" s="737"/>
      <c r="AG138" s="1208"/>
      <c r="AH138" s="737"/>
      <c r="AI138" s="737"/>
      <c r="AJ138" s="1208"/>
      <c r="AK138" s="737"/>
      <c r="AL138" s="737"/>
      <c r="AM138" s="1216"/>
      <c r="AN138" s="988">
        <f>4000/7.5345</f>
        <v>530.89123365850423</v>
      </c>
      <c r="AO138" s="791"/>
      <c r="AP138" s="1222">
        <v>530.89</v>
      </c>
      <c r="AQ138" s="792"/>
      <c r="AR138" s="793"/>
      <c r="AS138" s="996"/>
      <c r="AT138" s="941"/>
      <c r="AU138" s="864"/>
      <c r="AV138" s="1240"/>
      <c r="AW138" s="1241"/>
      <c r="AX138" s="951"/>
      <c r="AY138" s="909"/>
      <c r="AZ138" s="595"/>
      <c r="BA138" s="136">
        <f>AQ138+AN138+AK138+AH138+Y138+V138+R138+O138+L138+I138+F138+C138+AT138</f>
        <v>564.07193576216071</v>
      </c>
      <c r="BB138" s="148"/>
      <c r="BC138" s="1263">
        <f>AS138+AP138+AM138+AJ138+AG138+AE138+AC138+AA138+X138+U138+T138+Q138+N138+K138+H138+E138</f>
        <v>565.89</v>
      </c>
      <c r="BD138" s="189">
        <v>329411</v>
      </c>
      <c r="BE138" s="34"/>
    </row>
    <row r="139" spans="1:148" s="2" customFormat="1" ht="15.75" thickBot="1" x14ac:dyDescent="0.3">
      <c r="A139" s="76">
        <v>3294</v>
      </c>
      <c r="B139" s="81" t="s">
        <v>98</v>
      </c>
      <c r="C139" s="621">
        <f>C138</f>
        <v>0</v>
      </c>
      <c r="D139" s="621">
        <f>D138</f>
        <v>0</v>
      </c>
      <c r="E139" s="622">
        <f>E138</f>
        <v>0</v>
      </c>
      <c r="F139" s="623">
        <f t="shared" ref="F139" si="644">F138</f>
        <v>0</v>
      </c>
      <c r="G139" s="623">
        <f t="shared" ref="G139:K139" si="645">G138</f>
        <v>0</v>
      </c>
      <c r="H139" s="622">
        <f t="shared" si="645"/>
        <v>0</v>
      </c>
      <c r="I139" s="622">
        <f t="shared" ref="I139" si="646">I138</f>
        <v>0</v>
      </c>
      <c r="J139" s="622">
        <f t="shared" si="645"/>
        <v>0</v>
      </c>
      <c r="K139" s="1060">
        <f t="shared" si="645"/>
        <v>0</v>
      </c>
      <c r="L139" s="1078">
        <f>L138</f>
        <v>0</v>
      </c>
      <c r="M139" s="381">
        <f>M138</f>
        <v>0</v>
      </c>
      <c r="N139" s="382">
        <f>N138</f>
        <v>0</v>
      </c>
      <c r="O139" s="382">
        <f t="shared" ref="O139" si="647">O138</f>
        <v>0</v>
      </c>
      <c r="P139" s="382">
        <f t="shared" ref="P139:R139" si="648">P138</f>
        <v>0</v>
      </c>
      <c r="Q139" s="382">
        <f t="shared" si="648"/>
        <v>0</v>
      </c>
      <c r="R139" s="382">
        <f t="shared" si="648"/>
        <v>0</v>
      </c>
      <c r="S139" s="382">
        <f t="shared" ref="S139:W139" si="649">S138</f>
        <v>0</v>
      </c>
      <c r="T139" s="382">
        <f t="shared" ref="T139" si="650">T138</f>
        <v>0</v>
      </c>
      <c r="U139" s="1079">
        <f t="shared" si="649"/>
        <v>0</v>
      </c>
      <c r="V139" s="1022">
        <f>V138</f>
        <v>33.180702103656515</v>
      </c>
      <c r="W139" s="732">
        <f t="shared" si="649"/>
        <v>0</v>
      </c>
      <c r="X139" s="733">
        <f>X138</f>
        <v>35</v>
      </c>
      <c r="Y139" s="733">
        <f t="shared" ref="Y139" si="651">Y138</f>
        <v>0</v>
      </c>
      <c r="Z139" s="733">
        <f t="shared" ref="Z139:AA139" si="652">Z138</f>
        <v>0</v>
      </c>
      <c r="AA139" s="733">
        <f t="shared" si="652"/>
        <v>0</v>
      </c>
      <c r="AB139" s="733">
        <f t="shared" ref="AB139:AC139" si="653">AB138</f>
        <v>0</v>
      </c>
      <c r="AC139" s="733">
        <f t="shared" si="653"/>
        <v>0</v>
      </c>
      <c r="AD139" s="733">
        <f t="shared" ref="AD139:AL139" si="654">AD138</f>
        <v>0</v>
      </c>
      <c r="AE139" s="733">
        <f t="shared" ref="AE139:AF139" si="655">AE138</f>
        <v>0</v>
      </c>
      <c r="AF139" s="733">
        <f t="shared" si="655"/>
        <v>0</v>
      </c>
      <c r="AG139" s="733">
        <f t="shared" ref="AG139:AK139" si="656">AG138</f>
        <v>0</v>
      </c>
      <c r="AH139" s="733">
        <f t="shared" ref="AH139" si="657">AH138</f>
        <v>0</v>
      </c>
      <c r="AI139" s="733">
        <f t="shared" si="656"/>
        <v>0</v>
      </c>
      <c r="AJ139" s="733">
        <f t="shared" si="656"/>
        <v>0</v>
      </c>
      <c r="AK139" s="733">
        <f t="shared" si="656"/>
        <v>0</v>
      </c>
      <c r="AL139" s="733">
        <f t="shared" si="654"/>
        <v>0</v>
      </c>
      <c r="AM139" s="1023">
        <f t="shared" ref="AM139:AO139" si="658">AM138</f>
        <v>0</v>
      </c>
      <c r="AN139" s="984">
        <f t="shared" ref="AN139" si="659">AN138</f>
        <v>530.89123365850423</v>
      </c>
      <c r="AO139" s="783">
        <f t="shared" si="658"/>
        <v>0</v>
      </c>
      <c r="AP139" s="784">
        <f>AP138</f>
        <v>530.89</v>
      </c>
      <c r="AQ139" s="785">
        <f t="shared" ref="AQ139:AR139" si="660">AQ138</f>
        <v>0</v>
      </c>
      <c r="AR139" s="786">
        <f t="shared" si="660"/>
        <v>0</v>
      </c>
      <c r="AS139" s="985">
        <f t="shared" ref="AS139:AV139" si="661">AS138</f>
        <v>0</v>
      </c>
      <c r="AT139" s="937">
        <f t="shared" ref="AT139:AU139" si="662">AT138</f>
        <v>0</v>
      </c>
      <c r="AU139" s="860">
        <f t="shared" si="662"/>
        <v>0</v>
      </c>
      <c r="AV139" s="860">
        <f t="shared" si="661"/>
        <v>0</v>
      </c>
      <c r="AW139" s="861">
        <f>AW138</f>
        <v>0</v>
      </c>
      <c r="AX139" s="938">
        <f t="shared" ref="AX139:AZ139" si="663">AX138</f>
        <v>0</v>
      </c>
      <c r="AY139" s="907">
        <f>AY138</f>
        <v>0</v>
      </c>
      <c r="AZ139" s="586">
        <f t="shared" si="663"/>
        <v>0</v>
      </c>
      <c r="BA139" s="481">
        <f>SUM(BA138)</f>
        <v>564.07193576216071</v>
      </c>
      <c r="BB139" s="155">
        <f>AR139+AO139+AL139+AI139+AF139+AB139+AD139+Z139+W139+S139+P139+M139+J139+G139+D139</f>
        <v>0</v>
      </c>
      <c r="BC139" s="1265">
        <f>SUM(BC138)</f>
        <v>565.89</v>
      </c>
      <c r="BD139" s="188">
        <v>3294</v>
      </c>
      <c r="BE139" s="131"/>
      <c r="BF139" s="610"/>
      <c r="BG139" s="610"/>
      <c r="BH139" s="610"/>
      <c r="BI139" s="1655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</row>
    <row r="140" spans="1:148" x14ac:dyDescent="0.25">
      <c r="A140" s="74">
        <v>329521</v>
      </c>
      <c r="B140" s="85" t="s">
        <v>99</v>
      </c>
      <c r="C140" s="631">
        <f>625/7.5345</f>
        <v>82.951755259141279</v>
      </c>
      <c r="D140" s="631"/>
      <c r="E140" s="626"/>
      <c r="F140" s="627"/>
      <c r="G140" s="627"/>
      <c r="H140" s="626"/>
      <c r="I140" s="626"/>
      <c r="J140" s="626"/>
      <c r="K140" s="1061"/>
      <c r="L140" s="1080"/>
      <c r="M140" s="383"/>
      <c r="N140" s="701"/>
      <c r="O140" s="704"/>
      <c r="P140" s="704"/>
      <c r="Q140" s="701"/>
      <c r="R140" s="701"/>
      <c r="S140" s="701"/>
      <c r="T140" s="701"/>
      <c r="U140" s="1106"/>
      <c r="V140" s="1027">
        <f>250/7.5345</f>
        <v>33.180702103656515</v>
      </c>
      <c r="W140" s="738"/>
      <c r="X140" s="735"/>
      <c r="Y140" s="739"/>
      <c r="Z140" s="739"/>
      <c r="AA140" s="735"/>
      <c r="AB140" s="739"/>
      <c r="AC140" s="735"/>
      <c r="AD140" s="735"/>
      <c r="AE140" s="735"/>
      <c r="AF140" s="735"/>
      <c r="AG140" s="735"/>
      <c r="AH140" s="735"/>
      <c r="AI140" s="735"/>
      <c r="AJ140" s="735"/>
      <c r="AK140" s="735"/>
      <c r="AL140" s="735"/>
      <c r="AM140" s="1025"/>
      <c r="AN140" s="986">
        <f>250/7.5345</f>
        <v>33.180702103656515</v>
      </c>
      <c r="AO140" s="787"/>
      <c r="AP140" s="788"/>
      <c r="AQ140" s="789"/>
      <c r="AR140" s="790"/>
      <c r="AS140" s="987"/>
      <c r="AT140" s="939"/>
      <c r="AU140" s="862"/>
      <c r="AV140" s="862"/>
      <c r="AW140" s="863"/>
      <c r="AX140" s="940"/>
      <c r="AY140" s="908"/>
      <c r="AZ140" s="589"/>
      <c r="BA140" s="136">
        <f>AQ140+AN140+AK140+AH140+Y140+V140+R140+O140+L140+I140+F140+C140+AT140</f>
        <v>149.31315946645429</v>
      </c>
      <c r="BB140" s="145"/>
      <c r="BC140" s="1263">
        <f>AS140+AP140+AM140+AJ140+AG140+AE140+AC140+AA140+X140+U140+T140+Q140+N140+K140+H140+E140</f>
        <v>0</v>
      </c>
      <c r="BD140" s="185">
        <v>329521</v>
      </c>
      <c r="BE140" s="34"/>
    </row>
    <row r="141" spans="1:148" x14ac:dyDescent="0.25">
      <c r="A141" s="45">
        <v>329531</v>
      </c>
      <c r="B141" s="507" t="s">
        <v>100</v>
      </c>
      <c r="C141" s="615"/>
      <c r="D141" s="615"/>
      <c r="E141" s="654"/>
      <c r="F141" s="617"/>
      <c r="G141" s="617"/>
      <c r="H141" s="654"/>
      <c r="I141" s="616"/>
      <c r="J141" s="616"/>
      <c r="K141" s="1066">
        <v>27.79</v>
      </c>
      <c r="L141" s="1076"/>
      <c r="M141" s="378"/>
      <c r="N141" s="708"/>
      <c r="O141" s="699"/>
      <c r="P141" s="699"/>
      <c r="Q141" s="708">
        <v>157.44999999999999</v>
      </c>
      <c r="R141" s="699"/>
      <c r="S141" s="699"/>
      <c r="T141" s="708"/>
      <c r="U141" s="1094"/>
      <c r="V141" s="1020">
        <f>1975/7.5345</f>
        <v>262.12754661888641</v>
      </c>
      <c r="W141" s="728"/>
      <c r="X141" s="750"/>
      <c r="Y141" s="729"/>
      <c r="Z141" s="729"/>
      <c r="AA141" s="750">
        <f>83.83+90.15</f>
        <v>173.98000000000002</v>
      </c>
      <c r="AB141" s="729"/>
      <c r="AC141" s="750"/>
      <c r="AD141" s="729"/>
      <c r="AE141" s="750"/>
      <c r="AF141" s="729"/>
      <c r="AG141" s="750"/>
      <c r="AH141" s="729"/>
      <c r="AI141" s="729"/>
      <c r="AJ141" s="750"/>
      <c r="AK141" s="729"/>
      <c r="AL141" s="729"/>
      <c r="AM141" s="1036"/>
      <c r="AN141" s="982"/>
      <c r="AO141" s="777"/>
      <c r="AP141" s="814"/>
      <c r="AQ141" s="778"/>
      <c r="AR141" s="779"/>
      <c r="AS141" s="999"/>
      <c r="AT141" s="935"/>
      <c r="AU141" s="858"/>
      <c r="AV141" s="875"/>
      <c r="AW141" s="876"/>
      <c r="AX141" s="954"/>
      <c r="AY141" s="905"/>
      <c r="AZ141" s="600"/>
      <c r="BA141" s="136">
        <f t="shared" ref="BA141:BA143" si="664">AQ141+AN141+AK141+AH141+Y141+V141+R141+O141+L141+I141+F141+C141+AT141</f>
        <v>262.12754661888641</v>
      </c>
      <c r="BB141" s="139"/>
      <c r="BC141" s="1263">
        <f>AS141+AP141+AM141+AJ141+AG141+AE141+AC141+AA141+X141+U141+T141+Q141+N141+K141+H141+E141</f>
        <v>359.22</v>
      </c>
      <c r="BD141" s="186">
        <v>329531</v>
      </c>
      <c r="BE141" s="34"/>
      <c r="BF141" s="1650"/>
    </row>
    <row r="142" spans="1:148" s="6" customFormat="1" x14ac:dyDescent="0.25">
      <c r="A142" s="45">
        <v>329551</v>
      </c>
      <c r="B142" s="30" t="s">
        <v>101</v>
      </c>
      <c r="C142" s="615">
        <f>22325/7.5345</f>
        <v>2963.0366978565266</v>
      </c>
      <c r="D142" s="615"/>
      <c r="E142" s="654">
        <v>3328.86</v>
      </c>
      <c r="F142" s="617"/>
      <c r="G142" s="617"/>
      <c r="H142" s="654"/>
      <c r="I142" s="616"/>
      <c r="J142" s="616"/>
      <c r="K142" s="1066"/>
      <c r="L142" s="1076"/>
      <c r="M142" s="378"/>
      <c r="N142" s="708"/>
      <c r="O142" s="699"/>
      <c r="P142" s="699"/>
      <c r="Q142" s="708"/>
      <c r="R142" s="699"/>
      <c r="S142" s="699"/>
      <c r="T142" s="708"/>
      <c r="U142" s="1094"/>
      <c r="V142" s="1020"/>
      <c r="W142" s="728"/>
      <c r="X142" s="750"/>
      <c r="Y142" s="729"/>
      <c r="Z142" s="729"/>
      <c r="AA142" s="750"/>
      <c r="AB142" s="729"/>
      <c r="AC142" s="750"/>
      <c r="AD142" s="729"/>
      <c r="AE142" s="750"/>
      <c r="AF142" s="729"/>
      <c r="AG142" s="750"/>
      <c r="AH142" s="729"/>
      <c r="AI142" s="729"/>
      <c r="AJ142" s="750"/>
      <c r="AK142" s="729"/>
      <c r="AL142" s="729"/>
      <c r="AM142" s="1036"/>
      <c r="AN142" s="982"/>
      <c r="AO142" s="777"/>
      <c r="AP142" s="814"/>
      <c r="AQ142" s="778"/>
      <c r="AR142" s="779"/>
      <c r="AS142" s="999"/>
      <c r="AT142" s="935"/>
      <c r="AU142" s="858"/>
      <c r="AV142" s="875"/>
      <c r="AW142" s="876"/>
      <c r="AX142" s="954"/>
      <c r="AY142" s="905"/>
      <c r="AZ142" s="600"/>
      <c r="BA142" s="136">
        <f t="shared" si="664"/>
        <v>2963.0366978565266</v>
      </c>
      <c r="BB142" s="139"/>
      <c r="BC142" s="1263">
        <f>AS142+AP142+AM142+AJ142+AG142+AE142+AC142+AA142+X142+U142+T142+Q142+N142+K142+H142+E142</f>
        <v>3328.86</v>
      </c>
      <c r="BD142" s="186">
        <v>329551</v>
      </c>
      <c r="BE142" s="34"/>
      <c r="BF142" s="610"/>
      <c r="BG142" s="610"/>
      <c r="BH142" s="610"/>
      <c r="BI142" s="1656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</row>
    <row r="143" spans="1:148" ht="15.75" thickBot="1" x14ac:dyDescent="0.3">
      <c r="A143" s="46">
        <v>329591</v>
      </c>
      <c r="B143" s="29" t="s">
        <v>102</v>
      </c>
      <c r="C143" s="618"/>
      <c r="D143" s="618"/>
      <c r="E143" s="657"/>
      <c r="F143" s="620"/>
      <c r="G143" s="620"/>
      <c r="H143" s="657"/>
      <c r="I143" s="619"/>
      <c r="J143" s="619"/>
      <c r="K143" s="1067"/>
      <c r="L143" s="1077"/>
      <c r="M143" s="379"/>
      <c r="N143" s="709"/>
      <c r="O143" s="700"/>
      <c r="P143" s="700"/>
      <c r="Q143" s="709"/>
      <c r="R143" s="700"/>
      <c r="S143" s="700"/>
      <c r="T143" s="709"/>
      <c r="U143" s="1096"/>
      <c r="V143" s="1021"/>
      <c r="W143" s="730"/>
      <c r="X143" s="752"/>
      <c r="Y143" s="731"/>
      <c r="Z143" s="731"/>
      <c r="AA143" s="752"/>
      <c r="AB143" s="731"/>
      <c r="AC143" s="752"/>
      <c r="AD143" s="731"/>
      <c r="AE143" s="752"/>
      <c r="AF143" s="731"/>
      <c r="AG143" s="752"/>
      <c r="AH143" s="731"/>
      <c r="AI143" s="731"/>
      <c r="AJ143" s="752"/>
      <c r="AK143" s="731"/>
      <c r="AL143" s="731"/>
      <c r="AM143" s="1038"/>
      <c r="AN143" s="983"/>
      <c r="AO143" s="780"/>
      <c r="AP143" s="818"/>
      <c r="AQ143" s="781"/>
      <c r="AR143" s="782"/>
      <c r="AS143" s="1001"/>
      <c r="AT143" s="936"/>
      <c r="AU143" s="859"/>
      <c r="AV143" s="877"/>
      <c r="AW143" s="878"/>
      <c r="AX143" s="956"/>
      <c r="AY143" s="906"/>
      <c r="AZ143" s="601"/>
      <c r="BA143" s="136">
        <f t="shared" si="664"/>
        <v>0</v>
      </c>
      <c r="BB143" s="144"/>
      <c r="BC143" s="1263">
        <f>AS143+AP143+AM143+AJ143+AG143+AE143+AC143+AA143+X143+U143+T143+Q143+N143+K143+H143+E143</f>
        <v>0</v>
      </c>
      <c r="BD143" s="187">
        <v>329591</v>
      </c>
      <c r="BE143" s="34"/>
    </row>
    <row r="144" spans="1:148" s="2" customFormat="1" ht="15.75" thickBot="1" x14ac:dyDescent="0.3">
      <c r="A144" s="76">
        <v>3295</v>
      </c>
      <c r="B144" s="81" t="s">
        <v>103</v>
      </c>
      <c r="C144" s="621">
        <f>SUM(C140:C143)</f>
        <v>3045.9884531156681</v>
      </c>
      <c r="D144" s="621">
        <f>SUM(D140:D143)</f>
        <v>0</v>
      </c>
      <c r="E144" s="622">
        <f>SUM(E140:E143)</f>
        <v>3328.86</v>
      </c>
      <c r="F144" s="623">
        <f t="shared" ref="F144" si="665">SUM(F140:F143)</f>
        <v>0</v>
      </c>
      <c r="G144" s="623">
        <f t="shared" ref="G144:K144" si="666">SUM(G140:G143)</f>
        <v>0</v>
      </c>
      <c r="H144" s="622">
        <f t="shared" si="666"/>
        <v>0</v>
      </c>
      <c r="I144" s="622">
        <f t="shared" ref="I144" si="667">SUM(I140:I143)</f>
        <v>0</v>
      </c>
      <c r="J144" s="622">
        <f t="shared" si="666"/>
        <v>0</v>
      </c>
      <c r="K144" s="1060">
        <f t="shared" si="666"/>
        <v>27.79</v>
      </c>
      <c r="L144" s="1078">
        <f>SUM(L140:L143)</f>
        <v>0</v>
      </c>
      <c r="M144" s="381">
        <f>SUM(M140:M143)</f>
        <v>0</v>
      </c>
      <c r="N144" s="382">
        <f>SUM(N140:N143)</f>
        <v>0</v>
      </c>
      <c r="O144" s="382">
        <f t="shared" ref="O144" si="668">SUM(O140:O143)</f>
        <v>0</v>
      </c>
      <c r="P144" s="382">
        <f t="shared" ref="P144:R144" si="669">SUM(P140:P143)</f>
        <v>0</v>
      </c>
      <c r="Q144" s="382">
        <f t="shared" si="669"/>
        <v>157.44999999999999</v>
      </c>
      <c r="R144" s="382">
        <f t="shared" si="669"/>
        <v>0</v>
      </c>
      <c r="S144" s="382">
        <f t="shared" ref="S144:W144" si="670">SUM(S140:S143)</f>
        <v>0</v>
      </c>
      <c r="T144" s="382">
        <f t="shared" ref="T144" si="671">SUM(T140:T143)</f>
        <v>0</v>
      </c>
      <c r="U144" s="1079">
        <f t="shared" si="670"/>
        <v>0</v>
      </c>
      <c r="V144" s="1022">
        <f>SUM(V140:V143)</f>
        <v>295.30824872254294</v>
      </c>
      <c r="W144" s="732">
        <f t="shared" si="670"/>
        <v>0</v>
      </c>
      <c r="X144" s="733">
        <f>SUM(X140:X143)</f>
        <v>0</v>
      </c>
      <c r="Y144" s="733">
        <f t="shared" ref="Y144" si="672">SUM(Y140:Y143)</f>
        <v>0</v>
      </c>
      <c r="Z144" s="733">
        <f t="shared" ref="Z144:AA144" si="673">SUM(Z140:Z143)</f>
        <v>0</v>
      </c>
      <c r="AA144" s="733">
        <f t="shared" si="673"/>
        <v>173.98000000000002</v>
      </c>
      <c r="AB144" s="733">
        <f t="shared" ref="AB144:AC144" si="674">SUM(AB140:AB143)</f>
        <v>0</v>
      </c>
      <c r="AC144" s="733">
        <f t="shared" si="674"/>
        <v>0</v>
      </c>
      <c r="AD144" s="733">
        <f t="shared" ref="AD144:AL144" si="675">SUM(AD140:AD143)</f>
        <v>0</v>
      </c>
      <c r="AE144" s="733">
        <f t="shared" ref="AE144:AF144" si="676">SUM(AE140:AE143)</f>
        <v>0</v>
      </c>
      <c r="AF144" s="733">
        <f t="shared" si="676"/>
        <v>0</v>
      </c>
      <c r="AG144" s="733">
        <f t="shared" ref="AG144:AK144" si="677">SUM(AG140:AG143)</f>
        <v>0</v>
      </c>
      <c r="AH144" s="733">
        <f t="shared" ref="AH144" si="678">SUM(AH140:AH143)</f>
        <v>0</v>
      </c>
      <c r="AI144" s="733">
        <f t="shared" si="677"/>
        <v>0</v>
      </c>
      <c r="AJ144" s="733">
        <f t="shared" si="677"/>
        <v>0</v>
      </c>
      <c r="AK144" s="733">
        <f t="shared" si="677"/>
        <v>0</v>
      </c>
      <c r="AL144" s="733">
        <f t="shared" si="675"/>
        <v>0</v>
      </c>
      <c r="AM144" s="1023">
        <f t="shared" ref="AM144:AO144" si="679">SUM(AM140:AM143)</f>
        <v>0</v>
      </c>
      <c r="AN144" s="984">
        <f t="shared" ref="AN144" si="680">SUM(AN140:AN143)</f>
        <v>33.180702103656515</v>
      </c>
      <c r="AO144" s="783">
        <f t="shared" si="679"/>
        <v>0</v>
      </c>
      <c r="AP144" s="784">
        <f>SUM(AP140:AP143)</f>
        <v>0</v>
      </c>
      <c r="AQ144" s="785">
        <f t="shared" ref="AQ144:AR144" si="681">SUM(AQ140:AQ143)</f>
        <v>0</v>
      </c>
      <c r="AR144" s="786">
        <f t="shared" si="681"/>
        <v>0</v>
      </c>
      <c r="AS144" s="985">
        <f t="shared" ref="AS144:AX144" si="682">SUM(AS140:AS143)</f>
        <v>0</v>
      </c>
      <c r="AT144" s="937">
        <f t="shared" ref="AT144:AU144" si="683">SUM(AT140:AT143)</f>
        <v>0</v>
      </c>
      <c r="AU144" s="860">
        <f t="shared" si="683"/>
        <v>0</v>
      </c>
      <c r="AV144" s="860">
        <f t="shared" si="682"/>
        <v>0</v>
      </c>
      <c r="AW144" s="861">
        <f t="shared" si="682"/>
        <v>0</v>
      </c>
      <c r="AX144" s="938">
        <f t="shared" si="682"/>
        <v>0</v>
      </c>
      <c r="AY144" s="907">
        <f t="shared" ref="AY144:AZ144" si="684">SUM(AY140:AY143)</f>
        <v>0</v>
      </c>
      <c r="AZ144" s="586">
        <f t="shared" si="684"/>
        <v>0</v>
      </c>
      <c r="BA144" s="481">
        <f>SUM(BA140:BA143)</f>
        <v>3374.4774039418671</v>
      </c>
      <c r="BB144" s="155">
        <f>AR144+AO144+AL144+AI144+AF144+AB144+AD144+Z144+W144+S144+P144+M144+J144+G144+D144</f>
        <v>0</v>
      </c>
      <c r="BC144" s="1265">
        <f>SUM(BC140:BC143)</f>
        <v>3688.08</v>
      </c>
      <c r="BD144" s="188">
        <v>3295</v>
      </c>
      <c r="BE144" s="131"/>
      <c r="BF144" s="1651"/>
      <c r="BG144" s="610"/>
      <c r="BH144" s="610"/>
      <c r="BI144" s="1655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</row>
    <row r="145" spans="1:148" s="6" customFormat="1" ht="15.75" thickBot="1" x14ac:dyDescent="0.3">
      <c r="A145" s="78">
        <v>329611</v>
      </c>
      <c r="B145" s="79" t="s">
        <v>164</v>
      </c>
      <c r="C145" s="628">
        <f>47421.87/7.5345</f>
        <v>6293.9637666733024</v>
      </c>
      <c r="D145" s="628"/>
      <c r="E145" s="1165"/>
      <c r="F145" s="630"/>
      <c r="G145" s="630"/>
      <c r="H145" s="1165"/>
      <c r="I145" s="629"/>
      <c r="J145" s="629"/>
      <c r="K145" s="1180"/>
      <c r="L145" s="1082"/>
      <c r="M145" s="384"/>
      <c r="N145" s="1188"/>
      <c r="O145" s="703"/>
      <c r="P145" s="703"/>
      <c r="Q145" s="1188"/>
      <c r="R145" s="703"/>
      <c r="S145" s="703"/>
      <c r="T145" s="1188"/>
      <c r="U145" s="1197"/>
      <c r="V145" s="1026"/>
      <c r="W145" s="736"/>
      <c r="X145" s="1208"/>
      <c r="Y145" s="737"/>
      <c r="Z145" s="737"/>
      <c r="AA145" s="1208"/>
      <c r="AB145" s="737"/>
      <c r="AC145" s="1208"/>
      <c r="AD145" s="737"/>
      <c r="AE145" s="1208"/>
      <c r="AF145" s="737"/>
      <c r="AG145" s="1208"/>
      <c r="AH145" s="737"/>
      <c r="AI145" s="737"/>
      <c r="AJ145" s="1208"/>
      <c r="AK145" s="737"/>
      <c r="AL145" s="737"/>
      <c r="AM145" s="1216"/>
      <c r="AN145" s="988"/>
      <c r="AO145" s="791"/>
      <c r="AP145" s="1222"/>
      <c r="AQ145" s="792"/>
      <c r="AR145" s="793"/>
      <c r="AS145" s="996"/>
      <c r="AT145" s="941"/>
      <c r="AU145" s="864"/>
      <c r="AV145" s="1240"/>
      <c r="AW145" s="1241"/>
      <c r="AX145" s="951"/>
      <c r="AY145" s="909"/>
      <c r="AZ145" s="595"/>
      <c r="BA145" s="136">
        <f>AQ145+AN145+AK145+AH145+Y145+V145+R145+O145+L145+I145+F145+C145+AT145</f>
        <v>6293.9637666733024</v>
      </c>
      <c r="BB145" s="148"/>
      <c r="BC145" s="1263">
        <f>AS145+AP145+AM145+AJ145+AG145+AE145+AC145+AA145+X145+U145+T145+Q145+N145+K145+H145+E145</f>
        <v>0</v>
      </c>
      <c r="BD145" s="189">
        <v>329611</v>
      </c>
      <c r="BE145" s="34"/>
      <c r="BF145" s="610"/>
      <c r="BG145" s="610"/>
      <c r="BH145" s="610"/>
      <c r="BI145" s="1656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</row>
    <row r="146" spans="1:148" s="2" customFormat="1" ht="15.75" thickBot="1" x14ac:dyDescent="0.3">
      <c r="A146" s="76">
        <v>3296</v>
      </c>
      <c r="B146" s="81" t="s">
        <v>164</v>
      </c>
      <c r="C146" s="621">
        <f t="shared" ref="C146" si="685">C145</f>
        <v>6293.9637666733024</v>
      </c>
      <c r="D146" s="621">
        <f t="shared" ref="D146:O146" si="686">D145</f>
        <v>0</v>
      </c>
      <c r="E146" s="622">
        <f>E145</f>
        <v>0</v>
      </c>
      <c r="F146" s="623">
        <f t="shared" ref="F146" si="687">F145</f>
        <v>0</v>
      </c>
      <c r="G146" s="623">
        <f t="shared" si="686"/>
        <v>0</v>
      </c>
      <c r="H146" s="622">
        <f t="shared" si="686"/>
        <v>0</v>
      </c>
      <c r="I146" s="622">
        <f t="shared" ref="I146" si="688">I145</f>
        <v>0</v>
      </c>
      <c r="J146" s="622">
        <f t="shared" si="686"/>
        <v>0</v>
      </c>
      <c r="K146" s="1060">
        <f t="shared" si="686"/>
        <v>0</v>
      </c>
      <c r="L146" s="1078">
        <f t="shared" ref="L146" si="689">L145</f>
        <v>0</v>
      </c>
      <c r="M146" s="381">
        <f t="shared" si="686"/>
        <v>0</v>
      </c>
      <c r="N146" s="382">
        <f t="shared" si="686"/>
        <v>0</v>
      </c>
      <c r="O146" s="382">
        <f t="shared" si="686"/>
        <v>0</v>
      </c>
      <c r="P146" s="382">
        <f t="shared" ref="P146:Q146" si="690">P145</f>
        <v>0</v>
      </c>
      <c r="Q146" s="382">
        <f t="shared" si="690"/>
        <v>0</v>
      </c>
      <c r="R146" s="382">
        <f>R145</f>
        <v>0</v>
      </c>
      <c r="S146" s="382">
        <f>S145</f>
        <v>0</v>
      </c>
      <c r="T146" s="382">
        <f>T145</f>
        <v>0</v>
      </c>
      <c r="U146" s="1079">
        <f>U145</f>
        <v>0</v>
      </c>
      <c r="V146" s="1022">
        <f t="shared" ref="V146:W146" si="691">V145</f>
        <v>0</v>
      </c>
      <c r="W146" s="732">
        <f t="shared" si="691"/>
        <v>0</v>
      </c>
      <c r="X146" s="733">
        <f t="shared" ref="X146:Y146" si="692">X145</f>
        <v>0</v>
      </c>
      <c r="Y146" s="733">
        <f t="shared" si="692"/>
        <v>0</v>
      </c>
      <c r="Z146" s="733">
        <f t="shared" ref="Z146:AA146" si="693">Z145</f>
        <v>0</v>
      </c>
      <c r="AA146" s="733">
        <f t="shared" si="693"/>
        <v>0</v>
      </c>
      <c r="AB146" s="733">
        <f t="shared" ref="AB146:AC146" si="694">AB145</f>
        <v>0</v>
      </c>
      <c r="AC146" s="733">
        <f t="shared" si="694"/>
        <v>0</v>
      </c>
      <c r="AD146" s="733">
        <f t="shared" ref="AD146:AL146" si="695">AD145</f>
        <v>0</v>
      </c>
      <c r="AE146" s="733">
        <f t="shared" ref="AE146:AF146" si="696">AE145</f>
        <v>0</v>
      </c>
      <c r="AF146" s="733">
        <f t="shared" si="696"/>
        <v>0</v>
      </c>
      <c r="AG146" s="733">
        <f t="shared" ref="AG146:AK146" si="697">AG145</f>
        <v>0</v>
      </c>
      <c r="AH146" s="733">
        <f t="shared" ref="AH146" si="698">AH145</f>
        <v>0</v>
      </c>
      <c r="AI146" s="733">
        <f t="shared" si="697"/>
        <v>0</v>
      </c>
      <c r="AJ146" s="733">
        <f t="shared" si="697"/>
        <v>0</v>
      </c>
      <c r="AK146" s="733">
        <f t="shared" si="697"/>
        <v>0</v>
      </c>
      <c r="AL146" s="733">
        <f t="shared" si="695"/>
        <v>0</v>
      </c>
      <c r="AM146" s="1023">
        <f t="shared" ref="AM146:AO146" si="699">AM145</f>
        <v>0</v>
      </c>
      <c r="AN146" s="984">
        <f t="shared" ref="AN146" si="700">AN145</f>
        <v>0</v>
      </c>
      <c r="AO146" s="783">
        <f t="shared" si="699"/>
        <v>0</v>
      </c>
      <c r="AP146" s="784">
        <f t="shared" ref="AP146:AR146" si="701">AP145</f>
        <v>0</v>
      </c>
      <c r="AQ146" s="785">
        <f t="shared" ref="AQ146" si="702">AQ145</f>
        <v>0</v>
      </c>
      <c r="AR146" s="786">
        <f t="shared" si="701"/>
        <v>0</v>
      </c>
      <c r="AS146" s="985">
        <f t="shared" ref="AS146:AX146" si="703">AS145</f>
        <v>0</v>
      </c>
      <c r="AT146" s="937">
        <f t="shared" ref="AT146:AU146" si="704">AT145</f>
        <v>0</v>
      </c>
      <c r="AU146" s="860">
        <f t="shared" si="704"/>
        <v>0</v>
      </c>
      <c r="AV146" s="860">
        <f t="shared" si="703"/>
        <v>0</v>
      </c>
      <c r="AW146" s="861">
        <f t="shared" si="703"/>
        <v>0</v>
      </c>
      <c r="AX146" s="938">
        <f t="shared" si="703"/>
        <v>0</v>
      </c>
      <c r="AY146" s="907">
        <f t="shared" ref="AY146:AZ146" si="705">AY145</f>
        <v>0</v>
      </c>
      <c r="AZ146" s="586">
        <f t="shared" si="705"/>
        <v>0</v>
      </c>
      <c r="BA146" s="481">
        <f>SUM(BA145)</f>
        <v>6293.9637666733024</v>
      </c>
      <c r="BB146" s="155">
        <f>AR146+AO146+AL146+AI146+AF146+AB146+AD146+Z146+W146+S146+P146+M146+J146+G146+D146</f>
        <v>0</v>
      </c>
      <c r="BC146" s="1265">
        <f>SUM(BC145)</f>
        <v>0</v>
      </c>
      <c r="BD146" s="188">
        <v>3296</v>
      </c>
      <c r="BE146" s="131"/>
      <c r="BF146" s="1650"/>
      <c r="BG146" s="610"/>
      <c r="BH146" s="610"/>
      <c r="BI146" s="1655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</row>
    <row r="147" spans="1:148" x14ac:dyDescent="0.25">
      <c r="A147" s="74">
        <v>329911</v>
      </c>
      <c r="B147" s="85" t="s">
        <v>242</v>
      </c>
      <c r="C147" s="631"/>
      <c r="D147" s="631"/>
      <c r="E147" s="626"/>
      <c r="F147" s="633"/>
      <c r="G147" s="633"/>
      <c r="H147" s="626"/>
      <c r="I147" s="632"/>
      <c r="J147" s="632"/>
      <c r="K147" s="1061"/>
      <c r="L147" s="1083"/>
      <c r="M147" s="385"/>
      <c r="N147" s="701"/>
      <c r="O147" s="704"/>
      <c r="P147" s="704"/>
      <c r="Q147" s="701"/>
      <c r="R147" s="704"/>
      <c r="S147" s="704"/>
      <c r="T147" s="701"/>
      <c r="U147" s="1106"/>
      <c r="V147" s="1027">
        <f>500/7.5345</f>
        <v>66.361404207313029</v>
      </c>
      <c r="W147" s="738"/>
      <c r="X147" s="735"/>
      <c r="Y147" s="739"/>
      <c r="Z147" s="739"/>
      <c r="AA147" s="735"/>
      <c r="AB147" s="739"/>
      <c r="AC147" s="735"/>
      <c r="AD147" s="739"/>
      <c r="AE147" s="735"/>
      <c r="AF147" s="739"/>
      <c r="AG147" s="735"/>
      <c r="AH147" s="739"/>
      <c r="AI147" s="739"/>
      <c r="AJ147" s="735"/>
      <c r="AK147" s="739"/>
      <c r="AL147" s="739"/>
      <c r="AM147" s="1025"/>
      <c r="AN147" s="989"/>
      <c r="AO147" s="794"/>
      <c r="AP147" s="788"/>
      <c r="AQ147" s="795"/>
      <c r="AR147" s="796"/>
      <c r="AS147" s="987"/>
      <c r="AT147" s="942"/>
      <c r="AU147" s="865"/>
      <c r="AV147" s="862"/>
      <c r="AW147" s="863"/>
      <c r="AX147" s="940"/>
      <c r="AY147" s="910"/>
      <c r="AZ147" s="589"/>
      <c r="BA147" s="136">
        <f t="shared" si="583"/>
        <v>66.361404207313029</v>
      </c>
      <c r="BB147" s="143"/>
      <c r="BC147" s="1263">
        <f>AS147+AP147+AM147+AJ147+AG147+AE147+AC147+AA147+X147+U147+T147+Q147+N147+K147+H147+E147</f>
        <v>0</v>
      </c>
      <c r="BD147" s="185">
        <v>329911</v>
      </c>
      <c r="BE147" s="34"/>
      <c r="BF147" s="1651"/>
    </row>
    <row r="148" spans="1:148" ht="15.75" thickBot="1" x14ac:dyDescent="0.3">
      <c r="A148" s="46">
        <v>329991</v>
      </c>
      <c r="B148" s="29" t="s">
        <v>105</v>
      </c>
      <c r="C148" s="618"/>
      <c r="D148" s="618"/>
      <c r="E148" s="657"/>
      <c r="F148" s="620">
        <f>388.72/7.5345</f>
        <v>51.592010086933442</v>
      </c>
      <c r="G148" s="620"/>
      <c r="H148" s="657">
        <v>3.27</v>
      </c>
      <c r="I148" s="619"/>
      <c r="J148" s="619"/>
      <c r="K148" s="1067">
        <v>7.32</v>
      </c>
      <c r="L148" s="1077">
        <f>6702.55/7.5345</f>
        <v>889.58125953945182</v>
      </c>
      <c r="M148" s="379"/>
      <c r="N148" s="709">
        <f>56.45+592.82</f>
        <v>649.2700000000001</v>
      </c>
      <c r="O148" s="700"/>
      <c r="P148" s="700"/>
      <c r="Q148" s="709">
        <f>41.5</f>
        <v>41.5</v>
      </c>
      <c r="R148" s="700">
        <f>22860/7.5345</f>
        <v>3034.0434003583514</v>
      </c>
      <c r="S148" s="700"/>
      <c r="T148" s="709">
        <f>214.6+90</f>
        <v>304.60000000000002</v>
      </c>
      <c r="U148" s="1096">
        <f>90+472.75+848.92+3000+45.74+2748.9+33.26+13.5+11.16+12-90</f>
        <v>7186.23</v>
      </c>
      <c r="V148" s="1021">
        <f>3137.08/7.5345</f>
        <v>416.36206782135508</v>
      </c>
      <c r="W148" s="730"/>
      <c r="X148" s="752">
        <f>343.24-57.08+47.95+38.45+13.27+26.54+3.97+35.84+3.18+4.77+8.71+8.28+40.7+80.91+53.3+50+337.5+50+52.88</f>
        <v>1142.4100000000001</v>
      </c>
      <c r="Y148" s="731">
        <f>388.73/7.5345</f>
        <v>51.593337315017585</v>
      </c>
      <c r="Z148" s="731"/>
      <c r="AA148" s="752">
        <v>3.28</v>
      </c>
      <c r="AB148" s="731"/>
      <c r="AC148" s="752"/>
      <c r="AD148" s="731"/>
      <c r="AE148" s="752"/>
      <c r="AF148" s="731"/>
      <c r="AG148" s="752"/>
      <c r="AH148" s="731"/>
      <c r="AI148" s="731"/>
      <c r="AJ148" s="752"/>
      <c r="AK148" s="731">
        <f>2690/7.5345</f>
        <v>357.02435463534408</v>
      </c>
      <c r="AL148" s="731"/>
      <c r="AM148" s="1038">
        <f>194+57.08+345+60.8+25+25+25+320</f>
        <v>1051.8799999999999</v>
      </c>
      <c r="AN148" s="983">
        <f>3028.92/7.5345</f>
        <v>402.00676886322913</v>
      </c>
      <c r="AO148" s="780"/>
      <c r="AP148" s="818">
        <f>252.25+29.94+110.46+230.82+0.02+27.32+4.2+250+0.01+84.79+142.35+142.35-31.52+1182.6</f>
        <v>2425.59</v>
      </c>
      <c r="AQ148" s="781"/>
      <c r="AR148" s="782"/>
      <c r="AS148" s="1001">
        <v>227.7</v>
      </c>
      <c r="AT148" s="936"/>
      <c r="AU148" s="859"/>
      <c r="AV148" s="877"/>
      <c r="AW148" s="878"/>
      <c r="AX148" s="956"/>
      <c r="AY148" s="906"/>
      <c r="AZ148" s="601"/>
      <c r="BA148" s="136">
        <f>AQ148+AN148+AK148+AH148+Y148+V148+R148+O148+L148+I148+F148+C148+AT148</f>
        <v>5202.2031986196826</v>
      </c>
      <c r="BB148" s="144"/>
      <c r="BC148" s="1263">
        <f>AS148+AP148+AM148+AJ148+AG148+AE148+AC148+AA148+X148+U148+T148+Q148+N148+K148+H148+E148</f>
        <v>13043.050000000001</v>
      </c>
      <c r="BD148" s="187">
        <v>329991</v>
      </c>
      <c r="BE148" s="34"/>
      <c r="BF148" s="1650"/>
    </row>
    <row r="149" spans="1:148" s="2" customFormat="1" ht="15.75" thickBot="1" x14ac:dyDescent="0.3">
      <c r="A149" s="76">
        <v>3299</v>
      </c>
      <c r="B149" s="81" t="s">
        <v>105</v>
      </c>
      <c r="C149" s="621">
        <f>C147+C148</f>
        <v>0</v>
      </c>
      <c r="D149" s="621">
        <f>D147+D148</f>
        <v>0</v>
      </c>
      <c r="E149" s="622">
        <f>E147+E148</f>
        <v>0</v>
      </c>
      <c r="F149" s="623">
        <f t="shared" ref="F149" si="706">F147+F148</f>
        <v>51.592010086933442</v>
      </c>
      <c r="G149" s="623">
        <f t="shared" ref="G149:K149" si="707">G147+G148</f>
        <v>0</v>
      </c>
      <c r="H149" s="622">
        <f>H147+H148</f>
        <v>3.27</v>
      </c>
      <c r="I149" s="622">
        <f t="shared" ref="I149" si="708">I147+I148</f>
        <v>0</v>
      </c>
      <c r="J149" s="622">
        <f t="shared" si="707"/>
        <v>0</v>
      </c>
      <c r="K149" s="1060">
        <f t="shared" si="707"/>
        <v>7.32</v>
      </c>
      <c r="L149" s="1078">
        <f>L147+L148</f>
        <v>889.58125953945182</v>
      </c>
      <c r="M149" s="381">
        <f>M147+M148</f>
        <v>0</v>
      </c>
      <c r="N149" s="382">
        <f>N147+N148</f>
        <v>649.2700000000001</v>
      </c>
      <c r="O149" s="382">
        <f t="shared" ref="O149" si="709">O147+O148</f>
        <v>0</v>
      </c>
      <c r="P149" s="382">
        <f t="shared" ref="P149:R149" si="710">P147+P148</f>
        <v>0</v>
      </c>
      <c r="Q149" s="382">
        <f t="shared" si="710"/>
        <v>41.5</v>
      </c>
      <c r="R149" s="382">
        <f t="shared" si="710"/>
        <v>3034.0434003583514</v>
      </c>
      <c r="S149" s="382">
        <f t="shared" ref="S149:U149" si="711">S147+S148</f>
        <v>0</v>
      </c>
      <c r="T149" s="382">
        <f>T147+T148</f>
        <v>304.60000000000002</v>
      </c>
      <c r="U149" s="1079">
        <f t="shared" si="711"/>
        <v>7186.23</v>
      </c>
      <c r="V149" s="1022">
        <f>V147+V148</f>
        <v>482.72347202866808</v>
      </c>
      <c r="W149" s="732">
        <f t="shared" ref="W149:AC149" si="712">W147+W148</f>
        <v>0</v>
      </c>
      <c r="X149" s="733">
        <f>X147+X148</f>
        <v>1142.4100000000001</v>
      </c>
      <c r="Y149" s="733">
        <f t="shared" ref="Y149" si="713">Y147+Y148</f>
        <v>51.593337315017585</v>
      </c>
      <c r="Z149" s="733">
        <f t="shared" si="712"/>
        <v>0</v>
      </c>
      <c r="AA149" s="733">
        <f>AA147+AA148</f>
        <v>3.28</v>
      </c>
      <c r="AB149" s="733">
        <f t="shared" si="712"/>
        <v>0</v>
      </c>
      <c r="AC149" s="733">
        <f t="shared" si="712"/>
        <v>0</v>
      </c>
      <c r="AD149" s="733">
        <f t="shared" ref="AD149:AL149" si="714">AD147+AD148</f>
        <v>0</v>
      </c>
      <c r="AE149" s="733">
        <f t="shared" ref="AE149:AF149" si="715">AE147+AE148</f>
        <v>0</v>
      </c>
      <c r="AF149" s="733">
        <f t="shared" si="715"/>
        <v>0</v>
      </c>
      <c r="AG149" s="733">
        <f t="shared" ref="AG149:AK149" si="716">AG147+AG148</f>
        <v>0</v>
      </c>
      <c r="AH149" s="733">
        <f t="shared" ref="AH149" si="717">AH147+AH148</f>
        <v>0</v>
      </c>
      <c r="AI149" s="733">
        <f t="shared" si="716"/>
        <v>0</v>
      </c>
      <c r="AJ149" s="733">
        <f t="shared" si="716"/>
        <v>0</v>
      </c>
      <c r="AK149" s="733">
        <f t="shared" si="716"/>
        <v>357.02435463534408</v>
      </c>
      <c r="AL149" s="733">
        <f t="shared" si="714"/>
        <v>0</v>
      </c>
      <c r="AM149" s="1023">
        <f>AM147+AM148</f>
        <v>1051.8799999999999</v>
      </c>
      <c r="AN149" s="984">
        <f t="shared" ref="AN149:AO149" si="718">AN147+AN148</f>
        <v>402.00676886322913</v>
      </c>
      <c r="AO149" s="783">
        <f t="shared" si="718"/>
        <v>0</v>
      </c>
      <c r="AP149" s="784">
        <f>AP147+AP148</f>
        <v>2425.59</v>
      </c>
      <c r="AQ149" s="785"/>
      <c r="AR149" s="786"/>
      <c r="AS149" s="985">
        <f>SUM(AS148)</f>
        <v>227.7</v>
      </c>
      <c r="AT149" s="937">
        <f t="shared" ref="AT149:AU149" si="719">AT147+AT148</f>
        <v>0</v>
      </c>
      <c r="AU149" s="860">
        <f t="shared" si="719"/>
        <v>0</v>
      </c>
      <c r="AV149" s="860">
        <f t="shared" ref="AV149:AW149" si="720">AV147+AV148</f>
        <v>0</v>
      </c>
      <c r="AW149" s="861">
        <f t="shared" si="720"/>
        <v>0</v>
      </c>
      <c r="AX149" s="938"/>
      <c r="AY149" s="907">
        <f t="shared" ref="AY149" si="721">AY147+AY148</f>
        <v>0</v>
      </c>
      <c r="AZ149" s="586"/>
      <c r="BA149" s="481">
        <f>SUM(BA147:BA148)</f>
        <v>5268.5646028269957</v>
      </c>
      <c r="BB149" s="155">
        <f>AR149+AO149+AL149+AI149+AF149+AB149+AD149+Z149+W149+S149+P149+M149+J149+G149+D149</f>
        <v>0</v>
      </c>
      <c r="BC149" s="1265">
        <f>SUM(BC147:BC148)</f>
        <v>13043.050000000001</v>
      </c>
      <c r="BD149" s="188">
        <v>3299</v>
      </c>
      <c r="BE149" s="131"/>
      <c r="BF149" s="610"/>
      <c r="BG149" s="610"/>
      <c r="BH149" s="610"/>
      <c r="BI149" s="1655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</row>
    <row r="150" spans="1:148" s="2" customFormat="1" ht="15.75" thickBot="1" x14ac:dyDescent="0.3">
      <c r="A150" s="168">
        <v>329</v>
      </c>
      <c r="B150" s="169" t="s">
        <v>105</v>
      </c>
      <c r="C150" s="677">
        <f>C135+C137+C139+C144+C149+C146</f>
        <v>9339.952219788971</v>
      </c>
      <c r="D150" s="678">
        <v>5973</v>
      </c>
      <c r="E150" s="679">
        <f>E135+E137+E139+E144+E149+E146</f>
        <v>3328.86</v>
      </c>
      <c r="F150" s="679">
        <f>F135+F137+F139+F144+F149+F146</f>
        <v>51.592010086933442</v>
      </c>
      <c r="G150" s="680">
        <v>90</v>
      </c>
      <c r="H150" s="679">
        <f>H135+H137+H139+H144+H149+H146</f>
        <v>44.650000000000006</v>
      </c>
      <c r="I150" s="681">
        <f>I135+I137+I139+I144+I149+I146</f>
        <v>1484.0467184285617</v>
      </c>
      <c r="J150" s="679">
        <v>12750</v>
      </c>
      <c r="K150" s="1072">
        <f>K135+K137+K139+K144+K149+K146</f>
        <v>12810.770000000002</v>
      </c>
      <c r="L150" s="1107">
        <f t="shared" ref="L150:O150" si="722">L135+L137+L139+L144+L149+L146</f>
        <v>889.58125953945182</v>
      </c>
      <c r="M150" s="400">
        <v>1545</v>
      </c>
      <c r="N150" s="401">
        <f t="shared" si="722"/>
        <v>1362.83</v>
      </c>
      <c r="O150" s="401">
        <f t="shared" si="722"/>
        <v>8409.6091313292181</v>
      </c>
      <c r="P150" s="401">
        <v>72250</v>
      </c>
      <c r="Q150" s="401">
        <f>Q135+Q137+Q139+Q144+Q149+Q146</f>
        <v>72594.13</v>
      </c>
      <c r="R150" s="401">
        <f t="shared" ref="R150" si="723">R135+R137+R139+R144+R149+R146</f>
        <v>3034.0434003583514</v>
      </c>
      <c r="S150" s="401">
        <f>3452+10000+22100</f>
        <v>35552</v>
      </c>
      <c r="T150" s="401">
        <f>T135+T137+T139+T144+T149+T146</f>
        <v>575.47</v>
      </c>
      <c r="U150" s="1108">
        <f t="shared" ref="U150" si="724">U135+U137+U139+U144+U149+U146</f>
        <v>7186.23</v>
      </c>
      <c r="V150" s="1047">
        <f>V135+V137+V139+V144+V149+V146</f>
        <v>1174.319463799854</v>
      </c>
      <c r="W150" s="763">
        <v>1900</v>
      </c>
      <c r="X150" s="764">
        <f>X135+X137+X139+X144+X149+X146</f>
        <v>1217.1100000000001</v>
      </c>
      <c r="Y150" s="764">
        <f>Y135+Y137+Y139+Y144+Y149+Y146</f>
        <v>449.76176255889573</v>
      </c>
      <c r="Z150" s="764">
        <v>265</v>
      </c>
      <c r="AA150" s="764">
        <f>AA135+AA137+AA139+AA144+AA149+AA146</f>
        <v>1122.32</v>
      </c>
      <c r="AB150" s="764">
        <v>3200</v>
      </c>
      <c r="AC150" s="764">
        <f t="shared" ref="AC150" si="725">AC135+AC137+AC139+AC144+AC149+AC146</f>
        <v>1157.26</v>
      </c>
      <c r="AD150" s="764">
        <f t="shared" ref="AD150" si="726">AD135+AD137+AD139+AD144+AD149+AD146</f>
        <v>0</v>
      </c>
      <c r="AE150" s="764">
        <f t="shared" ref="AE150:AI150" si="727">AE135+AE137+AE139+AE144+AE149+AE146</f>
        <v>0</v>
      </c>
      <c r="AF150" s="764">
        <f t="shared" si="727"/>
        <v>0</v>
      </c>
      <c r="AG150" s="764">
        <f t="shared" ref="AG150:AJ150" si="728">AG135+AG137+AG139+AG144+AG149+AG146</f>
        <v>0</v>
      </c>
      <c r="AH150" s="765">
        <f t="shared" si="728"/>
        <v>0</v>
      </c>
      <c r="AI150" s="764">
        <f t="shared" si="727"/>
        <v>0</v>
      </c>
      <c r="AJ150" s="764">
        <f t="shared" si="728"/>
        <v>0</v>
      </c>
      <c r="AK150" s="765">
        <f t="shared" ref="AK150:AM150" si="729">AK135+AK137+AK139+AK144+AK149+AK146</f>
        <v>357.02435463534408</v>
      </c>
      <c r="AL150" s="764">
        <v>1060</v>
      </c>
      <c r="AM150" s="1048">
        <f t="shared" si="729"/>
        <v>1051.8799999999999</v>
      </c>
      <c r="AN150" s="1010">
        <f>AN135+AN137+AN139+AN144+AN149+AN146</f>
        <v>2144.9890503683055</v>
      </c>
      <c r="AO150" s="838">
        <v>3000</v>
      </c>
      <c r="AP150" s="839">
        <f>AP135+AP137+AP139+AP144+AP149+AP146</f>
        <v>4395.5599999999995</v>
      </c>
      <c r="AQ150" s="839">
        <f>AQ135+AQ137+AQ139+AQ144+AQ149+AQ146</f>
        <v>0</v>
      </c>
      <c r="AR150" s="840">
        <v>531</v>
      </c>
      <c r="AS150" s="1011">
        <f>AS135+AS137+AS139+AS144+AS149+AS146</f>
        <v>227.7</v>
      </c>
      <c r="AT150" s="967">
        <f>AT135+AT137+AT139+AT144+AT149+AT146</f>
        <v>0</v>
      </c>
      <c r="AU150" s="889"/>
      <c r="AV150" s="889"/>
      <c r="AW150" s="888">
        <f>AW135+AW137+AW139+AW144+AW149+AW146</f>
        <v>0</v>
      </c>
      <c r="AX150" s="945"/>
      <c r="AY150" s="925">
        <f>AY135+AY137+AY139+AY144+AY149+AY146</f>
        <v>0</v>
      </c>
      <c r="AZ150" s="592"/>
      <c r="BA150" s="170">
        <f>BA149+BA146+BA144+BA139+BA137+BA135</f>
        <v>27334.919370893884</v>
      </c>
      <c r="BB150" s="162">
        <f>AR150+AO150+AL150+AI150+AF150+AB150+AD150+Z150+W150+S150+P150+M150+J150+G150+D150+AU150</f>
        <v>138116</v>
      </c>
      <c r="BC150" s="1280">
        <f>BC149+BC146+BC144+BC139+BC137+BC135</f>
        <v>107074.77000000002</v>
      </c>
      <c r="BD150" s="190">
        <v>329</v>
      </c>
      <c r="BE150" s="132"/>
      <c r="BF150" s="610"/>
      <c r="BG150" s="610"/>
      <c r="BH150" s="610"/>
      <c r="BI150" s="1655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</row>
    <row r="151" spans="1:148" ht="16.5" thickTop="1" thickBot="1" x14ac:dyDescent="0.3">
      <c r="A151" s="278">
        <v>342221</v>
      </c>
      <c r="B151" s="353" t="s">
        <v>244</v>
      </c>
      <c r="C151" s="631"/>
      <c r="D151" s="631"/>
      <c r="E151" s="626"/>
      <c r="F151" s="633"/>
      <c r="G151" s="633"/>
      <c r="H151" s="626"/>
      <c r="I151" s="632"/>
      <c r="J151" s="632"/>
      <c r="K151" s="1061"/>
      <c r="L151" s="1109"/>
      <c r="M151" s="715"/>
      <c r="N151" s="1190"/>
      <c r="O151" s="716"/>
      <c r="P151" s="716"/>
      <c r="Q151" s="1190"/>
      <c r="R151" s="716"/>
      <c r="S151" s="716"/>
      <c r="T151" s="1190"/>
      <c r="U151" s="1200"/>
      <c r="V151" s="1027"/>
      <c r="W151" s="738"/>
      <c r="X151" s="735"/>
      <c r="Y151" s="739">
        <f>28253.95/7.5345</f>
        <v>3749.9435928064236</v>
      </c>
      <c r="Z151" s="739"/>
      <c r="AA151" s="735">
        <f>380.86+6215.35</f>
        <v>6596.21</v>
      </c>
      <c r="AB151" s="739"/>
      <c r="AC151" s="735"/>
      <c r="AD151" s="739"/>
      <c r="AE151" s="735"/>
      <c r="AF151" s="739"/>
      <c r="AG151" s="735"/>
      <c r="AH151" s="739"/>
      <c r="AI151" s="739"/>
      <c r="AJ151" s="735"/>
      <c r="AK151" s="739"/>
      <c r="AL151" s="739"/>
      <c r="AM151" s="1025"/>
      <c r="AN151" s="989"/>
      <c r="AO151" s="794"/>
      <c r="AP151" s="788"/>
      <c r="AQ151" s="795"/>
      <c r="AR151" s="796"/>
      <c r="AS151" s="987"/>
      <c r="AT151" s="942"/>
      <c r="AU151" s="865"/>
      <c r="AV151" s="862"/>
      <c r="AW151" s="863"/>
      <c r="AX151" s="940"/>
      <c r="AY151" s="910"/>
      <c r="AZ151" s="589"/>
      <c r="BA151" s="136">
        <f t="shared" ref="BA151:BA161" si="730">AQ151+AN151+AK151+AH151+AC151+Y151+V151+R151+O151+L151+I151+F151+C151+AT151</f>
        <v>3749.9435928064236</v>
      </c>
      <c r="BB151" s="143"/>
      <c r="BC151" s="1263">
        <f>AS151+AP151+AM151+AJ151+AG151+AE151+AC151+AA151+X151+U151+T151+Q151+N151+K151+H151+E151</f>
        <v>6596.21</v>
      </c>
      <c r="BD151" s="1129" t="s">
        <v>414</v>
      </c>
      <c r="BE151" s="34"/>
      <c r="BF151" s="1650"/>
    </row>
    <row r="152" spans="1:148" s="2" customFormat="1" ht="15.75" thickBot="1" x14ac:dyDescent="0.3">
      <c r="A152" s="204">
        <v>342</v>
      </c>
      <c r="B152" s="340" t="s">
        <v>257</v>
      </c>
      <c r="C152" s="634">
        <f>C151</f>
        <v>0</v>
      </c>
      <c r="D152" s="634">
        <f>D151</f>
        <v>0</v>
      </c>
      <c r="E152" s="635">
        <f>E151</f>
        <v>0</v>
      </c>
      <c r="F152" s="635">
        <f t="shared" ref="F152" si="731">F151</f>
        <v>0</v>
      </c>
      <c r="G152" s="635">
        <f t="shared" ref="G152:K152" si="732">G151</f>
        <v>0</v>
      </c>
      <c r="H152" s="635">
        <f t="shared" si="732"/>
        <v>0</v>
      </c>
      <c r="I152" s="635">
        <f t="shared" ref="I152" si="733">I151</f>
        <v>0</v>
      </c>
      <c r="J152" s="635">
        <f t="shared" si="732"/>
        <v>0</v>
      </c>
      <c r="K152" s="1063">
        <f t="shared" si="732"/>
        <v>0</v>
      </c>
      <c r="L152" s="1110">
        <f>L151</f>
        <v>0</v>
      </c>
      <c r="M152" s="717">
        <f>M151</f>
        <v>0</v>
      </c>
      <c r="N152" s="718">
        <f>N151</f>
        <v>0</v>
      </c>
      <c r="O152" s="718">
        <f t="shared" ref="O152" si="734">O151</f>
        <v>0</v>
      </c>
      <c r="P152" s="718">
        <f t="shared" ref="P152:U152" si="735">P151</f>
        <v>0</v>
      </c>
      <c r="Q152" s="718">
        <f t="shared" si="735"/>
        <v>0</v>
      </c>
      <c r="R152" s="718">
        <f t="shared" ref="R152" si="736">R151</f>
        <v>0</v>
      </c>
      <c r="S152" s="718">
        <f t="shared" si="735"/>
        <v>0</v>
      </c>
      <c r="T152" s="718">
        <f t="shared" si="735"/>
        <v>0</v>
      </c>
      <c r="U152" s="1111">
        <f t="shared" si="735"/>
        <v>0</v>
      </c>
      <c r="V152" s="1028">
        <f>V151</f>
        <v>0</v>
      </c>
      <c r="W152" s="740">
        <f>W151</f>
        <v>0</v>
      </c>
      <c r="X152" s="741">
        <f>X151</f>
        <v>0</v>
      </c>
      <c r="Y152" s="741">
        <f>Y151</f>
        <v>3749.9435928064236</v>
      </c>
      <c r="Z152" s="741">
        <v>7385</v>
      </c>
      <c r="AA152" s="741">
        <f>AA151</f>
        <v>6596.21</v>
      </c>
      <c r="AB152" s="741">
        <f t="shared" ref="AB152:AN152" si="737">AB151</f>
        <v>0</v>
      </c>
      <c r="AC152" s="741">
        <f t="shared" si="737"/>
        <v>0</v>
      </c>
      <c r="AD152" s="741">
        <f t="shared" si="737"/>
        <v>0</v>
      </c>
      <c r="AE152" s="741">
        <f t="shared" si="737"/>
        <v>0</v>
      </c>
      <c r="AF152" s="741">
        <f t="shared" si="737"/>
        <v>0</v>
      </c>
      <c r="AG152" s="741">
        <f t="shared" si="737"/>
        <v>0</v>
      </c>
      <c r="AH152" s="741">
        <f t="shared" ref="AH152" si="738">AH151</f>
        <v>0</v>
      </c>
      <c r="AI152" s="741">
        <f t="shared" si="737"/>
        <v>0</v>
      </c>
      <c r="AJ152" s="741">
        <f t="shared" si="737"/>
        <v>0</v>
      </c>
      <c r="AK152" s="741">
        <f t="shared" ref="AK152" si="739">AK151</f>
        <v>0</v>
      </c>
      <c r="AL152" s="741">
        <f t="shared" si="737"/>
        <v>0</v>
      </c>
      <c r="AM152" s="1029">
        <f t="shared" si="737"/>
        <v>0</v>
      </c>
      <c r="AN152" s="990">
        <f t="shared" si="737"/>
        <v>0</v>
      </c>
      <c r="AO152" s="797">
        <f t="shared" ref="AO152:AV152" si="740">AO151</f>
        <v>0</v>
      </c>
      <c r="AP152" s="798">
        <f t="shared" si="740"/>
        <v>0</v>
      </c>
      <c r="AQ152" s="799">
        <f t="shared" ref="AQ152" si="741">AQ151</f>
        <v>0</v>
      </c>
      <c r="AR152" s="800">
        <f t="shared" si="740"/>
        <v>0</v>
      </c>
      <c r="AS152" s="991">
        <f t="shared" si="740"/>
        <v>0</v>
      </c>
      <c r="AT152" s="947">
        <f t="shared" ref="AT152" si="742">AT151</f>
        <v>0</v>
      </c>
      <c r="AU152" s="869">
        <f t="shared" si="740"/>
        <v>0</v>
      </c>
      <c r="AV152" s="890">
        <f t="shared" si="740"/>
        <v>0</v>
      </c>
      <c r="AW152" s="870">
        <f t="shared" ref="AW152:AX152" si="743">AW151</f>
        <v>0</v>
      </c>
      <c r="AX152" s="968">
        <f t="shared" si="743"/>
        <v>0</v>
      </c>
      <c r="AY152" s="913">
        <f t="shared" ref="AY152:AZ152" si="744">AY151</f>
        <v>0</v>
      </c>
      <c r="AZ152" s="163">
        <f t="shared" si="744"/>
        <v>0</v>
      </c>
      <c r="BA152" s="482">
        <f>SUM(BA151)</f>
        <v>3749.9435928064236</v>
      </c>
      <c r="BB152" s="162">
        <f>AR152+AO152+AL152+AI152+AF152+AB152+AD152+Z152+W152+S152+P152+M152+J152+G152+D152+AU152</f>
        <v>7385</v>
      </c>
      <c r="BC152" s="1266">
        <f>SUM(BC151)</f>
        <v>6596.21</v>
      </c>
      <c r="BD152" s="346">
        <v>342</v>
      </c>
      <c r="BE152" s="131"/>
      <c r="BF152" s="1650"/>
      <c r="BG152" s="610"/>
      <c r="BH152" s="610"/>
      <c r="BI152" s="1655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</row>
    <row r="153" spans="1:148" s="6" customFormat="1" ht="15.75" thickTop="1" x14ac:dyDescent="0.25">
      <c r="A153" s="171">
        <v>343111</v>
      </c>
      <c r="B153" s="172" t="s">
        <v>106</v>
      </c>
      <c r="C153" s="638"/>
      <c r="D153" s="638"/>
      <c r="E153" s="672"/>
      <c r="F153" s="640"/>
      <c r="G153" s="640"/>
      <c r="H153" s="672"/>
      <c r="I153" s="639"/>
      <c r="J153" s="639"/>
      <c r="K153" s="1071"/>
      <c r="L153" s="1086"/>
      <c r="M153" s="388"/>
      <c r="N153" s="713"/>
      <c r="O153" s="705"/>
      <c r="P153" s="705"/>
      <c r="Q153" s="713"/>
      <c r="R153" s="705"/>
      <c r="S153" s="705"/>
      <c r="T153" s="713"/>
      <c r="U153" s="1104"/>
      <c r="V153" s="1030"/>
      <c r="W153" s="742"/>
      <c r="X153" s="760"/>
      <c r="Y153" s="743"/>
      <c r="Z153" s="743"/>
      <c r="AA153" s="760"/>
      <c r="AB153" s="743"/>
      <c r="AC153" s="760"/>
      <c r="AD153" s="743"/>
      <c r="AE153" s="760"/>
      <c r="AF153" s="743"/>
      <c r="AG153" s="760"/>
      <c r="AH153" s="743"/>
      <c r="AI153" s="743"/>
      <c r="AJ153" s="760"/>
      <c r="AK153" s="743"/>
      <c r="AL153" s="743"/>
      <c r="AM153" s="1045"/>
      <c r="AN153" s="992">
        <f>9/7.5345</f>
        <v>1.1945052757316343</v>
      </c>
      <c r="AO153" s="801"/>
      <c r="AP153" s="832"/>
      <c r="AQ153" s="802"/>
      <c r="AR153" s="803"/>
      <c r="AS153" s="1008"/>
      <c r="AT153" s="946"/>
      <c r="AU153" s="868"/>
      <c r="AV153" s="885"/>
      <c r="AW153" s="886"/>
      <c r="AX153" s="965"/>
      <c r="AY153" s="912"/>
      <c r="AZ153" s="604"/>
      <c r="BA153" s="136">
        <f t="shared" si="730"/>
        <v>1.1945052757316343</v>
      </c>
      <c r="BB153" s="165"/>
      <c r="BC153" s="1276">
        <f>AS153+AP153+AM153+AJ153+AG153+AE153+AC153+AA153+X153+U153+T153+Q153+N153+K153+H153+E153</f>
        <v>0</v>
      </c>
      <c r="BD153" s="191">
        <v>343111</v>
      </c>
      <c r="BE153" s="34"/>
      <c r="BF153" s="610"/>
      <c r="BG153" s="610"/>
      <c r="BH153" s="610"/>
      <c r="BI153" s="1656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</row>
    <row r="154" spans="1:148" s="6" customFormat="1" ht="15.75" thickBot="1" x14ac:dyDescent="0.3">
      <c r="A154" s="46">
        <v>343121</v>
      </c>
      <c r="B154" s="29" t="s">
        <v>107</v>
      </c>
      <c r="C154" s="618"/>
      <c r="D154" s="618"/>
      <c r="E154" s="657"/>
      <c r="F154" s="620"/>
      <c r="G154" s="620"/>
      <c r="H154" s="657"/>
      <c r="I154" s="619"/>
      <c r="J154" s="619"/>
      <c r="K154" s="1067"/>
      <c r="L154" s="1077"/>
      <c r="M154" s="379"/>
      <c r="N154" s="709"/>
      <c r="O154" s="700"/>
      <c r="P154" s="700"/>
      <c r="Q154" s="709"/>
      <c r="R154" s="700"/>
      <c r="S154" s="700"/>
      <c r="T154" s="709"/>
      <c r="U154" s="1096"/>
      <c r="V154" s="1021">
        <f>11139.83/7.5345</f>
        <v>1478.5095228615037</v>
      </c>
      <c r="W154" s="730"/>
      <c r="X154" s="752">
        <v>1385.51</v>
      </c>
      <c r="Y154" s="731"/>
      <c r="Z154" s="731"/>
      <c r="AA154" s="752"/>
      <c r="AB154" s="731"/>
      <c r="AC154" s="752"/>
      <c r="AD154" s="731"/>
      <c r="AE154" s="752"/>
      <c r="AF154" s="731"/>
      <c r="AG154" s="752"/>
      <c r="AH154" s="731"/>
      <c r="AI154" s="731"/>
      <c r="AJ154" s="752"/>
      <c r="AK154" s="731"/>
      <c r="AL154" s="731"/>
      <c r="AM154" s="1038"/>
      <c r="AN154" s="983"/>
      <c r="AO154" s="780"/>
      <c r="AP154" s="818"/>
      <c r="AQ154" s="781"/>
      <c r="AR154" s="782"/>
      <c r="AS154" s="1001"/>
      <c r="AT154" s="936"/>
      <c r="AU154" s="859"/>
      <c r="AV154" s="877"/>
      <c r="AW154" s="878"/>
      <c r="AX154" s="956"/>
      <c r="AY154" s="906"/>
      <c r="AZ154" s="601"/>
      <c r="BA154" s="136">
        <f t="shared" si="730"/>
        <v>1478.5095228615037</v>
      </c>
      <c r="BB154" s="144"/>
      <c r="BC154" s="1263">
        <f>AS154+AP154+AM154+AJ154+AG154+AE154+AC154+AA154+X154+U154+T154+Q154+N154+K154+H154+E154</f>
        <v>1385.51</v>
      </c>
      <c r="BD154" s="187">
        <v>343121</v>
      </c>
      <c r="BE154" s="34"/>
      <c r="BF154" s="1650"/>
      <c r="BG154" s="610"/>
      <c r="BH154" s="610"/>
      <c r="BI154" s="1656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</row>
    <row r="155" spans="1:148" s="2" customFormat="1" ht="15.75" thickBot="1" x14ac:dyDescent="0.3">
      <c r="A155" s="76">
        <v>3431</v>
      </c>
      <c r="B155" s="81" t="s">
        <v>108</v>
      </c>
      <c r="C155" s="621">
        <f>C153+C154</f>
        <v>0</v>
      </c>
      <c r="D155" s="621">
        <f>D153+D154</f>
        <v>0</v>
      </c>
      <c r="E155" s="622">
        <f t="shared" ref="E155:K155" si="745">E153+E154</f>
        <v>0</v>
      </c>
      <c r="F155" s="623">
        <f t="shared" ref="F155" si="746">F153+F154</f>
        <v>0</v>
      </c>
      <c r="G155" s="623">
        <f t="shared" si="745"/>
        <v>0</v>
      </c>
      <c r="H155" s="622">
        <f t="shared" si="745"/>
        <v>0</v>
      </c>
      <c r="I155" s="622">
        <f t="shared" ref="I155" si="747">I153+I154</f>
        <v>0</v>
      </c>
      <c r="J155" s="622">
        <f t="shared" si="745"/>
        <v>0</v>
      </c>
      <c r="K155" s="1060">
        <f t="shared" si="745"/>
        <v>0</v>
      </c>
      <c r="L155" s="1078">
        <f>L153+L154</f>
        <v>0</v>
      </c>
      <c r="M155" s="381">
        <f>M153+M154</f>
        <v>0</v>
      </c>
      <c r="N155" s="382">
        <f>N153+N154</f>
        <v>0</v>
      </c>
      <c r="O155" s="382">
        <f t="shared" ref="O155" si="748">O153+O154</f>
        <v>0</v>
      </c>
      <c r="P155" s="382">
        <f t="shared" ref="P155:R155" si="749">P153+P154</f>
        <v>0</v>
      </c>
      <c r="Q155" s="382">
        <f t="shared" si="749"/>
        <v>0</v>
      </c>
      <c r="R155" s="382">
        <f t="shared" si="749"/>
        <v>0</v>
      </c>
      <c r="S155" s="382">
        <f t="shared" ref="S155:Z155" si="750">S153+S154</f>
        <v>0</v>
      </c>
      <c r="T155" s="382">
        <f t="shared" si="750"/>
        <v>0</v>
      </c>
      <c r="U155" s="1079">
        <f t="shared" si="750"/>
        <v>0</v>
      </c>
      <c r="V155" s="1022">
        <f t="shared" ref="V155" si="751">V153+V154</f>
        <v>1478.5095228615037</v>
      </c>
      <c r="W155" s="732">
        <f t="shared" si="750"/>
        <v>0</v>
      </c>
      <c r="X155" s="733">
        <f>X153+X154</f>
        <v>1385.51</v>
      </c>
      <c r="Y155" s="733">
        <f t="shared" ref="Y155" si="752">Y153+Y154</f>
        <v>0</v>
      </c>
      <c r="Z155" s="733">
        <f t="shared" si="750"/>
        <v>0</v>
      </c>
      <c r="AA155" s="733">
        <f t="shared" ref="AA155" si="753">AA153+AA154</f>
        <v>0</v>
      </c>
      <c r="AB155" s="733">
        <f t="shared" ref="AB155:AC155" si="754">AB153+AB154</f>
        <v>0</v>
      </c>
      <c r="AC155" s="733">
        <f t="shared" si="754"/>
        <v>0</v>
      </c>
      <c r="AD155" s="733">
        <f t="shared" ref="AD155:AL155" si="755">AD153+AD154</f>
        <v>0</v>
      </c>
      <c r="AE155" s="733">
        <f t="shared" ref="AE155:AF155" si="756">AE153+AE154</f>
        <v>0</v>
      </c>
      <c r="AF155" s="733">
        <f t="shared" si="756"/>
        <v>0</v>
      </c>
      <c r="AG155" s="733">
        <f t="shared" ref="AG155:AK155" si="757">AG153+AG154</f>
        <v>0</v>
      </c>
      <c r="AH155" s="733">
        <f t="shared" ref="AH155" si="758">AH153+AH154</f>
        <v>0</v>
      </c>
      <c r="AI155" s="733">
        <f t="shared" si="757"/>
        <v>0</v>
      </c>
      <c r="AJ155" s="733">
        <f t="shared" si="757"/>
        <v>0</v>
      </c>
      <c r="AK155" s="733">
        <f t="shared" si="757"/>
        <v>0</v>
      </c>
      <c r="AL155" s="733">
        <f t="shared" si="755"/>
        <v>0</v>
      </c>
      <c r="AM155" s="1023">
        <f t="shared" ref="AM155:AO155" si="759">AM153+AM154</f>
        <v>0</v>
      </c>
      <c r="AN155" s="984">
        <f t="shared" ref="AN155" si="760">AN153+AN154</f>
        <v>1.1945052757316343</v>
      </c>
      <c r="AO155" s="783">
        <f t="shared" si="759"/>
        <v>0</v>
      </c>
      <c r="AP155" s="784">
        <f t="shared" ref="AP155:AR155" si="761">AP153+AP154</f>
        <v>0</v>
      </c>
      <c r="AQ155" s="785">
        <f t="shared" ref="AQ155" si="762">AQ153+AQ154</f>
        <v>0</v>
      </c>
      <c r="AR155" s="786">
        <f t="shared" si="761"/>
        <v>0</v>
      </c>
      <c r="AS155" s="985">
        <f t="shared" ref="AS155:AX155" si="763">AS153+AS154</f>
        <v>0</v>
      </c>
      <c r="AT155" s="937">
        <f t="shared" ref="AT155:AU155" si="764">AT153+AT154</f>
        <v>0</v>
      </c>
      <c r="AU155" s="860">
        <f t="shared" si="764"/>
        <v>0</v>
      </c>
      <c r="AV155" s="860">
        <f t="shared" si="763"/>
        <v>0</v>
      </c>
      <c r="AW155" s="861">
        <f t="shared" si="763"/>
        <v>0</v>
      </c>
      <c r="AX155" s="938">
        <f t="shared" si="763"/>
        <v>0</v>
      </c>
      <c r="AY155" s="907">
        <f t="shared" ref="AY155:AZ155" si="765">AY153+AY154</f>
        <v>0</v>
      </c>
      <c r="AZ155" s="586">
        <f t="shared" si="765"/>
        <v>0</v>
      </c>
      <c r="BA155" s="481">
        <f>SUM(BA153:BA154)</f>
        <v>1479.7040281372354</v>
      </c>
      <c r="BB155" s="155">
        <f>AR155+AO155+AL155+AI155+AF155+AB155+AD155+Z155+W155+S155+P155+M155+J155+G155+D155</f>
        <v>0</v>
      </c>
      <c r="BC155" s="1265">
        <f>SUM(BC153:BC154)</f>
        <v>1385.51</v>
      </c>
      <c r="BD155" s="188">
        <v>3431</v>
      </c>
      <c r="BE155" s="131"/>
      <c r="BF155" s="1651"/>
      <c r="BG155" s="610"/>
      <c r="BH155" s="610"/>
      <c r="BI155" s="1655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</row>
    <row r="156" spans="1:148" x14ac:dyDescent="0.25">
      <c r="A156" s="74">
        <v>343311</v>
      </c>
      <c r="B156" s="85" t="s">
        <v>166</v>
      </c>
      <c r="C156" s="631">
        <f>2789.02/7.5345</f>
        <v>370.16656712456034</v>
      </c>
      <c r="D156" s="631"/>
      <c r="E156" s="626"/>
      <c r="F156" s="633"/>
      <c r="G156" s="633"/>
      <c r="H156" s="626"/>
      <c r="I156" s="632"/>
      <c r="J156" s="632"/>
      <c r="K156" s="1061"/>
      <c r="L156" s="1083"/>
      <c r="M156" s="385"/>
      <c r="N156" s="701"/>
      <c r="O156" s="704"/>
      <c r="P156" s="704"/>
      <c r="Q156" s="701"/>
      <c r="R156" s="704"/>
      <c r="S156" s="704"/>
      <c r="T156" s="701"/>
      <c r="U156" s="1106"/>
      <c r="V156" s="1027"/>
      <c r="W156" s="738"/>
      <c r="X156" s="735"/>
      <c r="Y156" s="739"/>
      <c r="Z156" s="739"/>
      <c r="AA156" s="735"/>
      <c r="AB156" s="739"/>
      <c r="AC156" s="735"/>
      <c r="AD156" s="739"/>
      <c r="AE156" s="735"/>
      <c r="AF156" s="739"/>
      <c r="AG156" s="735"/>
      <c r="AH156" s="739"/>
      <c r="AI156" s="739"/>
      <c r="AJ156" s="735"/>
      <c r="AK156" s="739"/>
      <c r="AL156" s="739"/>
      <c r="AM156" s="1025"/>
      <c r="AN156" s="989"/>
      <c r="AO156" s="794"/>
      <c r="AP156" s="788"/>
      <c r="AQ156" s="795"/>
      <c r="AR156" s="796"/>
      <c r="AS156" s="987"/>
      <c r="AT156" s="942"/>
      <c r="AU156" s="865"/>
      <c r="AV156" s="862"/>
      <c r="AW156" s="863"/>
      <c r="AX156" s="940"/>
      <c r="AY156" s="910"/>
      <c r="AZ156" s="589"/>
      <c r="BA156" s="136">
        <f t="shared" si="730"/>
        <v>370.16656712456034</v>
      </c>
      <c r="BB156" s="143"/>
      <c r="BC156" s="1263">
        <f>AS156+AP156+AM156+AJ156+AG156+AE156+AC156+AA156+X156+U156+T156+Q156+N156+K156+H156+E156</f>
        <v>0</v>
      </c>
      <c r="BD156" s="185">
        <v>343311</v>
      </c>
      <c r="BE156" s="34"/>
      <c r="BF156" s="1651"/>
    </row>
    <row r="157" spans="1:148" x14ac:dyDescent="0.25">
      <c r="A157" s="45">
        <v>343321</v>
      </c>
      <c r="B157" s="30" t="s">
        <v>167</v>
      </c>
      <c r="C157" s="615">
        <f>14566.51/7.5345</f>
        <v>1933.3081159997346</v>
      </c>
      <c r="D157" s="615"/>
      <c r="E157" s="654"/>
      <c r="F157" s="617"/>
      <c r="G157" s="617"/>
      <c r="H157" s="654"/>
      <c r="I157" s="616"/>
      <c r="J157" s="616"/>
      <c r="K157" s="1066"/>
      <c r="L157" s="1076"/>
      <c r="M157" s="378"/>
      <c r="N157" s="708"/>
      <c r="O157" s="699"/>
      <c r="P157" s="699"/>
      <c r="Q157" s="708"/>
      <c r="R157" s="699"/>
      <c r="S157" s="699"/>
      <c r="T157" s="708"/>
      <c r="U157" s="1094"/>
      <c r="V157" s="1020"/>
      <c r="W157" s="728"/>
      <c r="X157" s="750"/>
      <c r="Y157" s="729"/>
      <c r="Z157" s="729"/>
      <c r="AA157" s="750"/>
      <c r="AB157" s="729"/>
      <c r="AC157" s="750"/>
      <c r="AD157" s="729"/>
      <c r="AE157" s="750"/>
      <c r="AF157" s="729"/>
      <c r="AG157" s="750"/>
      <c r="AH157" s="729"/>
      <c r="AI157" s="729"/>
      <c r="AJ157" s="750"/>
      <c r="AK157" s="729"/>
      <c r="AL157" s="729"/>
      <c r="AM157" s="1036"/>
      <c r="AN157" s="982">
        <f>0.09/7.5345</f>
        <v>1.1945052757316344E-2</v>
      </c>
      <c r="AO157" s="777"/>
      <c r="AP157" s="814"/>
      <c r="AQ157" s="778"/>
      <c r="AR157" s="779"/>
      <c r="AS157" s="999"/>
      <c r="AT157" s="935"/>
      <c r="AU157" s="858"/>
      <c r="AV157" s="875"/>
      <c r="AW157" s="876"/>
      <c r="AX157" s="954"/>
      <c r="AY157" s="905"/>
      <c r="AZ157" s="600"/>
      <c r="BA157" s="136">
        <f t="shared" si="730"/>
        <v>1933.3200610524918</v>
      </c>
      <c r="BB157" s="139"/>
      <c r="BC157" s="1263">
        <f>AS157+AP157+AM157+AJ157+AG157+AE157+AC157+AA157+X157+U157+T157+Q157+N157+K157+H157+E157</f>
        <v>0</v>
      </c>
      <c r="BD157" s="186">
        <v>343321</v>
      </c>
      <c r="BE157" s="34"/>
      <c r="BF157" s="1650"/>
    </row>
    <row r="158" spans="1:148" s="6" customFormat="1" x14ac:dyDescent="0.25">
      <c r="A158" s="45">
        <v>343331</v>
      </c>
      <c r="B158" s="30" t="s">
        <v>109</v>
      </c>
      <c r="C158" s="615">
        <f>2649.16/7.5345</f>
        <v>351.6039551396907</v>
      </c>
      <c r="D158" s="615"/>
      <c r="E158" s="654"/>
      <c r="F158" s="617"/>
      <c r="G158" s="617"/>
      <c r="H158" s="654"/>
      <c r="I158" s="616"/>
      <c r="J158" s="616"/>
      <c r="K158" s="1066"/>
      <c r="L158" s="1076"/>
      <c r="M158" s="378"/>
      <c r="N158" s="708"/>
      <c r="O158" s="699"/>
      <c r="P158" s="699"/>
      <c r="Q158" s="708"/>
      <c r="R158" s="699"/>
      <c r="S158" s="699"/>
      <c r="T158" s="708"/>
      <c r="U158" s="1094"/>
      <c r="V158" s="1020">
        <f>258.16/7.5345</f>
        <v>34.263720220319861</v>
      </c>
      <c r="W158" s="728"/>
      <c r="X158" s="750">
        <v>1.85</v>
      </c>
      <c r="Y158" s="729"/>
      <c r="Z158" s="729"/>
      <c r="AA158" s="750"/>
      <c r="AB158" s="729"/>
      <c r="AC158" s="750"/>
      <c r="AD158" s="729"/>
      <c r="AE158" s="750"/>
      <c r="AF158" s="729"/>
      <c r="AG158" s="750"/>
      <c r="AH158" s="729"/>
      <c r="AI158" s="729"/>
      <c r="AJ158" s="750"/>
      <c r="AK158" s="729"/>
      <c r="AL158" s="729"/>
      <c r="AM158" s="1036"/>
      <c r="AN158" s="982"/>
      <c r="AO158" s="777"/>
      <c r="AP158" s="814"/>
      <c r="AQ158" s="778"/>
      <c r="AR158" s="779"/>
      <c r="AS158" s="999"/>
      <c r="AT158" s="935"/>
      <c r="AU158" s="858"/>
      <c r="AV158" s="875"/>
      <c r="AW158" s="876"/>
      <c r="AX158" s="954"/>
      <c r="AY158" s="905"/>
      <c r="AZ158" s="600"/>
      <c r="BA158" s="136">
        <f t="shared" si="730"/>
        <v>385.86767536001054</v>
      </c>
      <c r="BB158" s="139"/>
      <c r="BC158" s="1263">
        <f>AS158+AP158+AM158+AJ158+AG158+AE158+AC158+AA158+X158+U158+T158+Q158+N158+K158+H158+E158</f>
        <v>1.85</v>
      </c>
      <c r="BD158" s="186">
        <v>343331</v>
      </c>
      <c r="BE158" s="34"/>
      <c r="BF158" s="610"/>
      <c r="BG158" s="610"/>
      <c r="BH158" s="610"/>
      <c r="BI158" s="1656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</row>
    <row r="159" spans="1:148" ht="15.75" thickBot="1" x14ac:dyDescent="0.3">
      <c r="A159" s="46">
        <v>343391</v>
      </c>
      <c r="B159" s="29" t="s">
        <v>151</v>
      </c>
      <c r="C159" s="618">
        <f>24100.26/7.5345</f>
        <v>3198.6541907226751</v>
      </c>
      <c r="D159" s="618"/>
      <c r="E159" s="657"/>
      <c r="F159" s="620"/>
      <c r="G159" s="620"/>
      <c r="H159" s="657"/>
      <c r="I159" s="619"/>
      <c r="J159" s="619"/>
      <c r="K159" s="1067"/>
      <c r="L159" s="1077"/>
      <c r="M159" s="379"/>
      <c r="N159" s="709"/>
      <c r="O159" s="700"/>
      <c r="P159" s="700"/>
      <c r="Q159" s="709"/>
      <c r="R159" s="700"/>
      <c r="S159" s="700"/>
      <c r="T159" s="709"/>
      <c r="U159" s="1096"/>
      <c r="V159" s="1021"/>
      <c r="W159" s="730"/>
      <c r="X159" s="752"/>
      <c r="Y159" s="731"/>
      <c r="Z159" s="731"/>
      <c r="AA159" s="752"/>
      <c r="AB159" s="731"/>
      <c r="AC159" s="752"/>
      <c r="AD159" s="731"/>
      <c r="AE159" s="752"/>
      <c r="AF159" s="731"/>
      <c r="AG159" s="752"/>
      <c r="AH159" s="731"/>
      <c r="AI159" s="731"/>
      <c r="AJ159" s="752"/>
      <c r="AK159" s="731"/>
      <c r="AL159" s="731"/>
      <c r="AM159" s="1038"/>
      <c r="AN159" s="983"/>
      <c r="AO159" s="780"/>
      <c r="AP159" s="818"/>
      <c r="AQ159" s="781"/>
      <c r="AR159" s="782"/>
      <c r="AS159" s="1001"/>
      <c r="AT159" s="936"/>
      <c r="AU159" s="859"/>
      <c r="AV159" s="877"/>
      <c r="AW159" s="878"/>
      <c r="AX159" s="956"/>
      <c r="AY159" s="906"/>
      <c r="AZ159" s="601"/>
      <c r="BA159" s="136">
        <f t="shared" si="730"/>
        <v>3198.6541907226751</v>
      </c>
      <c r="BB159" s="144"/>
      <c r="BC159" s="1263">
        <f>AS159+AP159+AM159+AJ159+AG159+AE159+AC159+AA159+X159+U159+T159+Q159+N159+K159+H159+E159</f>
        <v>0</v>
      </c>
      <c r="BD159" s="187">
        <v>343391</v>
      </c>
      <c r="BE159" s="34"/>
    </row>
    <row r="160" spans="1:148" ht="15.75" thickBot="1" x14ac:dyDescent="0.3">
      <c r="A160" s="76">
        <v>3433</v>
      </c>
      <c r="B160" s="81" t="s">
        <v>165</v>
      </c>
      <c r="C160" s="621">
        <f>SUM(C156:C159)</f>
        <v>5853.7328289866609</v>
      </c>
      <c r="D160" s="621">
        <f t="shared" ref="D160:AX160" si="766">SUM(D156:D159)</f>
        <v>0</v>
      </c>
      <c r="E160" s="622">
        <f>SUM(E156:E159)</f>
        <v>0</v>
      </c>
      <c r="F160" s="623">
        <f t="shared" ref="F160" si="767">SUM(F156:F159)</f>
        <v>0</v>
      </c>
      <c r="G160" s="623">
        <f t="shared" si="766"/>
        <v>0</v>
      </c>
      <c r="H160" s="622">
        <f t="shared" si="766"/>
        <v>0</v>
      </c>
      <c r="I160" s="622">
        <f t="shared" ref="I160" si="768">SUM(I156:I159)</f>
        <v>0</v>
      </c>
      <c r="J160" s="622">
        <f t="shared" si="766"/>
        <v>0</v>
      </c>
      <c r="K160" s="1060">
        <f t="shared" si="766"/>
        <v>0</v>
      </c>
      <c r="L160" s="1078">
        <f t="shared" ref="L160" si="769">SUM(L156:L159)</f>
        <v>0</v>
      </c>
      <c r="M160" s="381">
        <f t="shared" si="766"/>
        <v>0</v>
      </c>
      <c r="N160" s="382">
        <f t="shared" si="766"/>
        <v>0</v>
      </c>
      <c r="O160" s="382">
        <f t="shared" ref="O160" si="770">SUM(O156:O159)</f>
        <v>0</v>
      </c>
      <c r="P160" s="382">
        <f t="shared" si="766"/>
        <v>0</v>
      </c>
      <c r="Q160" s="382">
        <f t="shared" si="766"/>
        <v>0</v>
      </c>
      <c r="R160" s="382">
        <f t="shared" ref="R160" si="771">SUM(R156:R159)</f>
        <v>0</v>
      </c>
      <c r="S160" s="382">
        <f t="shared" si="766"/>
        <v>0</v>
      </c>
      <c r="T160" s="382">
        <f t="shared" si="766"/>
        <v>0</v>
      </c>
      <c r="U160" s="1079">
        <f t="shared" si="766"/>
        <v>0</v>
      </c>
      <c r="V160" s="1022">
        <f t="shared" ref="V160" si="772">SUM(V156:V159)</f>
        <v>34.263720220319861</v>
      </c>
      <c r="W160" s="732">
        <f t="shared" si="766"/>
        <v>0</v>
      </c>
      <c r="X160" s="733">
        <f t="shared" si="766"/>
        <v>1.85</v>
      </c>
      <c r="Y160" s="733">
        <f t="shared" ref="Y160" si="773">SUM(Y156:Y159)</f>
        <v>0</v>
      </c>
      <c r="Z160" s="733">
        <f t="shared" si="766"/>
        <v>0</v>
      </c>
      <c r="AA160" s="733">
        <f t="shared" si="766"/>
        <v>0</v>
      </c>
      <c r="AB160" s="733">
        <f t="shared" si="766"/>
        <v>0</v>
      </c>
      <c r="AC160" s="733">
        <f t="shared" si="766"/>
        <v>0</v>
      </c>
      <c r="AD160" s="733">
        <f t="shared" si="766"/>
        <v>0</v>
      </c>
      <c r="AE160" s="733">
        <f t="shared" si="766"/>
        <v>0</v>
      </c>
      <c r="AF160" s="733">
        <f t="shared" si="766"/>
        <v>0</v>
      </c>
      <c r="AG160" s="733">
        <f t="shared" si="766"/>
        <v>0</v>
      </c>
      <c r="AH160" s="733">
        <f t="shared" ref="AH160" si="774">SUM(AH156:AH159)</f>
        <v>0</v>
      </c>
      <c r="AI160" s="733">
        <f t="shared" si="766"/>
        <v>0</v>
      </c>
      <c r="AJ160" s="733">
        <f t="shared" si="766"/>
        <v>0</v>
      </c>
      <c r="AK160" s="733">
        <f t="shared" ref="AK160" si="775">SUM(AK156:AK159)</f>
        <v>0</v>
      </c>
      <c r="AL160" s="733">
        <f t="shared" si="766"/>
        <v>0</v>
      </c>
      <c r="AM160" s="1023">
        <f t="shared" si="766"/>
        <v>0</v>
      </c>
      <c r="AN160" s="984">
        <f t="shared" ref="AN160" si="776">SUM(AN156:AN159)</f>
        <v>1.1945052757316344E-2</v>
      </c>
      <c r="AO160" s="783">
        <f t="shared" si="766"/>
        <v>0</v>
      </c>
      <c r="AP160" s="784">
        <f t="shared" si="766"/>
        <v>0</v>
      </c>
      <c r="AQ160" s="785">
        <f t="shared" ref="AQ160" si="777">SUM(AQ156:AQ159)</f>
        <v>0</v>
      </c>
      <c r="AR160" s="786">
        <f t="shared" si="766"/>
        <v>0</v>
      </c>
      <c r="AS160" s="985">
        <f t="shared" si="766"/>
        <v>0</v>
      </c>
      <c r="AT160" s="937">
        <f t="shared" ref="AT160" si="778">SUM(AT156:AT159)</f>
        <v>0</v>
      </c>
      <c r="AU160" s="860">
        <f t="shared" si="766"/>
        <v>0</v>
      </c>
      <c r="AV160" s="860">
        <f t="shared" si="766"/>
        <v>0</v>
      </c>
      <c r="AW160" s="861">
        <f t="shared" si="766"/>
        <v>0</v>
      </c>
      <c r="AX160" s="938">
        <f t="shared" si="766"/>
        <v>0</v>
      </c>
      <c r="AY160" s="907">
        <f t="shared" ref="AY160:AZ160" si="779">SUM(AY156:AY159)</f>
        <v>0</v>
      </c>
      <c r="AZ160" s="586">
        <f t="shared" si="779"/>
        <v>0</v>
      </c>
      <c r="BA160" s="481">
        <f>SUM(BA156:BA159)</f>
        <v>5888.0084942597387</v>
      </c>
      <c r="BB160" s="155">
        <f>AR160+AO160+AL160+AI160+AF160+AB160+AD160+Z160+W160+S160+P160+M160+J160+G160+D160</f>
        <v>0</v>
      </c>
      <c r="BC160" s="1265">
        <f>SUM(BC156:BC159)</f>
        <v>1.85</v>
      </c>
      <c r="BD160" s="188">
        <v>3433</v>
      </c>
      <c r="BE160" s="131"/>
      <c r="BF160" s="1651"/>
    </row>
    <row r="161" spans="1:148" s="2" customFormat="1" ht="15.75" thickBot="1" x14ac:dyDescent="0.3">
      <c r="A161" s="279">
        <v>343491</v>
      </c>
      <c r="B161" s="354" t="s">
        <v>240</v>
      </c>
      <c r="C161" s="621"/>
      <c r="D161" s="621"/>
      <c r="E161" s="622"/>
      <c r="F161" s="623"/>
      <c r="G161" s="623"/>
      <c r="H161" s="622"/>
      <c r="I161" s="622"/>
      <c r="J161" s="622"/>
      <c r="K161" s="1060"/>
      <c r="L161" s="1112"/>
      <c r="M161" s="719"/>
      <c r="N161" s="720"/>
      <c r="O161" s="720"/>
      <c r="P161" s="720"/>
      <c r="Q161" s="720"/>
      <c r="R161" s="720"/>
      <c r="S161" s="720"/>
      <c r="T161" s="720"/>
      <c r="U161" s="1113"/>
      <c r="V161" s="1022"/>
      <c r="W161" s="732"/>
      <c r="X161" s="733"/>
      <c r="Y161" s="733"/>
      <c r="Z161" s="733"/>
      <c r="AA161" s="733">
        <v>2919.9</v>
      </c>
      <c r="AB161" s="733"/>
      <c r="AC161" s="733"/>
      <c r="AD161" s="733"/>
      <c r="AE161" s="733"/>
      <c r="AF161" s="733"/>
      <c r="AG161" s="733"/>
      <c r="AH161" s="733"/>
      <c r="AI161" s="733"/>
      <c r="AJ161" s="733"/>
      <c r="AK161" s="733"/>
      <c r="AL161" s="733"/>
      <c r="AM161" s="1023"/>
      <c r="AN161" s="984">
        <f>6476.69/7.5345</f>
        <v>859.60448603092436</v>
      </c>
      <c r="AO161" s="783"/>
      <c r="AP161" s="784">
        <v>17.43</v>
      </c>
      <c r="AQ161" s="785">
        <f>AQ155+AQ160</f>
        <v>0</v>
      </c>
      <c r="AR161" s="786">
        <f>AR155+AR160</f>
        <v>0</v>
      </c>
      <c r="AS161" s="985">
        <f>AS155+AS160</f>
        <v>0</v>
      </c>
      <c r="AT161" s="937"/>
      <c r="AU161" s="860"/>
      <c r="AV161" s="860"/>
      <c r="AW161" s="861"/>
      <c r="AX161" s="938">
        <f>AX155+AX160</f>
        <v>0</v>
      </c>
      <c r="AY161" s="907"/>
      <c r="AZ161" s="586">
        <f>AZ155+AZ160</f>
        <v>0</v>
      </c>
      <c r="BA161" s="136">
        <f t="shared" si="730"/>
        <v>859.60448603092436</v>
      </c>
      <c r="BB161" s="155">
        <f>AR161+AO161+AL161+AI161+AF161+AB161+AD161+Z161+W161+S161+P161+M161+J161+G161+D161</f>
        <v>0</v>
      </c>
      <c r="BC161" s="1263">
        <f>AS161+AP161+AM161+AJ161+AG161+AE161+AC161+AA161+X161+U161+T161+Q161+N161+K161+H161+E161</f>
        <v>2937.33</v>
      </c>
      <c r="BD161" s="355">
        <v>343491</v>
      </c>
      <c r="BE161" s="34"/>
      <c r="BF161" s="610"/>
      <c r="BG161" s="610"/>
      <c r="BH161" s="610"/>
      <c r="BI161" s="1655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</row>
    <row r="162" spans="1:148" s="2" customFormat="1" ht="15.75" thickBot="1" x14ac:dyDescent="0.3">
      <c r="A162" s="76">
        <v>3434</v>
      </c>
      <c r="B162" s="81" t="s">
        <v>240</v>
      </c>
      <c r="C162" s="645">
        <f>SUM(C161)</f>
        <v>0</v>
      </c>
      <c r="D162" s="622">
        <f>SUM(D161)</f>
        <v>0</v>
      </c>
      <c r="E162" s="622">
        <f t="shared" ref="E162:H162" si="780">SUM(E161)</f>
        <v>0</v>
      </c>
      <c r="F162" s="622">
        <f t="shared" ref="F162" si="781">SUM(F161)</f>
        <v>0</v>
      </c>
      <c r="G162" s="622">
        <f t="shared" si="780"/>
        <v>0</v>
      </c>
      <c r="H162" s="622">
        <f t="shared" si="780"/>
        <v>0</v>
      </c>
      <c r="I162" s="622">
        <f>SUM(I161)</f>
        <v>0</v>
      </c>
      <c r="J162" s="622">
        <f>SUM(J161)</f>
        <v>0</v>
      </c>
      <c r="K162" s="1060">
        <f>SUM(K161)</f>
        <v>0</v>
      </c>
      <c r="L162" s="1114">
        <f>SUM(L161)</f>
        <v>0</v>
      </c>
      <c r="M162" s="721">
        <f>SUM(M161)</f>
        <v>0</v>
      </c>
      <c r="N162" s="382">
        <f t="shared" ref="N162:T162" si="782">SUM(N161)</f>
        <v>0</v>
      </c>
      <c r="O162" s="702">
        <f t="shared" ref="O162" si="783">SUM(O161)</f>
        <v>0</v>
      </c>
      <c r="P162" s="702">
        <f t="shared" si="782"/>
        <v>0</v>
      </c>
      <c r="Q162" s="382">
        <f>SUM(Q161)</f>
        <v>0</v>
      </c>
      <c r="R162" s="702">
        <f t="shared" ref="R162" si="784">SUM(R161)</f>
        <v>0</v>
      </c>
      <c r="S162" s="702">
        <f t="shared" si="782"/>
        <v>0</v>
      </c>
      <c r="T162" s="382">
        <f t="shared" si="782"/>
        <v>0</v>
      </c>
      <c r="U162" s="1079">
        <f>SUM(U161)</f>
        <v>0</v>
      </c>
      <c r="V162" s="1022">
        <f>SUM(V161)</f>
        <v>0</v>
      </c>
      <c r="W162" s="733">
        <f>SUM(W161)</f>
        <v>0</v>
      </c>
      <c r="X162" s="733">
        <f>SUM(X161)</f>
        <v>0</v>
      </c>
      <c r="Y162" s="733">
        <f t="shared" ref="Y162" si="785">SUM(Y161)</f>
        <v>0</v>
      </c>
      <c r="Z162" s="733">
        <f t="shared" ref="Z162:AM162" si="786">SUM(Z161)</f>
        <v>0</v>
      </c>
      <c r="AA162" s="733">
        <f t="shared" si="786"/>
        <v>2919.9</v>
      </c>
      <c r="AB162" s="733">
        <f>SUM(AB161)</f>
        <v>0</v>
      </c>
      <c r="AC162" s="733">
        <f t="shared" si="786"/>
        <v>0</v>
      </c>
      <c r="AD162" s="733">
        <f t="shared" si="786"/>
        <v>0</v>
      </c>
      <c r="AE162" s="733">
        <f t="shared" si="786"/>
        <v>0</v>
      </c>
      <c r="AF162" s="733">
        <f t="shared" si="786"/>
        <v>0</v>
      </c>
      <c r="AG162" s="733">
        <f t="shared" si="786"/>
        <v>0</v>
      </c>
      <c r="AH162" s="733">
        <f t="shared" ref="AH162" si="787">SUM(AH161)</f>
        <v>0</v>
      </c>
      <c r="AI162" s="733">
        <f t="shared" si="786"/>
        <v>0</v>
      </c>
      <c r="AJ162" s="733">
        <f t="shared" si="786"/>
        <v>0</v>
      </c>
      <c r="AK162" s="733">
        <f t="shared" ref="AK162" si="788">SUM(AK161)</f>
        <v>0</v>
      </c>
      <c r="AL162" s="733">
        <f t="shared" si="786"/>
        <v>0</v>
      </c>
      <c r="AM162" s="1023">
        <f t="shared" si="786"/>
        <v>0</v>
      </c>
      <c r="AN162" s="984">
        <f>SUM(AN161)</f>
        <v>859.60448603092436</v>
      </c>
      <c r="AO162" s="783"/>
      <c r="AP162" s="784">
        <f>SUM(AP161)</f>
        <v>17.43</v>
      </c>
      <c r="AQ162" s="785">
        <f t="shared" ref="AQ162:AV162" si="789">AQ156+AQ163</f>
        <v>0</v>
      </c>
      <c r="AR162" s="786">
        <f t="shared" si="789"/>
        <v>0</v>
      </c>
      <c r="AS162" s="985">
        <f t="shared" si="789"/>
        <v>0</v>
      </c>
      <c r="AT162" s="937">
        <f t="shared" si="789"/>
        <v>0</v>
      </c>
      <c r="AU162" s="860">
        <f t="shared" si="789"/>
        <v>0</v>
      </c>
      <c r="AV162" s="860">
        <f t="shared" si="789"/>
        <v>0</v>
      </c>
      <c r="AW162" s="861">
        <f>SUM(AW161)</f>
        <v>0</v>
      </c>
      <c r="AX162" s="938">
        <f>AX156+AX163</f>
        <v>0</v>
      </c>
      <c r="AY162" s="907">
        <f>SUM(AY161)</f>
        <v>0</v>
      </c>
      <c r="AZ162" s="586">
        <f>AZ156+AZ163</f>
        <v>0</v>
      </c>
      <c r="BA162" s="481">
        <f>SUM(BA161)</f>
        <v>859.60448603092436</v>
      </c>
      <c r="BB162" s="155">
        <f>AR162+AO162+AL162+AI162+AF162+AB162+AD162+Z162+W162+S162+P162+M162+J162+G162+D162</f>
        <v>0</v>
      </c>
      <c r="BC162" s="1265">
        <f>SUM(BC161)</f>
        <v>2937.33</v>
      </c>
      <c r="BD162" s="188">
        <v>3434</v>
      </c>
      <c r="BE162" s="131"/>
      <c r="BF162" s="610"/>
      <c r="BG162" s="610"/>
      <c r="BH162" s="610"/>
      <c r="BI162" s="1655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</row>
    <row r="163" spans="1:148" s="2" customFormat="1" ht="15.75" thickBot="1" x14ac:dyDescent="0.3">
      <c r="A163" s="204">
        <v>343</v>
      </c>
      <c r="B163" s="340" t="s">
        <v>110</v>
      </c>
      <c r="C163" s="652">
        <f>C155+C160+C162</f>
        <v>5853.7328289866609</v>
      </c>
      <c r="D163" s="634">
        <v>1500</v>
      </c>
      <c r="E163" s="635">
        <f>E155+E160+E162</f>
        <v>0</v>
      </c>
      <c r="F163" s="635">
        <f t="shared" ref="F163" si="790">F155+F160+F162</f>
        <v>0</v>
      </c>
      <c r="G163" s="635">
        <f t="shared" ref="G163:J163" si="791">G155+G160+G162</f>
        <v>0</v>
      </c>
      <c r="H163" s="635">
        <f>H155+H160+H162</f>
        <v>0</v>
      </c>
      <c r="I163" s="635">
        <f t="shared" ref="I163" si="792">I155+I160+I162</f>
        <v>0</v>
      </c>
      <c r="J163" s="635">
        <f t="shared" si="791"/>
        <v>0</v>
      </c>
      <c r="K163" s="1063">
        <f>K155+K160+K162</f>
        <v>0</v>
      </c>
      <c r="L163" s="1110">
        <f t="shared" ref="L163" si="793">L155+L160+L162</f>
        <v>0</v>
      </c>
      <c r="M163" s="717">
        <f t="shared" ref="M163:U163" si="794">M155+M160+M162</f>
        <v>0</v>
      </c>
      <c r="N163" s="718">
        <f t="shared" si="794"/>
        <v>0</v>
      </c>
      <c r="O163" s="718">
        <f t="shared" ref="O163" si="795">O155+O160+O162</f>
        <v>0</v>
      </c>
      <c r="P163" s="718">
        <f t="shared" si="794"/>
        <v>0</v>
      </c>
      <c r="Q163" s="718">
        <f t="shared" si="794"/>
        <v>0</v>
      </c>
      <c r="R163" s="718">
        <f t="shared" ref="R163" si="796">R155+R160+R162</f>
        <v>0</v>
      </c>
      <c r="S163" s="718">
        <f t="shared" si="794"/>
        <v>0</v>
      </c>
      <c r="T163" s="718">
        <f t="shared" si="794"/>
        <v>0</v>
      </c>
      <c r="U163" s="1111">
        <f t="shared" si="794"/>
        <v>0</v>
      </c>
      <c r="V163" s="1028">
        <f>V155+V160+V162</f>
        <v>1512.7732430818235</v>
      </c>
      <c r="W163" s="740">
        <v>1600</v>
      </c>
      <c r="X163" s="741">
        <f>X155+X160+X162</f>
        <v>1387.36</v>
      </c>
      <c r="Y163" s="741">
        <f>Y155+Y160+Y162</f>
        <v>0</v>
      </c>
      <c r="Z163" s="741">
        <v>2920</v>
      </c>
      <c r="AA163" s="741">
        <f t="shared" ref="AA163:AM163" si="797">AA155+AA160+AA162</f>
        <v>2919.9</v>
      </c>
      <c r="AB163" s="741">
        <f t="shared" si="797"/>
        <v>0</v>
      </c>
      <c r="AC163" s="741">
        <f t="shared" si="797"/>
        <v>0</v>
      </c>
      <c r="AD163" s="741">
        <f t="shared" si="797"/>
        <v>0</v>
      </c>
      <c r="AE163" s="741">
        <f t="shared" si="797"/>
        <v>0</v>
      </c>
      <c r="AF163" s="741">
        <f t="shared" si="797"/>
        <v>0</v>
      </c>
      <c r="AG163" s="741">
        <f t="shared" si="797"/>
        <v>0</v>
      </c>
      <c r="AH163" s="741">
        <f t="shared" ref="AH163" si="798">AH155+AH160+AH162</f>
        <v>0</v>
      </c>
      <c r="AI163" s="741">
        <f t="shared" si="797"/>
        <v>0</v>
      </c>
      <c r="AJ163" s="741">
        <f t="shared" si="797"/>
        <v>0</v>
      </c>
      <c r="AK163" s="741">
        <f t="shared" ref="AK163" si="799">AK155+AK160+AK162</f>
        <v>0</v>
      </c>
      <c r="AL163" s="741">
        <f t="shared" si="797"/>
        <v>0</v>
      </c>
      <c r="AM163" s="1029">
        <f t="shared" si="797"/>
        <v>0</v>
      </c>
      <c r="AN163" s="990">
        <f>AN155+AN160+AN162</f>
        <v>860.81093635941329</v>
      </c>
      <c r="AO163" s="797">
        <v>600</v>
      </c>
      <c r="AP163" s="798">
        <f>AP155+AP160+AP162</f>
        <v>17.43</v>
      </c>
      <c r="AQ163" s="799">
        <f t="shared" ref="AQ163:AV163" si="800">AQ154+AQ159</f>
        <v>0</v>
      </c>
      <c r="AR163" s="800">
        <f t="shared" si="800"/>
        <v>0</v>
      </c>
      <c r="AS163" s="991">
        <f t="shared" si="800"/>
        <v>0</v>
      </c>
      <c r="AT163" s="947">
        <f t="shared" si="800"/>
        <v>0</v>
      </c>
      <c r="AU163" s="869">
        <f t="shared" si="800"/>
        <v>0</v>
      </c>
      <c r="AV163" s="869">
        <f t="shared" si="800"/>
        <v>0</v>
      </c>
      <c r="AW163" s="870">
        <f>AW155+AW160+AW162</f>
        <v>0</v>
      </c>
      <c r="AX163" s="948">
        <f>AX154+AX159</f>
        <v>0</v>
      </c>
      <c r="AY163" s="913">
        <f>AY155+AY160+AY162</f>
        <v>0</v>
      </c>
      <c r="AZ163" s="593">
        <f>AZ154+AZ159</f>
        <v>0</v>
      </c>
      <c r="BA163" s="164">
        <f>BA162+BA160+BA155+BA152</f>
        <v>11977.260601234322</v>
      </c>
      <c r="BB163" s="162">
        <f>AR163+AO163+AL163+AI163+AF163+AB163+AD163+Z163+W163+S163+P163+M163+J163+G163+D163+AU163</f>
        <v>6620</v>
      </c>
      <c r="BC163" s="1266">
        <f>BC162+BC160+BC155+BC152</f>
        <v>10920.9</v>
      </c>
      <c r="BD163" s="346">
        <v>34</v>
      </c>
      <c r="BE163" s="131"/>
      <c r="BF163" s="1650"/>
      <c r="BG163" s="610"/>
      <c r="BH163" s="610"/>
      <c r="BI163" s="1655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</row>
    <row r="164" spans="1:148" s="6" customFormat="1" ht="16.5" thickTop="1" thickBot="1" x14ac:dyDescent="0.3">
      <c r="A164" s="277">
        <v>353111</v>
      </c>
      <c r="B164" s="289" t="s">
        <v>177</v>
      </c>
      <c r="C164" s="674"/>
      <c r="D164" s="674"/>
      <c r="E164" s="689"/>
      <c r="F164" s="676"/>
      <c r="G164" s="676"/>
      <c r="H164" s="689"/>
      <c r="I164" s="675">
        <f>112420.04/7.5345</f>
        <v>14920.703430884596</v>
      </c>
      <c r="J164" s="675"/>
      <c r="K164" s="1073">
        <f>250.73+5563.16+5386.84</f>
        <v>11200.73</v>
      </c>
      <c r="L164" s="1105"/>
      <c r="M164" s="399"/>
      <c r="N164" s="724"/>
      <c r="O164" s="714">
        <f>637046.91/7.5345</f>
        <v>84550.654987059519</v>
      </c>
      <c r="P164" s="714"/>
      <c r="Q164" s="724">
        <f>1420.79+31524.55+30525.42</f>
        <v>63470.759999999995</v>
      </c>
      <c r="R164" s="714"/>
      <c r="S164" s="714"/>
      <c r="T164" s="724"/>
      <c r="U164" s="1119"/>
      <c r="V164" s="1046"/>
      <c r="W164" s="761"/>
      <c r="X164" s="772"/>
      <c r="Y164" s="762"/>
      <c r="Z164" s="762"/>
      <c r="AA164" s="772"/>
      <c r="AB164" s="762"/>
      <c r="AC164" s="772"/>
      <c r="AD164" s="762"/>
      <c r="AE164" s="772"/>
      <c r="AF164" s="762"/>
      <c r="AG164" s="772"/>
      <c r="AH164" s="762"/>
      <c r="AI164" s="762"/>
      <c r="AJ164" s="772"/>
      <c r="AK164" s="762"/>
      <c r="AL164" s="762"/>
      <c r="AM164" s="1054"/>
      <c r="AN164" s="1009"/>
      <c r="AO164" s="835"/>
      <c r="AP164" s="850"/>
      <c r="AQ164" s="836"/>
      <c r="AR164" s="837"/>
      <c r="AS164" s="1016"/>
      <c r="AT164" s="966"/>
      <c r="AU164" s="887"/>
      <c r="AV164" s="895"/>
      <c r="AW164" s="896"/>
      <c r="AX164" s="974"/>
      <c r="AY164" s="924"/>
      <c r="AZ164" s="606"/>
      <c r="BA164" s="136">
        <f t="shared" ref="BA164:BA174" si="801">AQ164+AN164+AK164+AH164+AC164+Y164+V164+R164+O164+L164+I164+F164+C164+AT164</f>
        <v>99471.35841794411</v>
      </c>
      <c r="BB164" s="167"/>
      <c r="BC164" s="1276">
        <f>AS164+AP164+AM164+AJ164+AG164+AE164+AC164+AA164+X164+U164+T164+Q164+N164+K164+H164+E164</f>
        <v>74671.489999999991</v>
      </c>
      <c r="BD164" s="352">
        <v>353111</v>
      </c>
      <c r="BE164" s="34"/>
      <c r="BF164" s="1650"/>
      <c r="BG164" s="610"/>
      <c r="BH164" s="610"/>
      <c r="BI164" s="1656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</row>
    <row r="165" spans="1:148" s="2" customFormat="1" ht="15.75" thickBot="1" x14ac:dyDescent="0.3">
      <c r="A165" s="204">
        <v>353</v>
      </c>
      <c r="B165" s="340" t="s">
        <v>177</v>
      </c>
      <c r="C165" s="634">
        <f t="shared" ref="C165:H165" si="802">C164</f>
        <v>0</v>
      </c>
      <c r="D165" s="634">
        <f t="shared" si="802"/>
        <v>0</v>
      </c>
      <c r="E165" s="635">
        <f t="shared" si="802"/>
        <v>0</v>
      </c>
      <c r="F165" s="636">
        <f t="shared" si="802"/>
        <v>0</v>
      </c>
      <c r="G165" s="636">
        <f t="shared" si="802"/>
        <v>0</v>
      </c>
      <c r="H165" s="635">
        <f t="shared" si="802"/>
        <v>0</v>
      </c>
      <c r="I165" s="637">
        <f>I164</f>
        <v>14920.703430884596</v>
      </c>
      <c r="J165" s="635">
        <v>44905</v>
      </c>
      <c r="K165" s="1063">
        <f>K164</f>
        <v>11200.73</v>
      </c>
      <c r="L165" s="1084">
        <f>L164</f>
        <v>0</v>
      </c>
      <c r="M165" s="386">
        <f>M164</f>
        <v>0</v>
      </c>
      <c r="N165" s="387">
        <f>N164</f>
        <v>0</v>
      </c>
      <c r="O165" s="387">
        <f>O164</f>
        <v>84550.654987059519</v>
      </c>
      <c r="P165" s="387">
        <v>254463</v>
      </c>
      <c r="Q165" s="387">
        <f>Q164</f>
        <v>63470.759999999995</v>
      </c>
      <c r="R165" s="387">
        <f>R164</f>
        <v>0</v>
      </c>
      <c r="S165" s="387">
        <f>S164</f>
        <v>0</v>
      </c>
      <c r="T165" s="387">
        <f>T164</f>
        <v>0</v>
      </c>
      <c r="U165" s="1085">
        <f>U164</f>
        <v>0</v>
      </c>
      <c r="V165" s="1028">
        <f t="shared" ref="V165:W165" si="803">V164</f>
        <v>0</v>
      </c>
      <c r="W165" s="740">
        <f t="shared" si="803"/>
        <v>0</v>
      </c>
      <c r="X165" s="741">
        <f t="shared" ref="X165:Y165" si="804">X164</f>
        <v>0</v>
      </c>
      <c r="Y165" s="741">
        <f t="shared" si="804"/>
        <v>0</v>
      </c>
      <c r="Z165" s="741">
        <f t="shared" ref="Z165:AA165" si="805">Z164</f>
        <v>0</v>
      </c>
      <c r="AA165" s="741">
        <f t="shared" si="805"/>
        <v>0</v>
      </c>
      <c r="AB165" s="741">
        <f t="shared" ref="AB165:AC165" si="806">AB164</f>
        <v>0</v>
      </c>
      <c r="AC165" s="741">
        <f t="shared" si="806"/>
        <v>0</v>
      </c>
      <c r="AD165" s="741">
        <f t="shared" ref="AD165:AL165" si="807">AD164</f>
        <v>0</v>
      </c>
      <c r="AE165" s="741">
        <f t="shared" ref="AE165:AF165" si="808">AE164</f>
        <v>0</v>
      </c>
      <c r="AF165" s="741">
        <f t="shared" si="808"/>
        <v>0</v>
      </c>
      <c r="AG165" s="741">
        <f t="shared" ref="AG165:AK165" si="809">AG164</f>
        <v>0</v>
      </c>
      <c r="AH165" s="741">
        <f t="shared" ref="AH165" si="810">AH164</f>
        <v>0</v>
      </c>
      <c r="AI165" s="741">
        <f t="shared" si="809"/>
        <v>0</v>
      </c>
      <c r="AJ165" s="741">
        <f t="shared" si="809"/>
        <v>0</v>
      </c>
      <c r="AK165" s="741">
        <f t="shared" si="809"/>
        <v>0</v>
      </c>
      <c r="AL165" s="741">
        <f t="shared" si="807"/>
        <v>0</v>
      </c>
      <c r="AM165" s="1029">
        <f t="shared" ref="AM165:AO165" si="811">AM164</f>
        <v>0</v>
      </c>
      <c r="AN165" s="990">
        <f t="shared" ref="AN165" si="812">AN164</f>
        <v>0</v>
      </c>
      <c r="AO165" s="797">
        <f t="shared" si="811"/>
        <v>0</v>
      </c>
      <c r="AP165" s="798">
        <f t="shared" ref="AP165" si="813">AP164</f>
        <v>0</v>
      </c>
      <c r="AQ165" s="799"/>
      <c r="AR165" s="800"/>
      <c r="AS165" s="991"/>
      <c r="AT165" s="947">
        <f t="shared" ref="AT165:AU165" si="814">AT164</f>
        <v>0</v>
      </c>
      <c r="AU165" s="869">
        <f t="shared" si="814"/>
        <v>0</v>
      </c>
      <c r="AV165" s="869">
        <f t="shared" ref="AV165:AW165" si="815">AV164</f>
        <v>0</v>
      </c>
      <c r="AW165" s="870">
        <f t="shared" si="815"/>
        <v>0</v>
      </c>
      <c r="AX165" s="948"/>
      <c r="AY165" s="913">
        <f t="shared" ref="AY165" si="816">AY164</f>
        <v>0</v>
      </c>
      <c r="AZ165" s="593"/>
      <c r="BA165" s="482">
        <f>SUM(BA164)</f>
        <v>99471.35841794411</v>
      </c>
      <c r="BB165" s="162">
        <f>AR165+AO165+AL165+AI165+AF165+AB165+AD165+Z165+W165+S165+P165+M165+J165+G165+D165+AU165</f>
        <v>299368</v>
      </c>
      <c r="BC165" s="1266">
        <f>SUM(BC164)</f>
        <v>74671.489999999991</v>
      </c>
      <c r="BD165" s="346">
        <v>353</v>
      </c>
      <c r="BE165" s="131"/>
      <c r="BF165" s="1650"/>
      <c r="BG165" s="610"/>
      <c r="BH165" s="610"/>
      <c r="BI165" s="1655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</row>
    <row r="166" spans="1:148" s="6" customFormat="1" ht="16.5" thickTop="1" thickBot="1" x14ac:dyDescent="0.3">
      <c r="A166" s="277">
        <v>368121</v>
      </c>
      <c r="B166" s="289" t="s">
        <v>178</v>
      </c>
      <c r="C166" s="674"/>
      <c r="D166" s="674"/>
      <c r="E166" s="689"/>
      <c r="F166" s="676"/>
      <c r="G166" s="676"/>
      <c r="H166" s="689"/>
      <c r="I166" s="675">
        <f>2823.69/7.5345</f>
        <v>374.76806689229545</v>
      </c>
      <c r="J166" s="675"/>
      <c r="K166" s="1073">
        <f>260.1+36.85+131.62+250.93+123.48+11.1</f>
        <v>814.08</v>
      </c>
      <c r="L166" s="1105"/>
      <c r="M166" s="399"/>
      <c r="N166" s="724"/>
      <c r="O166" s="714">
        <f>16000.91/7.5345</f>
        <v>2123.6857123896739</v>
      </c>
      <c r="P166" s="714"/>
      <c r="Q166" s="724">
        <f>1473.91+208.82+62.9+699.7+1421.93+745.83</f>
        <v>4613.09</v>
      </c>
      <c r="R166" s="714"/>
      <c r="S166" s="714"/>
      <c r="T166" s="724"/>
      <c r="U166" s="1119"/>
      <c r="V166" s="1046"/>
      <c r="W166" s="761"/>
      <c r="X166" s="772"/>
      <c r="Y166" s="762"/>
      <c r="Z166" s="762"/>
      <c r="AA166" s="772"/>
      <c r="AB166" s="762"/>
      <c r="AC166" s="772"/>
      <c r="AD166" s="762"/>
      <c r="AE166" s="772"/>
      <c r="AF166" s="762"/>
      <c r="AG166" s="772"/>
      <c r="AH166" s="762"/>
      <c r="AI166" s="762"/>
      <c r="AJ166" s="772"/>
      <c r="AK166" s="762"/>
      <c r="AL166" s="762"/>
      <c r="AM166" s="1054"/>
      <c r="AN166" s="1009"/>
      <c r="AO166" s="835"/>
      <c r="AP166" s="850"/>
      <c r="AQ166" s="836"/>
      <c r="AR166" s="837"/>
      <c r="AS166" s="1016"/>
      <c r="AT166" s="966"/>
      <c r="AU166" s="887"/>
      <c r="AV166" s="895"/>
      <c r="AW166" s="896"/>
      <c r="AX166" s="974"/>
      <c r="AY166" s="924"/>
      <c r="AZ166" s="606"/>
      <c r="BA166" s="136">
        <f t="shared" si="801"/>
        <v>2498.4537792819692</v>
      </c>
      <c r="BB166" s="167"/>
      <c r="BC166" s="1276">
        <f>AS166+AP166+AM166+AJ166+AG166+AE166+AC166+AA166+X166+U166+T166+Q166+N166+K166+H166+E166</f>
        <v>5427.17</v>
      </c>
      <c r="BD166" s="352">
        <v>368121</v>
      </c>
      <c r="BE166" s="34"/>
      <c r="BF166" s="1651"/>
      <c r="BG166" s="610"/>
      <c r="BH166" s="610"/>
      <c r="BI166" s="1656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</row>
    <row r="167" spans="1:148" s="2" customFormat="1" ht="15.75" thickBot="1" x14ac:dyDescent="0.3">
      <c r="A167" s="204">
        <v>368</v>
      </c>
      <c r="B167" s="340" t="s">
        <v>179</v>
      </c>
      <c r="C167" s="634">
        <f t="shared" ref="C167:H167" si="817">C166</f>
        <v>0</v>
      </c>
      <c r="D167" s="634">
        <f t="shared" si="817"/>
        <v>0</v>
      </c>
      <c r="E167" s="635">
        <f t="shared" si="817"/>
        <v>0</v>
      </c>
      <c r="F167" s="636">
        <f t="shared" si="817"/>
        <v>0</v>
      </c>
      <c r="G167" s="636">
        <f t="shared" si="817"/>
        <v>0</v>
      </c>
      <c r="H167" s="635">
        <f t="shared" si="817"/>
        <v>0</v>
      </c>
      <c r="I167" s="637">
        <f>I166</f>
        <v>374.76806689229545</v>
      </c>
      <c r="J167" s="635">
        <v>4050</v>
      </c>
      <c r="K167" s="1063">
        <f>K166</f>
        <v>814.08</v>
      </c>
      <c r="L167" s="1084">
        <f>L166</f>
        <v>0</v>
      </c>
      <c r="M167" s="386">
        <f>M166</f>
        <v>0</v>
      </c>
      <c r="N167" s="387">
        <f>N166</f>
        <v>0</v>
      </c>
      <c r="O167" s="387">
        <f>O166</f>
        <v>2123.6857123896739</v>
      </c>
      <c r="P167" s="387">
        <v>22950</v>
      </c>
      <c r="Q167" s="387">
        <f>Q166</f>
        <v>4613.09</v>
      </c>
      <c r="R167" s="387">
        <f>R166</f>
        <v>0</v>
      </c>
      <c r="S167" s="387">
        <f>S166</f>
        <v>0</v>
      </c>
      <c r="T167" s="387">
        <f>T166</f>
        <v>0</v>
      </c>
      <c r="U167" s="1085">
        <f>U166</f>
        <v>0</v>
      </c>
      <c r="V167" s="1028">
        <f t="shared" ref="V167:W167" si="818">V166</f>
        <v>0</v>
      </c>
      <c r="W167" s="740">
        <f t="shared" si="818"/>
        <v>0</v>
      </c>
      <c r="X167" s="741">
        <f t="shared" ref="X167:Y167" si="819">X166</f>
        <v>0</v>
      </c>
      <c r="Y167" s="741">
        <f t="shared" si="819"/>
        <v>0</v>
      </c>
      <c r="Z167" s="741">
        <f t="shared" ref="Z167:AA167" si="820">Z166</f>
        <v>0</v>
      </c>
      <c r="AA167" s="741">
        <f t="shared" si="820"/>
        <v>0</v>
      </c>
      <c r="AB167" s="741">
        <f t="shared" ref="AB167:AC167" si="821">AB166</f>
        <v>0</v>
      </c>
      <c r="AC167" s="741">
        <f t="shared" si="821"/>
        <v>0</v>
      </c>
      <c r="AD167" s="741">
        <f t="shared" ref="AD167:AL167" si="822">AD166</f>
        <v>0</v>
      </c>
      <c r="AE167" s="741">
        <f t="shared" ref="AE167:AF167" si="823">AE166</f>
        <v>0</v>
      </c>
      <c r="AF167" s="741">
        <f t="shared" si="823"/>
        <v>0</v>
      </c>
      <c r="AG167" s="741">
        <f t="shared" ref="AG167:AK167" si="824">AG166</f>
        <v>0</v>
      </c>
      <c r="AH167" s="741">
        <f t="shared" ref="AH167" si="825">AH166</f>
        <v>0</v>
      </c>
      <c r="AI167" s="741">
        <f t="shared" si="824"/>
        <v>0</v>
      </c>
      <c r="AJ167" s="741">
        <f t="shared" si="824"/>
        <v>0</v>
      </c>
      <c r="AK167" s="741">
        <f t="shared" si="824"/>
        <v>0</v>
      </c>
      <c r="AL167" s="741">
        <f t="shared" si="822"/>
        <v>0</v>
      </c>
      <c r="AM167" s="1029">
        <f t="shared" ref="AM167:AO167" si="826">AM166</f>
        <v>0</v>
      </c>
      <c r="AN167" s="990">
        <f t="shared" ref="AN167" si="827">AN166</f>
        <v>0</v>
      </c>
      <c r="AO167" s="797">
        <f t="shared" si="826"/>
        <v>0</v>
      </c>
      <c r="AP167" s="798">
        <f t="shared" ref="AP167" si="828">AP166</f>
        <v>0</v>
      </c>
      <c r="AQ167" s="799"/>
      <c r="AR167" s="800"/>
      <c r="AS167" s="991"/>
      <c r="AT167" s="947">
        <f t="shared" ref="AT167:AU167" si="829">AT166</f>
        <v>0</v>
      </c>
      <c r="AU167" s="869">
        <f t="shared" si="829"/>
        <v>0</v>
      </c>
      <c r="AV167" s="869">
        <f t="shared" ref="AV167:AW167" si="830">AV166</f>
        <v>0</v>
      </c>
      <c r="AW167" s="870">
        <f t="shared" si="830"/>
        <v>0</v>
      </c>
      <c r="AX167" s="948"/>
      <c r="AY167" s="913">
        <f t="shared" ref="AY167" si="831">AY166</f>
        <v>0</v>
      </c>
      <c r="AZ167" s="593"/>
      <c r="BA167" s="482">
        <f>SUM(BA166)</f>
        <v>2498.4537792819692</v>
      </c>
      <c r="BB167" s="162">
        <f>AR167+AO167+AL167+AI167+AF167+AB167+AD167+Z167+W167+S167+P167+M167+J167+G167+D167+AU167</f>
        <v>27000</v>
      </c>
      <c r="BC167" s="1266">
        <f>SUM(BC166)</f>
        <v>5427.17</v>
      </c>
      <c r="BD167" s="346">
        <v>368</v>
      </c>
      <c r="BE167" s="131"/>
      <c r="BF167" s="1650"/>
      <c r="BG167" s="610"/>
      <c r="BH167" s="610"/>
      <c r="BI167" s="1655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</row>
    <row r="168" spans="1:148" s="6" customFormat="1" ht="16.5" thickTop="1" thickBot="1" x14ac:dyDescent="0.3">
      <c r="A168" s="277">
        <v>369311</v>
      </c>
      <c r="B168" s="289" t="s">
        <v>180</v>
      </c>
      <c r="C168" s="674"/>
      <c r="D168" s="674"/>
      <c r="E168" s="689"/>
      <c r="F168" s="676"/>
      <c r="G168" s="676"/>
      <c r="H168" s="689"/>
      <c r="I168" s="675">
        <f>36930.79/7.5345</f>
        <v>4901.5581657707871</v>
      </c>
      <c r="J168" s="675"/>
      <c r="K168" s="1073">
        <f>1028.88+1194.55</f>
        <v>2223.4300000000003</v>
      </c>
      <c r="L168" s="1105">
        <f>183989.81/7.5345</f>
        <v>24419.644302873447</v>
      </c>
      <c r="M168" s="399"/>
      <c r="N168" s="724">
        <f>8277.08+1313.93+5976.19+760.61+5619.96+8814.17+2157.25+3096.75+2073.92+330.76+1108.31</f>
        <v>39528.93</v>
      </c>
      <c r="O168" s="714">
        <f>209274.55/7.5345</f>
        <v>27775.506005707077</v>
      </c>
      <c r="P168" s="714"/>
      <c r="Q168" s="724">
        <f>5830.34+6769.12</f>
        <v>12599.46</v>
      </c>
      <c r="R168" s="714"/>
      <c r="S168" s="714"/>
      <c r="T168" s="724"/>
      <c r="U168" s="1119"/>
      <c r="V168" s="1046"/>
      <c r="W168" s="761"/>
      <c r="X168" s="772"/>
      <c r="Y168" s="762"/>
      <c r="Z168" s="762"/>
      <c r="AA168" s="772"/>
      <c r="AB168" s="762"/>
      <c r="AC168" s="772"/>
      <c r="AD168" s="762"/>
      <c r="AE168" s="772"/>
      <c r="AF168" s="762"/>
      <c r="AG168" s="772"/>
      <c r="AH168" s="762"/>
      <c r="AI168" s="762"/>
      <c r="AJ168" s="772"/>
      <c r="AK168" s="762"/>
      <c r="AL168" s="762"/>
      <c r="AM168" s="1054"/>
      <c r="AN168" s="1009"/>
      <c r="AO168" s="835"/>
      <c r="AP168" s="850"/>
      <c r="AQ168" s="836"/>
      <c r="AR168" s="837"/>
      <c r="AS168" s="1016"/>
      <c r="AT168" s="966"/>
      <c r="AU168" s="887"/>
      <c r="AV168" s="895"/>
      <c r="AW168" s="896"/>
      <c r="AX168" s="974"/>
      <c r="AY168" s="924"/>
      <c r="AZ168" s="606"/>
      <c r="BA168" s="136">
        <f t="shared" si="801"/>
        <v>57096.708474351311</v>
      </c>
      <c r="BB168" s="167"/>
      <c r="BC168" s="1276">
        <f>AS168+AP168+AM168+AJ168+AG168+AE168+AC168+AA168+X168+U168+T168+Q168+N168+K168+H168+E168</f>
        <v>54351.82</v>
      </c>
      <c r="BD168" s="352">
        <v>369311</v>
      </c>
      <c r="BE168" s="34"/>
      <c r="BF168" s="1651"/>
      <c r="BG168" s="610"/>
      <c r="BH168" s="610"/>
      <c r="BI168" s="1656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</row>
    <row r="169" spans="1:148" s="2" customFormat="1" ht="15.75" thickBot="1" x14ac:dyDescent="0.3">
      <c r="A169" s="204">
        <v>369</v>
      </c>
      <c r="B169" s="340" t="s">
        <v>181</v>
      </c>
      <c r="C169" s="634">
        <f t="shared" ref="C169" si="832">C168</f>
        <v>0</v>
      </c>
      <c r="D169" s="634">
        <f t="shared" ref="D169:M169" si="833">D168</f>
        <v>0</v>
      </c>
      <c r="E169" s="635">
        <f t="shared" si="833"/>
        <v>0</v>
      </c>
      <c r="F169" s="636">
        <f t="shared" ref="F169" si="834">F168</f>
        <v>0</v>
      </c>
      <c r="G169" s="636">
        <f t="shared" si="833"/>
        <v>0</v>
      </c>
      <c r="H169" s="635">
        <f t="shared" si="833"/>
        <v>0</v>
      </c>
      <c r="I169" s="637">
        <f>I168</f>
        <v>4901.5581657707871</v>
      </c>
      <c r="J169" s="635">
        <f t="shared" si="833"/>
        <v>0</v>
      </c>
      <c r="K169" s="1063">
        <f>K168</f>
        <v>2223.4300000000003</v>
      </c>
      <c r="L169" s="1084">
        <f>L168</f>
        <v>24419.644302873447</v>
      </c>
      <c r="M169" s="386">
        <f t="shared" si="833"/>
        <v>0</v>
      </c>
      <c r="N169" s="387">
        <f>N168</f>
        <v>39528.93</v>
      </c>
      <c r="O169" s="387">
        <f>O168</f>
        <v>27775.506005707077</v>
      </c>
      <c r="P169" s="387">
        <f t="shared" ref="P169" si="835">P168</f>
        <v>0</v>
      </c>
      <c r="Q169" s="387">
        <f>Q168</f>
        <v>12599.46</v>
      </c>
      <c r="R169" s="387">
        <f>R168</f>
        <v>0</v>
      </c>
      <c r="S169" s="387">
        <f>S168</f>
        <v>0</v>
      </c>
      <c r="T169" s="387">
        <f>T168</f>
        <v>0</v>
      </c>
      <c r="U169" s="1085">
        <f>U168</f>
        <v>0</v>
      </c>
      <c r="V169" s="1028">
        <f t="shared" ref="V169:W169" si="836">V168</f>
        <v>0</v>
      </c>
      <c r="W169" s="740">
        <f t="shared" si="836"/>
        <v>0</v>
      </c>
      <c r="X169" s="741">
        <f t="shared" ref="X169:Y169" si="837">X168</f>
        <v>0</v>
      </c>
      <c r="Y169" s="741">
        <f t="shared" si="837"/>
        <v>0</v>
      </c>
      <c r="Z169" s="741">
        <f t="shared" ref="Z169:AA169" si="838">Z168</f>
        <v>0</v>
      </c>
      <c r="AA169" s="741">
        <f t="shared" si="838"/>
        <v>0</v>
      </c>
      <c r="AB169" s="741">
        <f t="shared" ref="AB169:AC169" si="839">AB168</f>
        <v>0</v>
      </c>
      <c r="AC169" s="741">
        <f t="shared" si="839"/>
        <v>0</v>
      </c>
      <c r="AD169" s="741">
        <f t="shared" ref="AD169:AL169" si="840">AD168</f>
        <v>0</v>
      </c>
      <c r="AE169" s="741">
        <f t="shared" ref="AE169:AF169" si="841">AE168</f>
        <v>0</v>
      </c>
      <c r="AF169" s="741">
        <f t="shared" si="841"/>
        <v>0</v>
      </c>
      <c r="AG169" s="741">
        <f t="shared" ref="AG169:AK169" si="842">AG168</f>
        <v>0</v>
      </c>
      <c r="AH169" s="741">
        <f t="shared" ref="AH169" si="843">AH168</f>
        <v>0</v>
      </c>
      <c r="AI169" s="741">
        <f t="shared" si="842"/>
        <v>0</v>
      </c>
      <c r="AJ169" s="741">
        <f t="shared" si="842"/>
        <v>0</v>
      </c>
      <c r="AK169" s="741">
        <f t="shared" si="842"/>
        <v>0</v>
      </c>
      <c r="AL169" s="741">
        <f t="shared" si="840"/>
        <v>0</v>
      </c>
      <c r="AM169" s="1029">
        <f t="shared" ref="AM169:AO169" si="844">AM168</f>
        <v>0</v>
      </c>
      <c r="AN169" s="990">
        <f t="shared" ref="AN169" si="845">AN168</f>
        <v>0</v>
      </c>
      <c r="AO169" s="797">
        <f t="shared" si="844"/>
        <v>0</v>
      </c>
      <c r="AP169" s="798">
        <f t="shared" ref="AP169" si="846">AP168</f>
        <v>0</v>
      </c>
      <c r="AQ169" s="799"/>
      <c r="AR169" s="800"/>
      <c r="AS169" s="991"/>
      <c r="AT169" s="947">
        <f t="shared" ref="AT169:AU169" si="847">AT168</f>
        <v>0</v>
      </c>
      <c r="AU169" s="869">
        <f t="shared" si="847"/>
        <v>0</v>
      </c>
      <c r="AV169" s="869">
        <f t="shared" ref="AV169:AW169" si="848">AV168</f>
        <v>0</v>
      </c>
      <c r="AW169" s="870">
        <f t="shared" si="848"/>
        <v>0</v>
      </c>
      <c r="AX169" s="948"/>
      <c r="AY169" s="913">
        <f t="shared" ref="AY169" si="849">AY168</f>
        <v>0</v>
      </c>
      <c r="AZ169" s="593"/>
      <c r="BA169" s="482">
        <f>SUM(BA168)</f>
        <v>57096.708474351311</v>
      </c>
      <c r="BB169" s="162">
        <f>AR169+AO169+AL169+AI169+AF169+AB169+AD169+Z169+W169+S169+P169+M169+J169+G169+D169</f>
        <v>0</v>
      </c>
      <c r="BC169" s="1266">
        <f>SUM(BC168)</f>
        <v>54351.82</v>
      </c>
      <c r="BD169" s="346">
        <v>369</v>
      </c>
      <c r="BE169" s="131"/>
      <c r="BF169" s="1650"/>
      <c r="BG169" s="610"/>
      <c r="BH169" s="610"/>
      <c r="BI169" s="1655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</row>
    <row r="170" spans="1:148" s="6" customFormat="1" ht="15.75" thickTop="1" x14ac:dyDescent="0.25">
      <c r="A170" s="171">
        <v>372191</v>
      </c>
      <c r="B170" s="172" t="s">
        <v>112</v>
      </c>
      <c r="C170" s="638"/>
      <c r="D170" s="638"/>
      <c r="E170" s="672"/>
      <c r="F170" s="640"/>
      <c r="G170" s="640"/>
      <c r="H170" s="672"/>
      <c r="I170" s="639"/>
      <c r="J170" s="639"/>
      <c r="K170" s="1071"/>
      <c r="L170" s="1086"/>
      <c r="M170" s="388"/>
      <c r="N170" s="713"/>
      <c r="O170" s="705"/>
      <c r="P170" s="705"/>
      <c r="Q170" s="713"/>
      <c r="R170" s="705"/>
      <c r="S170" s="705"/>
      <c r="T170" s="713"/>
      <c r="U170" s="1104"/>
      <c r="V170" s="1030"/>
      <c r="W170" s="742"/>
      <c r="X170" s="760"/>
      <c r="Y170" s="743"/>
      <c r="Z170" s="743"/>
      <c r="AA170" s="760"/>
      <c r="AB170" s="743"/>
      <c r="AC170" s="760"/>
      <c r="AD170" s="743"/>
      <c r="AE170" s="760"/>
      <c r="AF170" s="743"/>
      <c r="AG170" s="760"/>
      <c r="AH170" s="743"/>
      <c r="AI170" s="743"/>
      <c r="AJ170" s="760"/>
      <c r="AK170" s="743"/>
      <c r="AL170" s="743"/>
      <c r="AM170" s="1045"/>
      <c r="AN170" s="992"/>
      <c r="AO170" s="801"/>
      <c r="AP170" s="832"/>
      <c r="AQ170" s="802"/>
      <c r="AR170" s="803"/>
      <c r="AS170" s="1008"/>
      <c r="AT170" s="946"/>
      <c r="AU170" s="868"/>
      <c r="AV170" s="885"/>
      <c r="AW170" s="886"/>
      <c r="AX170" s="965"/>
      <c r="AY170" s="912"/>
      <c r="AZ170" s="604"/>
      <c r="BA170" s="136">
        <f t="shared" si="801"/>
        <v>0</v>
      </c>
      <c r="BB170" s="165"/>
      <c r="BC170" s="1276">
        <f>AS170+AP170+AM170+AJ170+AG170+AE170+AC170+AA170+X170+U170+T170+Q170+N170+K170+H170+E170</f>
        <v>0</v>
      </c>
      <c r="BD170" s="191">
        <v>372191</v>
      </c>
      <c r="BE170" s="34"/>
      <c r="BF170" s="1651"/>
      <c r="BG170" s="610"/>
      <c r="BH170" s="610"/>
      <c r="BI170" s="1656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</row>
    <row r="171" spans="1:148" s="6" customFormat="1" ht="15.75" thickBot="1" x14ac:dyDescent="0.3">
      <c r="A171" s="46">
        <v>372291</v>
      </c>
      <c r="B171" s="29" t="s">
        <v>145</v>
      </c>
      <c r="C171" s="618"/>
      <c r="D171" s="618"/>
      <c r="E171" s="657"/>
      <c r="F171" s="620"/>
      <c r="G171" s="620"/>
      <c r="H171" s="657"/>
      <c r="I171" s="619"/>
      <c r="J171" s="619"/>
      <c r="K171" s="1067"/>
      <c r="L171" s="1077"/>
      <c r="M171" s="379"/>
      <c r="N171" s="709"/>
      <c r="O171" s="700"/>
      <c r="P171" s="700"/>
      <c r="Q171" s="709"/>
      <c r="R171" s="700"/>
      <c r="S171" s="700"/>
      <c r="T171" s="709"/>
      <c r="U171" s="1096"/>
      <c r="V171" s="1021"/>
      <c r="W171" s="730"/>
      <c r="X171" s="752"/>
      <c r="Y171" s="731"/>
      <c r="Z171" s="731"/>
      <c r="AA171" s="752"/>
      <c r="AB171" s="731"/>
      <c r="AC171" s="752"/>
      <c r="AD171" s="731"/>
      <c r="AE171" s="752"/>
      <c r="AF171" s="731"/>
      <c r="AG171" s="752"/>
      <c r="AH171" s="731"/>
      <c r="AI171" s="731"/>
      <c r="AJ171" s="752"/>
      <c r="AK171" s="731"/>
      <c r="AL171" s="731"/>
      <c r="AM171" s="1038"/>
      <c r="AN171" s="983"/>
      <c r="AO171" s="780"/>
      <c r="AP171" s="818"/>
      <c r="AQ171" s="781"/>
      <c r="AR171" s="782"/>
      <c r="AS171" s="1001"/>
      <c r="AT171" s="936"/>
      <c r="AU171" s="859"/>
      <c r="AV171" s="877"/>
      <c r="AW171" s="878"/>
      <c r="AX171" s="956"/>
      <c r="AY171" s="906"/>
      <c r="AZ171" s="601"/>
      <c r="BA171" s="136">
        <f t="shared" si="801"/>
        <v>0</v>
      </c>
      <c r="BB171" s="144"/>
      <c r="BC171" s="1263">
        <f>AS171+AP171+AM171+AJ171+AG171+AE171+AC171+AA171+X171+U171+T171+Q171+N171+K171+H171+E171</f>
        <v>0</v>
      </c>
      <c r="BD171" s="187">
        <v>372291</v>
      </c>
      <c r="BE171" s="34"/>
      <c r="BF171" s="1650"/>
      <c r="BG171" s="610"/>
      <c r="BH171" s="610"/>
      <c r="BI171" s="1656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</row>
    <row r="172" spans="1:148" s="2" customFormat="1" ht="15.75" thickBot="1" x14ac:dyDescent="0.3">
      <c r="A172" s="204">
        <v>372</v>
      </c>
      <c r="B172" s="340" t="s">
        <v>113</v>
      </c>
      <c r="C172" s="634">
        <f>C170+C171</f>
        <v>0</v>
      </c>
      <c r="D172" s="634">
        <f>D170+D171</f>
        <v>0</v>
      </c>
      <c r="E172" s="635">
        <f t="shared" ref="E172:O172" si="850">E170+E171</f>
        <v>0</v>
      </c>
      <c r="F172" s="636">
        <f t="shared" ref="F172" si="851">F170+F171</f>
        <v>0</v>
      </c>
      <c r="G172" s="636">
        <f t="shared" si="850"/>
        <v>0</v>
      </c>
      <c r="H172" s="635">
        <f t="shared" si="850"/>
        <v>0</v>
      </c>
      <c r="I172" s="635">
        <f t="shared" ref="I172" si="852">I170+I171</f>
        <v>0</v>
      </c>
      <c r="J172" s="635">
        <f t="shared" si="850"/>
        <v>0</v>
      </c>
      <c r="K172" s="1063">
        <f t="shared" si="850"/>
        <v>0</v>
      </c>
      <c r="L172" s="1084">
        <f t="shared" ref="L172" si="853">L170+L171</f>
        <v>0</v>
      </c>
      <c r="M172" s="386">
        <f t="shared" si="850"/>
        <v>0</v>
      </c>
      <c r="N172" s="387">
        <f t="shared" si="850"/>
        <v>0</v>
      </c>
      <c r="O172" s="387">
        <f t="shared" si="850"/>
        <v>0</v>
      </c>
      <c r="P172" s="387">
        <f t="shared" ref="P172:Q172" si="854">P170+P171</f>
        <v>0</v>
      </c>
      <c r="Q172" s="387">
        <f t="shared" si="854"/>
        <v>0</v>
      </c>
      <c r="R172" s="387">
        <f>R170+R171</f>
        <v>0</v>
      </c>
      <c r="S172" s="387">
        <f>S170+S171</f>
        <v>0</v>
      </c>
      <c r="T172" s="387">
        <f>T170+T171</f>
        <v>0</v>
      </c>
      <c r="U172" s="1085">
        <f>U170+U171</f>
        <v>0</v>
      </c>
      <c r="V172" s="1028">
        <f t="shared" ref="V172:W172" si="855">V170+V171</f>
        <v>0</v>
      </c>
      <c r="W172" s="740">
        <f t="shared" si="855"/>
        <v>0</v>
      </c>
      <c r="X172" s="741">
        <f t="shared" ref="X172:Y172" si="856">X170+X171</f>
        <v>0</v>
      </c>
      <c r="Y172" s="741">
        <f t="shared" si="856"/>
        <v>0</v>
      </c>
      <c r="Z172" s="741">
        <f t="shared" ref="Z172:AA172" si="857">Z170+Z171</f>
        <v>0</v>
      </c>
      <c r="AA172" s="741">
        <f t="shared" si="857"/>
        <v>0</v>
      </c>
      <c r="AB172" s="741"/>
      <c r="AC172" s="741">
        <f t="shared" ref="AC172" si="858">AC170+AC171</f>
        <v>0</v>
      </c>
      <c r="AD172" s="741">
        <f t="shared" ref="AD172:AL172" si="859">AD170+AD171</f>
        <v>0</v>
      </c>
      <c r="AE172" s="741">
        <f t="shared" ref="AE172:AF172" si="860">AE170+AE171</f>
        <v>0</v>
      </c>
      <c r="AF172" s="741">
        <f t="shared" si="860"/>
        <v>0</v>
      </c>
      <c r="AG172" s="741">
        <f t="shared" ref="AG172:AK172" si="861">AG170+AG171</f>
        <v>0</v>
      </c>
      <c r="AH172" s="741">
        <f t="shared" ref="AH172" si="862">AH170+AH171</f>
        <v>0</v>
      </c>
      <c r="AI172" s="741">
        <f t="shared" si="861"/>
        <v>0</v>
      </c>
      <c r="AJ172" s="741">
        <f t="shared" si="861"/>
        <v>0</v>
      </c>
      <c r="AK172" s="741">
        <f t="shared" si="861"/>
        <v>0</v>
      </c>
      <c r="AL172" s="741">
        <f t="shared" si="859"/>
        <v>0</v>
      </c>
      <c r="AM172" s="1029">
        <f t="shared" ref="AM172:AO172" si="863">AM170+AM171</f>
        <v>0</v>
      </c>
      <c r="AN172" s="990">
        <f t="shared" ref="AN172" si="864">AN170+AN171</f>
        <v>0</v>
      </c>
      <c r="AO172" s="797">
        <f t="shared" si="863"/>
        <v>0</v>
      </c>
      <c r="AP172" s="798">
        <f t="shared" ref="AP172" si="865">AP170+AP171</f>
        <v>0</v>
      </c>
      <c r="AQ172" s="799"/>
      <c r="AR172" s="800"/>
      <c r="AS172" s="991"/>
      <c r="AT172" s="947">
        <f t="shared" ref="AT172:AU172" si="866">AT170+AT171</f>
        <v>0</v>
      </c>
      <c r="AU172" s="869">
        <f t="shared" si="866"/>
        <v>0</v>
      </c>
      <c r="AV172" s="869">
        <f t="shared" ref="AV172:AW172" si="867">AV170+AV171</f>
        <v>0</v>
      </c>
      <c r="AW172" s="870">
        <f t="shared" si="867"/>
        <v>0</v>
      </c>
      <c r="AX172" s="948"/>
      <c r="AY172" s="913">
        <f t="shared" ref="AY172" si="868">AY170+AY171</f>
        <v>0</v>
      </c>
      <c r="AZ172" s="593"/>
      <c r="BA172" s="482">
        <f>SUM(BA170:BA171)</f>
        <v>0</v>
      </c>
      <c r="BB172" s="162">
        <f>AR172+AO172+AL172+AI172+AF172+AB172+AD172+Z172+W172+S172+P172+M172+J172+G172+D172</f>
        <v>0</v>
      </c>
      <c r="BC172" s="1266">
        <f>SUM(BC170:BC171)</f>
        <v>0</v>
      </c>
      <c r="BD172" s="346">
        <v>372</v>
      </c>
      <c r="BE172" s="131"/>
      <c r="BF172" s="1651"/>
      <c r="BG172" s="610"/>
      <c r="BH172" s="610"/>
      <c r="BI172" s="1655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</row>
    <row r="173" spans="1:148" s="6" customFormat="1" ht="15.75" thickTop="1" x14ac:dyDescent="0.25">
      <c r="A173" s="171">
        <v>381311</v>
      </c>
      <c r="B173" s="172" t="s">
        <v>182</v>
      </c>
      <c r="C173" s="638"/>
      <c r="D173" s="638"/>
      <c r="E173" s="672"/>
      <c r="F173" s="640"/>
      <c r="G173" s="640"/>
      <c r="H173" s="672"/>
      <c r="I173" s="639">
        <f>463496.81/7.5345</f>
        <v>61516.598314420327</v>
      </c>
      <c r="J173" s="639"/>
      <c r="K173" s="1071">
        <f>249.36+541.99+361.74+165.14+17932.98+956.06+1013.07+17488.51</f>
        <v>38708.85</v>
      </c>
      <c r="L173" s="1086"/>
      <c r="M173" s="388"/>
      <c r="N173" s="713"/>
      <c r="O173" s="705">
        <f>2626481.95/7.5345</f>
        <v>348594.06065432343</v>
      </c>
      <c r="P173" s="705"/>
      <c r="Q173" s="713">
        <f>1413.06+3071.3+2049.83+935.77+101620.23+5417.67+5740.73+99101.53</f>
        <v>219350.12</v>
      </c>
      <c r="R173" s="705"/>
      <c r="S173" s="705"/>
      <c r="T173" s="713"/>
      <c r="U173" s="1104"/>
      <c r="V173" s="1030"/>
      <c r="W173" s="742"/>
      <c r="X173" s="760"/>
      <c r="Y173" s="743"/>
      <c r="Z173" s="743"/>
      <c r="AA173" s="760"/>
      <c r="AB173" s="743"/>
      <c r="AC173" s="760"/>
      <c r="AD173" s="743"/>
      <c r="AE173" s="760"/>
      <c r="AF173" s="743"/>
      <c r="AG173" s="760"/>
      <c r="AH173" s="743"/>
      <c r="AI173" s="743"/>
      <c r="AJ173" s="760"/>
      <c r="AK173" s="743"/>
      <c r="AL173" s="743"/>
      <c r="AM173" s="1045"/>
      <c r="AN173" s="992"/>
      <c r="AO173" s="801"/>
      <c r="AP173" s="832"/>
      <c r="AQ173" s="802"/>
      <c r="AR173" s="803"/>
      <c r="AS173" s="1008"/>
      <c r="AT173" s="946"/>
      <c r="AU173" s="868"/>
      <c r="AV173" s="885"/>
      <c r="AW173" s="886"/>
      <c r="AX173" s="965"/>
      <c r="AY173" s="912"/>
      <c r="AZ173" s="604"/>
      <c r="BA173" s="136">
        <f t="shared" si="801"/>
        <v>410110.65896874375</v>
      </c>
      <c r="BB173" s="165"/>
      <c r="BC173" s="1281">
        <f>AS173+AP173+AM173+AJ173+AG173+AE173+AC173+AA173+X173+U173+T173+Q173+N173+K173+H173+E173</f>
        <v>258058.97</v>
      </c>
      <c r="BD173" s="191">
        <v>381311</v>
      </c>
      <c r="BE173" s="34"/>
      <c r="BF173" s="1651"/>
      <c r="BG173" s="610"/>
      <c r="BH173" s="610"/>
      <c r="BI173" s="1656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</row>
    <row r="174" spans="1:148" s="6" customFormat="1" ht="15.75" thickBot="1" x14ac:dyDescent="0.3">
      <c r="A174" s="78">
        <v>381291</v>
      </c>
      <c r="B174" s="79" t="s">
        <v>274</v>
      </c>
      <c r="C174" s="628"/>
      <c r="D174" s="628"/>
      <c r="E174" s="1165">
        <v>1392.63</v>
      </c>
      <c r="F174" s="630"/>
      <c r="G174" s="630"/>
      <c r="H174" s="1165"/>
      <c r="I174" s="629"/>
      <c r="J174" s="629"/>
      <c r="K174" s="1180"/>
      <c r="L174" s="1082"/>
      <c r="M174" s="384"/>
      <c r="N174" s="1188"/>
      <c r="O174" s="703"/>
      <c r="P174" s="703"/>
      <c r="Q174" s="1188"/>
      <c r="R174" s="703"/>
      <c r="S174" s="703"/>
      <c r="T174" s="1188"/>
      <c r="U174" s="1197"/>
      <c r="V174" s="1026"/>
      <c r="W174" s="736"/>
      <c r="X174" s="1208"/>
      <c r="Y174" s="737"/>
      <c r="Z174" s="737"/>
      <c r="AA174" s="1208"/>
      <c r="AB174" s="737"/>
      <c r="AC174" s="1208"/>
      <c r="AD174" s="737"/>
      <c r="AE174" s="1208"/>
      <c r="AF174" s="737"/>
      <c r="AG174" s="1208"/>
      <c r="AH174" s="737"/>
      <c r="AI174" s="737"/>
      <c r="AJ174" s="1208"/>
      <c r="AK174" s="737"/>
      <c r="AL174" s="737"/>
      <c r="AM174" s="1216"/>
      <c r="AN174" s="988"/>
      <c r="AO174" s="791"/>
      <c r="AP174" s="1222"/>
      <c r="AQ174" s="792"/>
      <c r="AR174" s="793"/>
      <c r="AS174" s="996"/>
      <c r="AT174" s="941"/>
      <c r="AU174" s="864"/>
      <c r="AV174" s="1240"/>
      <c r="AW174" s="1241"/>
      <c r="AX174" s="951"/>
      <c r="AY174" s="909"/>
      <c r="AZ174" s="595"/>
      <c r="BA174" s="136">
        <f t="shared" si="801"/>
        <v>0</v>
      </c>
      <c r="BB174" s="148"/>
      <c r="BC174" s="1263">
        <f>AS174+AP174+AM174+AJ174+AG174+AE174+AC174+AA174+X174+U174+T174+Q174+N174+K174+H174+E174</f>
        <v>1392.63</v>
      </c>
      <c r="BD174" s="189">
        <v>381291</v>
      </c>
      <c r="BE174" s="34"/>
      <c r="BF174" s="1650"/>
      <c r="BG174" s="610"/>
      <c r="BH174" s="610"/>
      <c r="BI174" s="1656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</row>
    <row r="175" spans="1:148" s="9" customFormat="1" ht="15.75" thickBot="1" x14ac:dyDescent="0.3">
      <c r="A175" s="356">
        <v>381</v>
      </c>
      <c r="B175" s="357" t="s">
        <v>183</v>
      </c>
      <c r="C175" s="660">
        <f>C173</f>
        <v>0</v>
      </c>
      <c r="D175" s="660">
        <v>1400</v>
      </c>
      <c r="E175" s="661">
        <f>SUM(E174)</f>
        <v>1392.63</v>
      </c>
      <c r="F175" s="662">
        <f>F173</f>
        <v>0</v>
      </c>
      <c r="G175" s="662">
        <f>G173</f>
        <v>0</v>
      </c>
      <c r="H175" s="661">
        <f>H173</f>
        <v>0</v>
      </c>
      <c r="I175" s="663">
        <f>I173</f>
        <v>61516.598314420327</v>
      </c>
      <c r="J175" s="661">
        <v>72150</v>
      </c>
      <c r="K175" s="1068">
        <f>K173</f>
        <v>38708.85</v>
      </c>
      <c r="L175" s="1097">
        <f>L173</f>
        <v>0</v>
      </c>
      <c r="M175" s="395">
        <f>M173</f>
        <v>0</v>
      </c>
      <c r="N175" s="396">
        <f>N173</f>
        <v>0</v>
      </c>
      <c r="O175" s="396">
        <f>O173</f>
        <v>348594.06065432343</v>
      </c>
      <c r="P175" s="396">
        <v>408850</v>
      </c>
      <c r="Q175" s="396">
        <f>Q173</f>
        <v>219350.12</v>
      </c>
      <c r="R175" s="396">
        <f>R173</f>
        <v>0</v>
      </c>
      <c r="S175" s="396">
        <f>S173</f>
        <v>0</v>
      </c>
      <c r="T175" s="396">
        <f>T173</f>
        <v>0</v>
      </c>
      <c r="U175" s="1098">
        <f>U173</f>
        <v>0</v>
      </c>
      <c r="V175" s="1041">
        <f t="shared" ref="V175:W175" si="869">V173</f>
        <v>0</v>
      </c>
      <c r="W175" s="755">
        <f t="shared" si="869"/>
        <v>0</v>
      </c>
      <c r="X175" s="756">
        <f t="shared" ref="X175:Y175" si="870">X173</f>
        <v>0</v>
      </c>
      <c r="Y175" s="756">
        <f t="shared" si="870"/>
        <v>0</v>
      </c>
      <c r="Z175" s="756">
        <f t="shared" ref="Z175:AA175" si="871">Z173</f>
        <v>0</v>
      </c>
      <c r="AA175" s="756">
        <f t="shared" si="871"/>
        <v>0</v>
      </c>
      <c r="AB175" s="756">
        <f t="shared" ref="AB175:AC175" si="872">AB173</f>
        <v>0</v>
      </c>
      <c r="AC175" s="756">
        <f t="shared" si="872"/>
        <v>0</v>
      </c>
      <c r="AD175" s="756">
        <f t="shared" ref="AD175:AL175" si="873">AD173</f>
        <v>0</v>
      </c>
      <c r="AE175" s="756">
        <f t="shared" ref="AE175:AF175" si="874">AE173</f>
        <v>0</v>
      </c>
      <c r="AF175" s="756">
        <f t="shared" si="874"/>
        <v>0</v>
      </c>
      <c r="AG175" s="756">
        <f t="shared" ref="AG175:AK175" si="875">AG173</f>
        <v>0</v>
      </c>
      <c r="AH175" s="756">
        <f t="shared" ref="AH175" si="876">AH173</f>
        <v>0</v>
      </c>
      <c r="AI175" s="756">
        <f t="shared" si="875"/>
        <v>0</v>
      </c>
      <c r="AJ175" s="756">
        <f t="shared" si="875"/>
        <v>0</v>
      </c>
      <c r="AK175" s="756">
        <f t="shared" si="875"/>
        <v>0</v>
      </c>
      <c r="AL175" s="756">
        <f t="shared" si="873"/>
        <v>0</v>
      </c>
      <c r="AM175" s="1042">
        <f t="shared" ref="AM175:AO175" si="877">AM173</f>
        <v>0</v>
      </c>
      <c r="AN175" s="1003">
        <f t="shared" ref="AN175" si="878">AN173</f>
        <v>0</v>
      </c>
      <c r="AO175" s="823">
        <f t="shared" si="877"/>
        <v>0</v>
      </c>
      <c r="AP175" s="824">
        <f t="shared" ref="AP175" si="879">AP173</f>
        <v>0</v>
      </c>
      <c r="AQ175" s="799"/>
      <c r="AR175" s="800"/>
      <c r="AS175" s="991"/>
      <c r="AT175" s="960">
        <f t="shared" ref="AT175:AU175" si="880">AT173</f>
        <v>0</v>
      </c>
      <c r="AU175" s="881">
        <f t="shared" si="880"/>
        <v>0</v>
      </c>
      <c r="AV175" s="881">
        <f t="shared" ref="AV175:AW175" si="881">AV173</f>
        <v>0</v>
      </c>
      <c r="AW175" s="882">
        <f t="shared" si="881"/>
        <v>0</v>
      </c>
      <c r="AX175" s="948"/>
      <c r="AY175" s="921">
        <f t="shared" ref="AY175" si="882">AY173</f>
        <v>0</v>
      </c>
      <c r="AZ175" s="593"/>
      <c r="BA175" s="482">
        <f>SUM(BA173:BA174)</f>
        <v>410110.65896874375</v>
      </c>
      <c r="BB175" s="162">
        <f>AR175+AO175+AL175+AI175+AF175+AB175+AD175+Z175+W175+S175+P175+M175+J175+G175+D175+AU175</f>
        <v>482400</v>
      </c>
      <c r="BC175" s="1275">
        <f>SUM(BC173:BC174)</f>
        <v>259451.6</v>
      </c>
      <c r="BD175" s="358">
        <v>381</v>
      </c>
      <c r="BE175" s="132"/>
      <c r="BF175" s="1651"/>
      <c r="BG175" s="610"/>
      <c r="BH175" s="610"/>
      <c r="BI175" s="1657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</row>
    <row r="176" spans="1:148" s="2" customFormat="1" ht="16.5" thickTop="1" thickBot="1" x14ac:dyDescent="0.3">
      <c r="A176" s="195">
        <v>3</v>
      </c>
      <c r="B176" s="196" t="s">
        <v>111</v>
      </c>
      <c r="C176" s="641">
        <f>C40+C46+C50+C66+C87+C130+C133+C150+C163+C165+C167+C169+C172+C175+C152</f>
        <v>892531.19915057393</v>
      </c>
      <c r="D176" s="641">
        <f>D40+D46+D50+D66+D87+D130+D133+D150+D163+D165+D167+D169+D172+D175+D152</f>
        <v>1130731</v>
      </c>
      <c r="E176" s="641">
        <f>E40+E46+E50+E66+E87+E130+E133+E150+E163+E165+E167+E169+E172+E175+E152</f>
        <v>1039466.8800000002</v>
      </c>
      <c r="F176" s="641">
        <f>F40+F46+F50+F66+F87+F130+F133+F150+F163+F165+F167+F169+F172+F175+F152</f>
        <v>1023.8927599708009</v>
      </c>
      <c r="G176" s="641">
        <f t="shared" ref="G176:K176" si="883">G40+G46+G50+G66+G87+G130+G133+G150+G163+G165+G167+G169+G172+G175+G152</f>
        <v>1330</v>
      </c>
      <c r="H176" s="641">
        <f t="shared" si="883"/>
        <v>1257.8600000000001</v>
      </c>
      <c r="I176" s="641">
        <f t="shared" si="883"/>
        <v>148584.11573428893</v>
      </c>
      <c r="J176" s="641">
        <f>J40+J46+J50+J66+J87+J130+J133+J150+J163+J165+J167+J169+J172+J175+J152</f>
        <v>237700</v>
      </c>
      <c r="K176" s="641">
        <f t="shared" si="883"/>
        <v>167637.64000000004</v>
      </c>
      <c r="L176" s="1087">
        <f t="shared" ref="L176:R176" si="884">L40+L46+L50+L66+L87+L130+L133+L150+L163+L165+L167+L169+L172+L175+L152</f>
        <v>42074.093835025546</v>
      </c>
      <c r="M176" s="389">
        <f t="shared" si="884"/>
        <v>22903</v>
      </c>
      <c r="N176" s="389">
        <f t="shared" si="884"/>
        <v>61811.33</v>
      </c>
      <c r="O176" s="389">
        <f t="shared" si="884"/>
        <v>836812.32198553311</v>
      </c>
      <c r="P176" s="389">
        <f t="shared" si="884"/>
        <v>1346968</v>
      </c>
      <c r="Q176" s="389">
        <f t="shared" si="884"/>
        <v>949946.92999999982</v>
      </c>
      <c r="R176" s="389">
        <f t="shared" si="884"/>
        <v>5688.4995686508719</v>
      </c>
      <c r="S176" s="389">
        <f t="shared" ref="S176:U176" si="885">S40+S46+S50+S66+S87+S130+S133+S150+S163+S165+S167+S169+S172+S175+S152</f>
        <v>101272</v>
      </c>
      <c r="T176" s="389">
        <f t="shared" si="885"/>
        <v>18610.5</v>
      </c>
      <c r="U176" s="1115">
        <f t="shared" si="885"/>
        <v>30994.080000000002</v>
      </c>
      <c r="V176" s="1031">
        <f>V40+V46+V50+V66+V87+V130+V133+V150+V163+V165+V167+V169+V172+V175+V152</f>
        <v>93453.0094896808</v>
      </c>
      <c r="W176" s="744">
        <f>W40+W46+W50+W66+W87+W130+W133+W150+W163+W165+W167+W169+W172+W175+W152</f>
        <v>113431</v>
      </c>
      <c r="X176" s="744">
        <f>X40+X46+X50+X66+X87+X130+X133+X150+X163+X165+X167+X169+X172+X175+X152</f>
        <v>113431.10999999999</v>
      </c>
      <c r="Y176" s="744">
        <f>Y40+Y46+Y50+Y66+Y87+Y130+Y133+Y150+Y163+Y165+Y167+Y169+Y172+Y175+Y152</f>
        <v>5172.0114141615231</v>
      </c>
      <c r="Z176" s="744">
        <f t="shared" ref="Z176:AM176" si="886">Z40+Z46+Z50+Z66+Z87+Z130+Z133+Z150+Z163+Z165+Z167+Z169+Z172+Z175+Z152</f>
        <v>19135</v>
      </c>
      <c r="AA176" s="744">
        <f>AA40+AA46+AA50+AA66+AA87+AA130+AA133+AA150+AA163+AA165+AA167+AA169+AA172+AA175+AA152</f>
        <v>19175.989999999998</v>
      </c>
      <c r="AB176" s="744">
        <f t="shared" si="886"/>
        <v>3200</v>
      </c>
      <c r="AC176" s="744">
        <f t="shared" si="886"/>
        <v>1157.26</v>
      </c>
      <c r="AD176" s="744">
        <f t="shared" si="886"/>
        <v>0</v>
      </c>
      <c r="AE176" s="744">
        <f t="shared" si="886"/>
        <v>0</v>
      </c>
      <c r="AF176" s="744">
        <f t="shared" si="886"/>
        <v>0</v>
      </c>
      <c r="AG176" s="744">
        <f t="shared" si="886"/>
        <v>0</v>
      </c>
      <c r="AH176" s="744">
        <f t="shared" si="886"/>
        <v>232.26491472559559</v>
      </c>
      <c r="AI176" s="744">
        <f t="shared" si="886"/>
        <v>500</v>
      </c>
      <c r="AJ176" s="744">
        <f t="shared" si="886"/>
        <v>349.4</v>
      </c>
      <c r="AK176" s="744">
        <f t="shared" si="886"/>
        <v>357.02435463534408</v>
      </c>
      <c r="AL176" s="744">
        <f t="shared" si="886"/>
        <v>1460</v>
      </c>
      <c r="AM176" s="1049">
        <f t="shared" si="886"/>
        <v>1331.1299999999999</v>
      </c>
      <c r="AN176" s="993">
        <f t="shared" ref="AN176:AV176" si="887">AN40+AN46+AN50+AN66+AN87+AN130+AN133+AN150+AN163+AN165+AN167+AN169+AN172+AN175+AN152</f>
        <v>18149.786979892495</v>
      </c>
      <c r="AO176" s="804">
        <f t="shared" si="887"/>
        <v>28027</v>
      </c>
      <c r="AP176" s="804">
        <f t="shared" si="887"/>
        <v>19198.650000000001</v>
      </c>
      <c r="AQ176" s="804">
        <f t="shared" si="887"/>
        <v>0</v>
      </c>
      <c r="AR176" s="805">
        <f t="shared" si="887"/>
        <v>531</v>
      </c>
      <c r="AS176" s="994">
        <f t="shared" si="887"/>
        <v>227.7</v>
      </c>
      <c r="AT176" s="949">
        <f t="shared" si="887"/>
        <v>1072.9139292587431</v>
      </c>
      <c r="AU176" s="871">
        <f t="shared" si="887"/>
        <v>0</v>
      </c>
      <c r="AV176" s="871">
        <f t="shared" si="887"/>
        <v>0</v>
      </c>
      <c r="AW176" s="871">
        <f t="shared" ref="AW176:AX176" si="888">AW40+AW46+AW50+AW66+AW87+AW130+AW133+AW150+AW163+AW165+AW167+AW169+AW172+AW175+AW152</f>
        <v>0</v>
      </c>
      <c r="AX176" s="969">
        <f t="shared" si="888"/>
        <v>0</v>
      </c>
      <c r="AY176" s="914">
        <f t="shared" ref="AY176:AZ176" si="889">AY40+AY46+AY50+AY66+AY87+AY130+AY133+AY150+AY163+AY165+AY167+AY169+AY172+AY175+AY152</f>
        <v>0</v>
      </c>
      <c r="AZ176" s="605">
        <f t="shared" si="889"/>
        <v>0</v>
      </c>
      <c r="BA176" s="173">
        <f>BA175+BA172+BA169+BA167+BA165+BA163+BA150+BA133+BA130+BA87+BA66+BA51</f>
        <v>2045151.1341163977</v>
      </c>
      <c r="BB176" s="162">
        <f>AR176+AO176+AL176+AI176+AF176+AB176+AD176+Z176+W176+S176+P176+M176+J176+G176+D176+AU176</f>
        <v>3007188</v>
      </c>
      <c r="BC176" s="1267">
        <f>BC175+BC172+BC169+BC167+BC165+BC163+BC150+BC133+BC130+BC87+BC66+BC51</f>
        <v>2424596.46</v>
      </c>
      <c r="BD176" s="197">
        <v>3</v>
      </c>
      <c r="BE176" s="131"/>
      <c r="BF176" s="1651"/>
      <c r="BG176" s="610"/>
      <c r="BH176" s="610"/>
      <c r="BI176" s="1655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</row>
    <row r="177" spans="1:148" s="2" customFormat="1" ht="15.75" thickTop="1" x14ac:dyDescent="0.25">
      <c r="A177" s="177"/>
      <c r="B177" s="93"/>
      <c r="C177" s="625"/>
      <c r="D177" s="625"/>
      <c r="E177" s="626"/>
      <c r="F177" s="627"/>
      <c r="G177" s="627"/>
      <c r="H177" s="626"/>
      <c r="I177" s="626"/>
      <c r="J177" s="626"/>
      <c r="K177" s="1061"/>
      <c r="L177" s="1080"/>
      <c r="M177" s="383"/>
      <c r="N177" s="701"/>
      <c r="O177" s="701"/>
      <c r="P177" s="701"/>
      <c r="Q177" s="701"/>
      <c r="R177" s="701"/>
      <c r="S177" s="701"/>
      <c r="T177" s="701"/>
      <c r="U177" s="1106"/>
      <c r="V177" s="1024"/>
      <c r="W177" s="734"/>
      <c r="X177" s="735"/>
      <c r="Y177" s="735"/>
      <c r="Z177" s="735"/>
      <c r="AA177" s="735"/>
      <c r="AB177" s="735"/>
      <c r="AC177" s="735"/>
      <c r="AD177" s="735"/>
      <c r="AE177" s="735"/>
      <c r="AF177" s="735"/>
      <c r="AG177" s="735"/>
      <c r="AH177" s="735"/>
      <c r="AI177" s="735"/>
      <c r="AJ177" s="735"/>
      <c r="AK177" s="735"/>
      <c r="AL177" s="735"/>
      <c r="AM177" s="1025"/>
      <c r="AN177" s="986"/>
      <c r="AO177" s="787"/>
      <c r="AP177" s="788"/>
      <c r="AQ177" s="789"/>
      <c r="AR177" s="790"/>
      <c r="AS177" s="987"/>
      <c r="AT177" s="939"/>
      <c r="AU177" s="862"/>
      <c r="AV177" s="862"/>
      <c r="AW177" s="863"/>
      <c r="AX177" s="940"/>
      <c r="AY177" s="908"/>
      <c r="AZ177" s="589"/>
      <c r="BA177" s="136">
        <f t="shared" ref="BA177:BA195" si="890">AQ177+AN177+AK177+AH177+AC177+Y177+V177+R177+O177+L177+I177+F177+C177+AT177</f>
        <v>0</v>
      </c>
      <c r="BB177" s="145"/>
      <c r="BC177" s="1263">
        <f>AS177+AP177+AM177+AJ177+AG177+AE177+AC177+AA177+X177+U177+T177+Q177+N177+K177+H177+E177</f>
        <v>0</v>
      </c>
      <c r="BD177" s="359"/>
      <c r="BE177" s="34"/>
      <c r="BF177" s="1652"/>
      <c r="BG177" s="610"/>
      <c r="BH177" s="610"/>
      <c r="BI177" s="1655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</row>
    <row r="178" spans="1:148" ht="15.75" thickBot="1" x14ac:dyDescent="0.3">
      <c r="A178" s="78">
        <v>412311</v>
      </c>
      <c r="B178" s="79" t="s">
        <v>255</v>
      </c>
      <c r="C178" s="628"/>
      <c r="D178" s="628"/>
      <c r="E178" s="1165"/>
      <c r="F178" s="630"/>
      <c r="G178" s="630"/>
      <c r="H178" s="1165"/>
      <c r="I178" s="629">
        <f>77854.5/7.5345</f>
        <v>10333.067887716503</v>
      </c>
      <c r="J178" s="629"/>
      <c r="K178" s="1180">
        <v>29.25</v>
      </c>
      <c r="L178" s="1082"/>
      <c r="M178" s="384"/>
      <c r="N178" s="1188"/>
      <c r="O178" s="703">
        <f>441175.5/7.5345</f>
        <v>58554.051363726852</v>
      </c>
      <c r="P178" s="703"/>
      <c r="Q178" s="1188">
        <v>165.75</v>
      </c>
      <c r="R178" s="703"/>
      <c r="S178" s="703"/>
      <c r="T178" s="1188"/>
      <c r="U178" s="1197"/>
      <c r="V178" s="1026"/>
      <c r="W178" s="736"/>
      <c r="X178" s="1208"/>
      <c r="Y178" s="737"/>
      <c r="Z178" s="737"/>
      <c r="AA178" s="1208"/>
      <c r="AB178" s="737"/>
      <c r="AC178" s="1208"/>
      <c r="AD178" s="737"/>
      <c r="AE178" s="1208"/>
      <c r="AF178" s="737"/>
      <c r="AG178" s="1208"/>
      <c r="AH178" s="737"/>
      <c r="AI178" s="737"/>
      <c r="AJ178" s="1208"/>
      <c r="AK178" s="737"/>
      <c r="AL178" s="737"/>
      <c r="AM178" s="1216"/>
      <c r="AN178" s="988"/>
      <c r="AO178" s="791"/>
      <c r="AP178" s="1222"/>
      <c r="AQ178" s="792"/>
      <c r="AR178" s="793"/>
      <c r="AS178" s="996"/>
      <c r="AT178" s="941"/>
      <c r="AU178" s="864"/>
      <c r="AV178" s="1240"/>
      <c r="AW178" s="1241"/>
      <c r="AX178" s="951"/>
      <c r="AY178" s="909"/>
      <c r="AZ178" s="595"/>
      <c r="BA178" s="136">
        <f t="shared" si="890"/>
        <v>68887.11925144335</v>
      </c>
      <c r="BB178" s="148"/>
      <c r="BC178" s="1263">
        <f>AS178+AP178+AM178+AJ178+AG178+AE178+AC178+AA178+X178+U178+T178+Q178+N178+K178+H178+E178</f>
        <v>195</v>
      </c>
      <c r="BD178" s="189" t="s">
        <v>256</v>
      </c>
      <c r="BE178" s="34"/>
      <c r="BF178" s="1650"/>
    </row>
    <row r="179" spans="1:148" ht="15.75" thickBot="1" x14ac:dyDescent="0.3">
      <c r="A179" s="204">
        <v>412</v>
      </c>
      <c r="B179" s="340" t="s">
        <v>254</v>
      </c>
      <c r="C179" s="634"/>
      <c r="D179" s="634"/>
      <c r="E179" s="635"/>
      <c r="F179" s="636"/>
      <c r="G179" s="636"/>
      <c r="H179" s="635"/>
      <c r="I179" s="637">
        <f>SUM(I178)</f>
        <v>10333.067887716503</v>
      </c>
      <c r="J179" s="635">
        <v>30</v>
      </c>
      <c r="K179" s="1063">
        <f>SUM(K178)</f>
        <v>29.25</v>
      </c>
      <c r="L179" s="1084">
        <f>SUM(L178)</f>
        <v>0</v>
      </c>
      <c r="M179" s="386"/>
      <c r="N179" s="387"/>
      <c r="O179" s="387">
        <f>SUM(O178)</f>
        <v>58554.051363726852</v>
      </c>
      <c r="P179" s="387">
        <v>170</v>
      </c>
      <c r="Q179" s="387">
        <f>SUM(Q178)</f>
        <v>165.75</v>
      </c>
      <c r="R179" s="387">
        <f>SUM(R178)</f>
        <v>0</v>
      </c>
      <c r="S179" s="387"/>
      <c r="T179" s="387"/>
      <c r="U179" s="1085"/>
      <c r="V179" s="1028"/>
      <c r="W179" s="740"/>
      <c r="X179" s="741"/>
      <c r="Y179" s="741"/>
      <c r="Z179" s="741"/>
      <c r="AA179" s="741"/>
      <c r="AB179" s="741"/>
      <c r="AC179" s="741"/>
      <c r="AD179" s="741"/>
      <c r="AE179" s="741"/>
      <c r="AF179" s="741"/>
      <c r="AG179" s="741"/>
      <c r="AH179" s="741"/>
      <c r="AI179" s="741"/>
      <c r="AJ179" s="741"/>
      <c r="AK179" s="741"/>
      <c r="AL179" s="741"/>
      <c r="AM179" s="1029"/>
      <c r="AN179" s="990"/>
      <c r="AO179" s="797"/>
      <c r="AP179" s="798"/>
      <c r="AQ179" s="799"/>
      <c r="AR179" s="800"/>
      <c r="AS179" s="991"/>
      <c r="AT179" s="947"/>
      <c r="AU179" s="869"/>
      <c r="AV179" s="869"/>
      <c r="AW179" s="870"/>
      <c r="AX179" s="948"/>
      <c r="AY179" s="913"/>
      <c r="AZ179" s="593"/>
      <c r="BA179" s="482">
        <f>SUM(BA177:BA178)</f>
        <v>68887.11925144335</v>
      </c>
      <c r="BB179" s="162">
        <f>AR179+AO179+AL179+AI179+AF179+AB179+AD179+Z179+W179+S179+P179+M179+J179+G179+D179+AU179</f>
        <v>200</v>
      </c>
      <c r="BC179" s="1266">
        <f>SUM(BC178)</f>
        <v>195</v>
      </c>
      <c r="BD179" s="346">
        <v>412</v>
      </c>
      <c r="BE179" s="131"/>
      <c r="BF179" s="1650"/>
    </row>
    <row r="180" spans="1:148" ht="15.75" thickTop="1" x14ac:dyDescent="0.25">
      <c r="A180" s="45">
        <v>422111</v>
      </c>
      <c r="B180" s="30" t="s">
        <v>114</v>
      </c>
      <c r="C180" s="615"/>
      <c r="D180" s="615"/>
      <c r="E180" s="654"/>
      <c r="F180" s="617"/>
      <c r="G180" s="617"/>
      <c r="H180" s="654"/>
      <c r="I180" s="616"/>
      <c r="J180" s="616"/>
      <c r="K180" s="1066"/>
      <c r="L180" s="1076"/>
      <c r="M180" s="378"/>
      <c r="N180" s="708"/>
      <c r="O180" s="699"/>
      <c r="P180" s="699"/>
      <c r="Q180" s="708"/>
      <c r="R180" s="699"/>
      <c r="S180" s="699"/>
      <c r="T180" s="708"/>
      <c r="U180" s="1094"/>
      <c r="V180" s="1020">
        <f>4491.3/7.5345</f>
        <v>596.09794943260999</v>
      </c>
      <c r="W180" s="728"/>
      <c r="X180" s="750">
        <f>663.45+198.9</f>
        <v>862.35</v>
      </c>
      <c r="Y180" s="729"/>
      <c r="Z180" s="729"/>
      <c r="AA180" s="750"/>
      <c r="AB180" s="729"/>
      <c r="AC180" s="750"/>
      <c r="AD180" s="729"/>
      <c r="AE180" s="750"/>
      <c r="AF180" s="729"/>
      <c r="AG180" s="750"/>
      <c r="AH180" s="729"/>
      <c r="AI180" s="729"/>
      <c r="AJ180" s="750"/>
      <c r="AK180" s="729"/>
      <c r="AL180" s="729"/>
      <c r="AM180" s="1036"/>
      <c r="AN180" s="982"/>
      <c r="AO180" s="777"/>
      <c r="AP180" s="814">
        <v>663.45</v>
      </c>
      <c r="AQ180" s="778"/>
      <c r="AR180" s="779"/>
      <c r="AS180" s="999"/>
      <c r="AT180" s="935"/>
      <c r="AU180" s="858"/>
      <c r="AV180" s="875"/>
      <c r="AW180" s="876"/>
      <c r="AX180" s="954"/>
      <c r="AY180" s="905"/>
      <c r="AZ180" s="600"/>
      <c r="BA180" s="136">
        <f t="shared" si="890"/>
        <v>596.09794943260999</v>
      </c>
      <c r="BB180" s="139"/>
      <c r="BC180" s="1264">
        <f>AS180+AP180+AM180+AJ180+AG180+AE180+AC180+AA180+X180+U180+T180+Q180+N180+K180+H180+E180</f>
        <v>1525.8000000000002</v>
      </c>
      <c r="BD180" s="186">
        <v>422111</v>
      </c>
      <c r="BE180" s="34"/>
    </row>
    <row r="181" spans="1:148" x14ac:dyDescent="0.25">
      <c r="A181" s="45">
        <v>422121</v>
      </c>
      <c r="B181" s="30" t="s">
        <v>115</v>
      </c>
      <c r="C181" s="615"/>
      <c r="D181" s="615"/>
      <c r="E181" s="654">
        <v>1128.1300000000001</v>
      </c>
      <c r="F181" s="617"/>
      <c r="G181" s="617"/>
      <c r="H181" s="654">
        <f>4163.43+3002.36</f>
        <v>7165.7900000000009</v>
      </c>
      <c r="I181" s="616"/>
      <c r="J181" s="616"/>
      <c r="K181" s="1066"/>
      <c r="L181" s="1076"/>
      <c r="M181" s="378"/>
      <c r="N181" s="708">
        <f>71787.93+51768.15</f>
        <v>123556.07999999999</v>
      </c>
      <c r="O181" s="699"/>
      <c r="P181" s="699"/>
      <c r="Q181" s="708"/>
      <c r="R181" s="699"/>
      <c r="S181" s="699"/>
      <c r="T181" s="708"/>
      <c r="U181" s="1094"/>
      <c r="V181" s="1020">
        <f>2250/7.5345</f>
        <v>298.62631893290859</v>
      </c>
      <c r="W181" s="728"/>
      <c r="X181" s="750"/>
      <c r="Y181" s="729"/>
      <c r="Z181" s="729"/>
      <c r="AA181" s="750">
        <f>4163.44+3002.37</f>
        <v>7165.8099999999995</v>
      </c>
      <c r="AB181" s="729"/>
      <c r="AC181" s="750"/>
      <c r="AD181" s="729"/>
      <c r="AE181" s="750"/>
      <c r="AF181" s="729"/>
      <c r="AG181" s="750"/>
      <c r="AH181" s="729"/>
      <c r="AI181" s="729"/>
      <c r="AJ181" s="750"/>
      <c r="AK181" s="729"/>
      <c r="AL181" s="729"/>
      <c r="AM181" s="1036"/>
      <c r="AN181" s="982"/>
      <c r="AO181" s="777"/>
      <c r="AP181" s="814">
        <v>400</v>
      </c>
      <c r="AQ181" s="778"/>
      <c r="AR181" s="779"/>
      <c r="AS181" s="999"/>
      <c r="AT181" s="935"/>
      <c r="AU181" s="858"/>
      <c r="AV181" s="875"/>
      <c r="AW181" s="876"/>
      <c r="AX181" s="954"/>
      <c r="AY181" s="905"/>
      <c r="AZ181" s="600"/>
      <c r="BA181" s="136">
        <f t="shared" si="890"/>
        <v>298.62631893290859</v>
      </c>
      <c r="BB181" s="139"/>
      <c r="BC181" s="1263">
        <f>AS181+AP181+AM181+AJ181+AG181+AE181+AC181+AA181+X181+U181+T181+Q181+N181+K181+H181+E181</f>
        <v>139415.81</v>
      </c>
      <c r="BD181" s="186">
        <v>422121</v>
      </c>
      <c r="BE181" s="34"/>
    </row>
    <row r="182" spans="1:148" s="6" customFormat="1" ht="15.75" thickBot="1" x14ac:dyDescent="0.3">
      <c r="A182" s="46">
        <v>422191</v>
      </c>
      <c r="B182" s="29" t="s">
        <v>116</v>
      </c>
      <c r="C182" s="656"/>
      <c r="D182" s="656"/>
      <c r="E182" s="657"/>
      <c r="F182" s="658"/>
      <c r="G182" s="658"/>
      <c r="H182" s="657">
        <v>3708.6</v>
      </c>
      <c r="I182" s="657"/>
      <c r="J182" s="657"/>
      <c r="K182" s="1067"/>
      <c r="L182" s="1095"/>
      <c r="M182" s="393"/>
      <c r="N182" s="709">
        <v>63945.36</v>
      </c>
      <c r="O182" s="709"/>
      <c r="P182" s="709"/>
      <c r="Q182" s="709"/>
      <c r="R182" s="709"/>
      <c r="S182" s="709"/>
      <c r="T182" s="709"/>
      <c r="U182" s="1096"/>
      <c r="V182" s="1037"/>
      <c r="W182" s="751"/>
      <c r="X182" s="752"/>
      <c r="Y182" s="752"/>
      <c r="Z182" s="752"/>
      <c r="AA182" s="752">
        <v>3708.6</v>
      </c>
      <c r="AB182" s="752"/>
      <c r="AC182" s="752"/>
      <c r="AD182" s="752"/>
      <c r="AE182" s="752"/>
      <c r="AF182" s="752"/>
      <c r="AG182" s="752"/>
      <c r="AH182" s="752"/>
      <c r="AI182" s="752"/>
      <c r="AJ182" s="752"/>
      <c r="AK182" s="752"/>
      <c r="AL182" s="752"/>
      <c r="AM182" s="1038"/>
      <c r="AN182" s="1000"/>
      <c r="AO182" s="817"/>
      <c r="AP182" s="818"/>
      <c r="AQ182" s="819"/>
      <c r="AR182" s="820"/>
      <c r="AS182" s="1001"/>
      <c r="AT182" s="955"/>
      <c r="AU182" s="877"/>
      <c r="AV182" s="877"/>
      <c r="AW182" s="878"/>
      <c r="AX182" s="956"/>
      <c r="AY182" s="919"/>
      <c r="AZ182" s="601"/>
      <c r="BA182" s="136">
        <f t="shared" si="890"/>
        <v>0</v>
      </c>
      <c r="BB182" s="141"/>
      <c r="BC182" s="1263">
        <f>AS182+AP182+AM182+AJ182+AG182+AE182+AC182+AA182+X182+U182+T182+Q182+N182+K182+H182+E182</f>
        <v>71362.560000000012</v>
      </c>
      <c r="BD182" s="187">
        <v>422191</v>
      </c>
      <c r="BE182" s="34"/>
      <c r="BF182" s="610"/>
      <c r="BG182" s="610"/>
      <c r="BH182" s="610"/>
      <c r="BI182" s="1656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</row>
    <row r="183" spans="1:148" ht="15.75" thickBot="1" x14ac:dyDescent="0.3">
      <c r="A183" s="76">
        <v>4221</v>
      </c>
      <c r="B183" s="81" t="s">
        <v>117</v>
      </c>
      <c r="C183" s="621">
        <f t="shared" ref="C183" si="891">SUM(C180:C182)</f>
        <v>0</v>
      </c>
      <c r="D183" s="621">
        <f t="shared" ref="D183:K183" si="892">SUM(D180:D182)</f>
        <v>0</v>
      </c>
      <c r="E183" s="622">
        <f t="shared" si="892"/>
        <v>1128.1300000000001</v>
      </c>
      <c r="F183" s="623">
        <f t="shared" ref="F183" si="893">SUM(F180:F182)</f>
        <v>0</v>
      </c>
      <c r="G183" s="623">
        <f t="shared" si="892"/>
        <v>0</v>
      </c>
      <c r="H183" s="622">
        <f t="shared" si="892"/>
        <v>10874.390000000001</v>
      </c>
      <c r="I183" s="622">
        <f t="shared" ref="I183" si="894">SUM(I180:I182)</f>
        <v>0</v>
      </c>
      <c r="J183" s="622">
        <f t="shared" si="892"/>
        <v>0</v>
      </c>
      <c r="K183" s="1060">
        <f t="shared" si="892"/>
        <v>0</v>
      </c>
      <c r="L183" s="1078"/>
      <c r="M183" s="381"/>
      <c r="N183" s="382">
        <f>SUM(N180:N182)</f>
        <v>187501.44</v>
      </c>
      <c r="O183" s="382">
        <f t="shared" ref="O183" si="895">SUM(O180:O182)</f>
        <v>0</v>
      </c>
      <c r="P183" s="382">
        <f t="shared" ref="P183:Q183" si="896">SUM(P180:P182)</f>
        <v>0</v>
      </c>
      <c r="Q183" s="382">
        <f t="shared" si="896"/>
        <v>0</v>
      </c>
      <c r="R183" s="382">
        <f>SUM(R180:R182)</f>
        <v>0</v>
      </c>
      <c r="S183" s="382">
        <f>SUM(S180:S182)</f>
        <v>0</v>
      </c>
      <c r="T183" s="382">
        <f>SUM(T180:T182)</f>
        <v>0</v>
      </c>
      <c r="U183" s="1079">
        <f>SUM(U180:U182)</f>
        <v>0</v>
      </c>
      <c r="V183" s="1022">
        <f>SUM(V180:V182)</f>
        <v>894.72426836551858</v>
      </c>
      <c r="W183" s="732">
        <f t="shared" ref="W183" si="897">SUM(W180:W182)</f>
        <v>0</v>
      </c>
      <c r="X183" s="733">
        <f>SUM(X180:X182)</f>
        <v>862.35</v>
      </c>
      <c r="Y183" s="733">
        <f t="shared" ref="Y183" si="898">SUM(Y180:Y182)</f>
        <v>0</v>
      </c>
      <c r="Z183" s="733">
        <f t="shared" ref="Z183:AA183" si="899">SUM(Z180:Z182)</f>
        <v>0</v>
      </c>
      <c r="AA183" s="733">
        <f t="shared" si="899"/>
        <v>10874.41</v>
      </c>
      <c r="AB183" s="733">
        <f t="shared" ref="AB183:AC183" si="900">SUM(AB180:AB182)</f>
        <v>0</v>
      </c>
      <c r="AC183" s="733">
        <f t="shared" si="900"/>
        <v>0</v>
      </c>
      <c r="AD183" s="733">
        <f t="shared" ref="AD183:AL183" si="901">SUM(AD180:AD182)</f>
        <v>0</v>
      </c>
      <c r="AE183" s="733">
        <f t="shared" ref="AE183:AF183" si="902">SUM(AE180:AE182)</f>
        <v>0</v>
      </c>
      <c r="AF183" s="733">
        <f t="shared" si="902"/>
        <v>0</v>
      </c>
      <c r="AG183" s="733">
        <f t="shared" ref="AG183:AK183" si="903">SUM(AG180:AG182)</f>
        <v>0</v>
      </c>
      <c r="AH183" s="733">
        <f t="shared" ref="AH183" si="904">SUM(AH180:AH182)</f>
        <v>0</v>
      </c>
      <c r="AI183" s="733">
        <f t="shared" si="903"/>
        <v>0</v>
      </c>
      <c r="AJ183" s="733">
        <f t="shared" si="903"/>
        <v>0</v>
      </c>
      <c r="AK183" s="733">
        <f t="shared" si="903"/>
        <v>0</v>
      </c>
      <c r="AL183" s="733">
        <f t="shared" si="901"/>
        <v>0</v>
      </c>
      <c r="AM183" s="1023">
        <f t="shared" ref="AM183:AO183" si="905">SUM(AM180:AM182)</f>
        <v>0</v>
      </c>
      <c r="AN183" s="984">
        <f t="shared" ref="AN183" si="906">SUM(AN180:AN182)</f>
        <v>0</v>
      </c>
      <c r="AO183" s="783">
        <f t="shared" si="905"/>
        <v>0</v>
      </c>
      <c r="AP183" s="784">
        <f t="shared" ref="AP183:AR183" si="907">SUM(AP180:AP182)</f>
        <v>1063.45</v>
      </c>
      <c r="AQ183" s="785">
        <f t="shared" ref="AQ183" si="908">SUM(AQ180:AQ182)</f>
        <v>0</v>
      </c>
      <c r="AR183" s="786">
        <f t="shared" si="907"/>
        <v>0</v>
      </c>
      <c r="AS183" s="985">
        <f t="shared" ref="AS183:AX183" si="909">SUM(AS180:AS182)</f>
        <v>0</v>
      </c>
      <c r="AT183" s="937">
        <f t="shared" ref="AT183:AU183" si="910">SUM(AT180:AT182)</f>
        <v>0</v>
      </c>
      <c r="AU183" s="860">
        <f t="shared" si="910"/>
        <v>0</v>
      </c>
      <c r="AV183" s="860">
        <f t="shared" si="909"/>
        <v>0</v>
      </c>
      <c r="AW183" s="861">
        <f t="shared" si="909"/>
        <v>0</v>
      </c>
      <c r="AX183" s="938">
        <f t="shared" si="909"/>
        <v>0</v>
      </c>
      <c r="AY183" s="907">
        <f t="shared" ref="AY183:AZ183" si="911">SUM(AY180:AY182)</f>
        <v>0</v>
      </c>
      <c r="AZ183" s="586">
        <f t="shared" si="911"/>
        <v>0</v>
      </c>
      <c r="BA183" s="481">
        <f>SUM(BA180:BA182)</f>
        <v>894.72426836551858</v>
      </c>
      <c r="BB183" s="155">
        <f>AR183+AO183+AL183+AI183+AF183+AB183+AD183+Z183+W183+S183+P183+M183+J183+G183+D183</f>
        <v>0</v>
      </c>
      <c r="BC183" s="1265">
        <f>SUM(BC180:BC182)</f>
        <v>212304.16999999998</v>
      </c>
      <c r="BD183" s="188">
        <v>4221</v>
      </c>
      <c r="BE183" s="131"/>
    </row>
    <row r="184" spans="1:148" ht="15.75" thickBot="1" x14ac:dyDescent="0.3">
      <c r="A184" s="78">
        <v>422221</v>
      </c>
      <c r="B184" s="79" t="s">
        <v>258</v>
      </c>
      <c r="C184" s="628"/>
      <c r="D184" s="628"/>
      <c r="E184" s="1165"/>
      <c r="F184" s="630"/>
      <c r="G184" s="630"/>
      <c r="H184" s="1165"/>
      <c r="I184" s="629"/>
      <c r="J184" s="629"/>
      <c r="K184" s="1180"/>
      <c r="L184" s="1082"/>
      <c r="M184" s="384"/>
      <c r="N184" s="1188"/>
      <c r="O184" s="703"/>
      <c r="P184" s="703"/>
      <c r="Q184" s="1188"/>
      <c r="R184" s="703"/>
      <c r="S184" s="703"/>
      <c r="T184" s="1188"/>
      <c r="U184" s="1197"/>
      <c r="V184" s="1026"/>
      <c r="W184" s="736"/>
      <c r="X184" s="1208"/>
      <c r="Y184" s="737"/>
      <c r="Z184" s="737"/>
      <c r="AA184" s="1208"/>
      <c r="AB184" s="737"/>
      <c r="AC184" s="1208"/>
      <c r="AD184" s="737"/>
      <c r="AE184" s="1208"/>
      <c r="AF184" s="737"/>
      <c r="AG184" s="1208"/>
      <c r="AH184" s="737"/>
      <c r="AI184" s="737"/>
      <c r="AJ184" s="1208"/>
      <c r="AK184" s="737"/>
      <c r="AL184" s="737"/>
      <c r="AM184" s="1216"/>
      <c r="AN184" s="988">
        <f>999/7.5345</f>
        <v>132.59008560621143</v>
      </c>
      <c r="AO184" s="791"/>
      <c r="AP184" s="1222"/>
      <c r="AQ184" s="792"/>
      <c r="AR184" s="793"/>
      <c r="AS184" s="996"/>
      <c r="AT184" s="941"/>
      <c r="AU184" s="864"/>
      <c r="AV184" s="1240"/>
      <c r="AW184" s="1241"/>
      <c r="AX184" s="951"/>
      <c r="AY184" s="909"/>
      <c r="AZ184" s="595"/>
      <c r="BA184" s="136">
        <f t="shared" si="890"/>
        <v>132.59008560621143</v>
      </c>
      <c r="BB184" s="148"/>
      <c r="BC184" s="1263">
        <f>AS184+AP184+AM184+AJ184+AG184+AE184+AC184+AA184+X184+U184+T184+Q184+N184+K184+H184+E184</f>
        <v>0</v>
      </c>
      <c r="BD184" s="189">
        <v>422211</v>
      </c>
      <c r="BE184" s="34"/>
      <c r="BF184" s="1651"/>
    </row>
    <row r="185" spans="1:148" s="2" customFormat="1" ht="15.75" thickBot="1" x14ac:dyDescent="0.3">
      <c r="A185" s="76">
        <v>4222</v>
      </c>
      <c r="B185" s="81" t="s">
        <v>118</v>
      </c>
      <c r="C185" s="621">
        <f t="shared" ref="C185" si="912">SUM(C184:C184)</f>
        <v>0</v>
      </c>
      <c r="D185" s="621">
        <f t="shared" ref="D185:W185" si="913">SUM(D184:D184)</f>
        <v>0</v>
      </c>
      <c r="E185" s="622">
        <f t="shared" ref="E185:K185" si="914">SUM(E184:E184)</f>
        <v>0</v>
      </c>
      <c r="F185" s="623">
        <f t="shared" ref="F185" si="915">SUM(F184:F184)</f>
        <v>0</v>
      </c>
      <c r="G185" s="623">
        <f t="shared" si="914"/>
        <v>0</v>
      </c>
      <c r="H185" s="622">
        <f t="shared" si="914"/>
        <v>0</v>
      </c>
      <c r="I185" s="622">
        <f t="shared" ref="I185" si="916">SUM(I184:I184)</f>
        <v>0</v>
      </c>
      <c r="J185" s="622">
        <f t="shared" si="914"/>
        <v>0</v>
      </c>
      <c r="K185" s="1060">
        <f t="shared" si="914"/>
        <v>0</v>
      </c>
      <c r="L185" s="1078"/>
      <c r="M185" s="381"/>
      <c r="N185" s="382"/>
      <c r="O185" s="382">
        <f t="shared" ref="O185" si="917">SUM(O184:O184)</f>
        <v>0</v>
      </c>
      <c r="P185" s="382">
        <f t="shared" ref="P185:R185" si="918">SUM(P184:P184)</f>
        <v>0</v>
      </c>
      <c r="Q185" s="382">
        <f t="shared" si="918"/>
        <v>0</v>
      </c>
      <c r="R185" s="382">
        <f t="shared" si="918"/>
        <v>0</v>
      </c>
      <c r="S185" s="382">
        <f t="shared" ref="S185:V185" si="919">SUM(S184:S184)</f>
        <v>0</v>
      </c>
      <c r="T185" s="382">
        <f t="shared" ref="T185" si="920">SUM(T184:T184)</f>
        <v>0</v>
      </c>
      <c r="U185" s="1079">
        <f t="shared" si="919"/>
        <v>0</v>
      </c>
      <c r="V185" s="1022">
        <f t="shared" si="919"/>
        <v>0</v>
      </c>
      <c r="W185" s="732">
        <f t="shared" si="913"/>
        <v>0</v>
      </c>
      <c r="X185" s="733">
        <f t="shared" ref="X185:Y185" si="921">SUM(X184:X184)</f>
        <v>0</v>
      </c>
      <c r="Y185" s="733">
        <f t="shared" si="921"/>
        <v>0</v>
      </c>
      <c r="Z185" s="733">
        <f t="shared" ref="Z185:AA185" si="922">SUM(Z184:Z184)</f>
        <v>0</v>
      </c>
      <c r="AA185" s="733">
        <f t="shared" si="922"/>
        <v>0</v>
      </c>
      <c r="AB185" s="733">
        <f t="shared" ref="AB185:AC185" si="923">SUM(AB184:AB184)</f>
        <v>0</v>
      </c>
      <c r="AC185" s="733">
        <f t="shared" si="923"/>
        <v>0</v>
      </c>
      <c r="AD185" s="733">
        <f t="shared" ref="AD185:AL185" si="924">SUM(AD184:AD184)</f>
        <v>0</v>
      </c>
      <c r="AE185" s="733">
        <f t="shared" ref="AE185:AF185" si="925">SUM(AE184:AE184)</f>
        <v>0</v>
      </c>
      <c r="AF185" s="733">
        <f t="shared" si="925"/>
        <v>0</v>
      </c>
      <c r="AG185" s="733">
        <f t="shared" ref="AG185:AK185" si="926">SUM(AG184:AG184)</f>
        <v>0</v>
      </c>
      <c r="AH185" s="733">
        <f t="shared" ref="AH185" si="927">SUM(AH184:AH184)</f>
        <v>0</v>
      </c>
      <c r="AI185" s="733">
        <f t="shared" si="926"/>
        <v>0</v>
      </c>
      <c r="AJ185" s="733">
        <f t="shared" si="926"/>
        <v>0</v>
      </c>
      <c r="AK185" s="733">
        <f t="shared" si="926"/>
        <v>0</v>
      </c>
      <c r="AL185" s="733">
        <f t="shared" si="924"/>
        <v>0</v>
      </c>
      <c r="AM185" s="1023">
        <f t="shared" ref="AM185:AO185" si="928">SUM(AM184:AM184)</f>
        <v>0</v>
      </c>
      <c r="AN185" s="984">
        <f t="shared" ref="AN185" si="929">SUM(AN184:AN184)</f>
        <v>132.59008560621143</v>
      </c>
      <c r="AO185" s="783">
        <f t="shared" si="928"/>
        <v>0</v>
      </c>
      <c r="AP185" s="784">
        <f t="shared" ref="AP185:AR185" si="930">SUM(AP184:AP184)</f>
        <v>0</v>
      </c>
      <c r="AQ185" s="785">
        <f t="shared" ref="AQ185" si="931">SUM(AQ184:AQ184)</f>
        <v>0</v>
      </c>
      <c r="AR185" s="786">
        <f t="shared" si="930"/>
        <v>0</v>
      </c>
      <c r="AS185" s="985">
        <f t="shared" ref="AS185:AX185" si="932">SUM(AS184:AS184)</f>
        <v>0</v>
      </c>
      <c r="AT185" s="937">
        <f t="shared" ref="AT185:AU185" si="933">SUM(AT184:AT184)</f>
        <v>0</v>
      </c>
      <c r="AU185" s="860">
        <f t="shared" si="933"/>
        <v>0</v>
      </c>
      <c r="AV185" s="860">
        <f t="shared" si="932"/>
        <v>0</v>
      </c>
      <c r="AW185" s="861">
        <f t="shared" si="932"/>
        <v>0</v>
      </c>
      <c r="AX185" s="938">
        <f t="shared" si="932"/>
        <v>0</v>
      </c>
      <c r="AY185" s="907">
        <f t="shared" ref="AY185:AZ185" si="934">SUM(AY184:AY184)</f>
        <v>0</v>
      </c>
      <c r="AZ185" s="586">
        <f t="shared" si="934"/>
        <v>0</v>
      </c>
      <c r="BA185" s="481">
        <f>SUM(BA184)</f>
        <v>132.59008560621143</v>
      </c>
      <c r="BB185" s="155">
        <f>AR185+AO185+AL185+AI185+AF185+AB185+AD185+Z185+W185+S185+P185+M185+J185+G185+D185</f>
        <v>0</v>
      </c>
      <c r="BC185" s="1265">
        <f>SUM(BC184)</f>
        <v>0</v>
      </c>
      <c r="BD185" s="188">
        <v>4222</v>
      </c>
      <c r="BE185" s="131"/>
      <c r="BF185" s="610"/>
      <c r="BG185" s="610"/>
      <c r="BH185" s="610"/>
      <c r="BI185" s="1655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</row>
    <row r="186" spans="1:148" x14ac:dyDescent="0.25">
      <c r="A186" s="74">
        <v>422311</v>
      </c>
      <c r="B186" s="287" t="s">
        <v>170</v>
      </c>
      <c r="C186" s="625"/>
      <c r="D186" s="625"/>
      <c r="E186" s="626"/>
      <c r="F186" s="627"/>
      <c r="G186" s="627"/>
      <c r="H186" s="626"/>
      <c r="I186" s="626"/>
      <c r="J186" s="626"/>
      <c r="K186" s="1061"/>
      <c r="L186" s="1080"/>
      <c r="M186" s="383"/>
      <c r="N186" s="701"/>
      <c r="O186" s="701"/>
      <c r="P186" s="701"/>
      <c r="Q186" s="701"/>
      <c r="R186" s="701"/>
      <c r="S186" s="701"/>
      <c r="T186" s="701"/>
      <c r="U186" s="1106"/>
      <c r="V186" s="1024"/>
      <c r="W186" s="734"/>
      <c r="X186" s="735">
        <v>457.53</v>
      </c>
      <c r="Y186" s="735"/>
      <c r="Z186" s="735"/>
      <c r="AA186" s="735"/>
      <c r="AB186" s="735"/>
      <c r="AC186" s="735"/>
      <c r="AD186" s="735"/>
      <c r="AE186" s="735"/>
      <c r="AF186" s="735"/>
      <c r="AG186" s="735"/>
      <c r="AH186" s="735"/>
      <c r="AI186" s="735"/>
      <c r="AJ186" s="735"/>
      <c r="AK186" s="735"/>
      <c r="AL186" s="735"/>
      <c r="AM186" s="1025"/>
      <c r="AN186" s="986"/>
      <c r="AO186" s="787"/>
      <c r="AP186" s="788"/>
      <c r="AQ186" s="789"/>
      <c r="AR186" s="790"/>
      <c r="AS186" s="987"/>
      <c r="AT186" s="939"/>
      <c r="AU186" s="862"/>
      <c r="AV186" s="862"/>
      <c r="AW186" s="863"/>
      <c r="AX186" s="940"/>
      <c r="AY186" s="908"/>
      <c r="AZ186" s="589"/>
      <c r="BA186" s="136">
        <f t="shared" si="890"/>
        <v>0</v>
      </c>
      <c r="BB186" s="145"/>
      <c r="BC186" s="1263">
        <f>AS186+AP186+AM186+AJ186+AG186+AE186+AC186+AA186+X186+U186+T186+Q186+N186+K186+H186+E186</f>
        <v>457.53</v>
      </c>
      <c r="BD186" s="185">
        <v>422311</v>
      </c>
      <c r="BE186" s="34"/>
    </row>
    <row r="187" spans="1:148" ht="15.75" thickBot="1" x14ac:dyDescent="0.3">
      <c r="A187" s="46">
        <v>422321</v>
      </c>
      <c r="B187" s="288" t="s">
        <v>415</v>
      </c>
      <c r="C187" s="682"/>
      <c r="D187" s="682"/>
      <c r="E187" s="1168"/>
      <c r="F187" s="684"/>
      <c r="G187" s="684"/>
      <c r="H187" s="1168"/>
      <c r="I187" s="683"/>
      <c r="J187" s="683"/>
      <c r="K187" s="1182">
        <v>706.5</v>
      </c>
      <c r="L187" s="1116"/>
      <c r="M187" s="402"/>
      <c r="N187" s="1191"/>
      <c r="O187" s="722"/>
      <c r="P187" s="722"/>
      <c r="Q187" s="1191">
        <v>4003.5</v>
      </c>
      <c r="R187" s="722"/>
      <c r="S187" s="722"/>
      <c r="T187" s="1191"/>
      <c r="U187" s="1201"/>
      <c r="V187" s="1050"/>
      <c r="W187" s="766"/>
      <c r="X187" s="1213">
        <v>96.01</v>
      </c>
      <c r="Y187" s="767"/>
      <c r="Z187" s="767"/>
      <c r="AA187" s="1213"/>
      <c r="AB187" s="767"/>
      <c r="AC187" s="1213"/>
      <c r="AD187" s="767"/>
      <c r="AE187" s="1213"/>
      <c r="AF187" s="767"/>
      <c r="AG187" s="1213"/>
      <c r="AH187" s="767"/>
      <c r="AI187" s="767"/>
      <c r="AJ187" s="1213"/>
      <c r="AK187" s="767"/>
      <c r="AL187" s="767"/>
      <c r="AM187" s="1218"/>
      <c r="AN187" s="1012"/>
      <c r="AO187" s="841"/>
      <c r="AP187" s="1224"/>
      <c r="AQ187" s="842"/>
      <c r="AR187" s="843"/>
      <c r="AS187" s="1230"/>
      <c r="AT187" s="970"/>
      <c r="AU187" s="891"/>
      <c r="AV187" s="1246"/>
      <c r="AW187" s="1247"/>
      <c r="AX187" s="1248"/>
      <c r="AY187" s="926"/>
      <c r="AZ187" s="1257"/>
      <c r="BA187" s="136">
        <f t="shared" si="890"/>
        <v>0</v>
      </c>
      <c r="BB187" s="151"/>
      <c r="BC187" s="1263">
        <f>AS187+AP187+AM187+AJ187+AG187+AE187+AC187+AA187+X187+U187+T187+Q187+N187+K187+H187+E187</f>
        <v>4806.01</v>
      </c>
      <c r="BD187" s="187">
        <v>422321</v>
      </c>
      <c r="BE187" s="34"/>
      <c r="BF187" s="1650"/>
    </row>
    <row r="188" spans="1:148" s="2" customFormat="1" ht="15.75" thickBot="1" x14ac:dyDescent="0.3">
      <c r="A188" s="76">
        <v>4223</v>
      </c>
      <c r="B188" s="87" t="s">
        <v>130</v>
      </c>
      <c r="C188" s="668">
        <f t="shared" ref="C188" si="935">C187</f>
        <v>0</v>
      </c>
      <c r="D188" s="668">
        <f t="shared" ref="D188:K188" si="936">D187</f>
        <v>0</v>
      </c>
      <c r="E188" s="669">
        <f t="shared" si="936"/>
        <v>0</v>
      </c>
      <c r="F188" s="670">
        <f t="shared" ref="F188" si="937">F187</f>
        <v>0</v>
      </c>
      <c r="G188" s="670">
        <f t="shared" si="936"/>
        <v>0</v>
      </c>
      <c r="H188" s="669">
        <f t="shared" si="936"/>
        <v>0</v>
      </c>
      <c r="I188" s="669">
        <f t="shared" ref="I188" si="938">I187</f>
        <v>0</v>
      </c>
      <c r="J188" s="669">
        <f t="shared" si="936"/>
        <v>0</v>
      </c>
      <c r="K188" s="1070">
        <f t="shared" si="936"/>
        <v>706.5</v>
      </c>
      <c r="L188" s="1101"/>
      <c r="M188" s="403"/>
      <c r="N188" s="712"/>
      <c r="O188" s="712">
        <f t="shared" ref="O188" si="939">O187</f>
        <v>0</v>
      </c>
      <c r="P188" s="712">
        <f t="shared" ref="P188:Q188" si="940">P187</f>
        <v>0</v>
      </c>
      <c r="Q188" s="712">
        <f t="shared" si="940"/>
        <v>4003.5</v>
      </c>
      <c r="R188" s="712">
        <f>R187</f>
        <v>0</v>
      </c>
      <c r="S188" s="712">
        <f>S187</f>
        <v>0</v>
      </c>
      <c r="T188" s="712">
        <f>T187</f>
        <v>0</v>
      </c>
      <c r="U188" s="1102">
        <f>U187</f>
        <v>0</v>
      </c>
      <c r="V188" s="1051">
        <f t="shared" ref="V188" si="941">V187+V186</f>
        <v>0</v>
      </c>
      <c r="W188" s="768">
        <f t="shared" ref="W188:AC188" si="942">W187+W186</f>
        <v>0</v>
      </c>
      <c r="X188" s="769">
        <f t="shared" si="942"/>
        <v>553.54</v>
      </c>
      <c r="Y188" s="769">
        <f t="shared" ref="Y188" si="943">Y187+Y186</f>
        <v>0</v>
      </c>
      <c r="Z188" s="769">
        <f t="shared" si="942"/>
        <v>0</v>
      </c>
      <c r="AA188" s="769">
        <f t="shared" si="942"/>
        <v>0</v>
      </c>
      <c r="AB188" s="769">
        <f t="shared" si="942"/>
        <v>0</v>
      </c>
      <c r="AC188" s="769">
        <f t="shared" si="942"/>
        <v>0</v>
      </c>
      <c r="AD188" s="769">
        <f t="shared" ref="AD188:AL188" si="944">AD187+AD186</f>
        <v>0</v>
      </c>
      <c r="AE188" s="769">
        <f t="shared" ref="AE188:AF188" si="945">AE187+AE186</f>
        <v>0</v>
      </c>
      <c r="AF188" s="769">
        <f t="shared" si="945"/>
        <v>0</v>
      </c>
      <c r="AG188" s="769">
        <f t="shared" ref="AG188:AK188" si="946">AG187+AG186</f>
        <v>0</v>
      </c>
      <c r="AH188" s="769">
        <f t="shared" ref="AH188" si="947">AH187+AH186</f>
        <v>0</v>
      </c>
      <c r="AI188" s="769">
        <f t="shared" si="946"/>
        <v>0</v>
      </c>
      <c r="AJ188" s="769">
        <f t="shared" si="946"/>
        <v>0</v>
      </c>
      <c r="AK188" s="769">
        <f t="shared" si="946"/>
        <v>0</v>
      </c>
      <c r="AL188" s="769">
        <f t="shared" si="944"/>
        <v>0</v>
      </c>
      <c r="AM188" s="1052">
        <f t="shared" ref="AM188:AO188" si="948">AM187+AM186</f>
        <v>0</v>
      </c>
      <c r="AN188" s="1013">
        <f t="shared" ref="AN188" si="949">AN187+AN186</f>
        <v>0</v>
      </c>
      <c r="AO188" s="844">
        <f t="shared" si="948"/>
        <v>0</v>
      </c>
      <c r="AP188" s="845">
        <f t="shared" ref="AP188" si="950">AP187+AP186</f>
        <v>0</v>
      </c>
      <c r="AQ188" s="829">
        <f>AQ187+AQ186</f>
        <v>0</v>
      </c>
      <c r="AR188" s="830">
        <f>AR187+AR186</f>
        <v>0</v>
      </c>
      <c r="AS188" s="1006">
        <f>AS187+AS186</f>
        <v>0</v>
      </c>
      <c r="AT188" s="971">
        <f t="shared" ref="AT188:AU188" si="951">AT187+AT186</f>
        <v>0</v>
      </c>
      <c r="AU188" s="892">
        <f t="shared" si="951"/>
        <v>0</v>
      </c>
      <c r="AV188" s="892">
        <f t="shared" ref="AV188:AW188" si="952">AV187+AV186</f>
        <v>0</v>
      </c>
      <c r="AW188" s="893">
        <f t="shared" si="952"/>
        <v>0</v>
      </c>
      <c r="AX188" s="963">
        <f>AX187+AX186</f>
        <v>0</v>
      </c>
      <c r="AY188" s="927">
        <f t="shared" ref="AY188" si="953">AY187+AY186</f>
        <v>0</v>
      </c>
      <c r="AZ188" s="603">
        <f>AZ187+AZ186</f>
        <v>0</v>
      </c>
      <c r="BA188" s="481">
        <f>SUM(BA186:BA187)</f>
        <v>0</v>
      </c>
      <c r="BB188" s="155">
        <f>AR188+AO188+AL188+AI188+AF188+AB188+AD188+Z188+W188+S188+P188+M188+J188+G188+D188</f>
        <v>0</v>
      </c>
      <c r="BC188" s="1278">
        <f>SUM(BC186:BC187)</f>
        <v>5263.54</v>
      </c>
      <c r="BD188" s="188">
        <v>4223</v>
      </c>
      <c r="BE188" s="134"/>
      <c r="BF188" s="610"/>
      <c r="BG188" s="610"/>
      <c r="BH188" s="610"/>
      <c r="BI188" s="1655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</row>
    <row r="189" spans="1:148" s="6" customFormat="1" x14ac:dyDescent="0.25">
      <c r="A189" s="74">
        <v>422411</v>
      </c>
      <c r="B189" s="287" t="s">
        <v>158</v>
      </c>
      <c r="C189" s="685"/>
      <c r="D189" s="685"/>
      <c r="E189" s="1169"/>
      <c r="F189" s="687"/>
      <c r="G189" s="687"/>
      <c r="H189" s="1169">
        <f>18411.45+588.34+862.17+2549.97+16725.69+11501.34+4142.57+3825.55+4811.88+3362.39+3</f>
        <v>66784.349999999991</v>
      </c>
      <c r="I189" s="686"/>
      <c r="J189" s="686"/>
      <c r="K189" s="1183">
        <f>29062.42+14520.19</f>
        <v>43582.61</v>
      </c>
      <c r="L189" s="1117"/>
      <c r="M189" s="404"/>
      <c r="N189" s="1192">
        <f>288392.26+43967.7+14866+10144.56+317458.76+57975.93+82968.68+65961.95+71428.16+198363.31</f>
        <v>1151527.31</v>
      </c>
      <c r="O189" s="723"/>
      <c r="P189" s="723"/>
      <c r="Q189" s="1192">
        <f>82281.06+164687.08</f>
        <v>246968.13999999998</v>
      </c>
      <c r="R189" s="723"/>
      <c r="S189" s="723"/>
      <c r="T189" s="1192"/>
      <c r="U189" s="1202"/>
      <c r="V189" s="1053"/>
      <c r="W189" s="770"/>
      <c r="X189" s="1214"/>
      <c r="Y189" s="771"/>
      <c r="Z189" s="771"/>
      <c r="AA189" s="1214">
        <f>16725.71+588.35+2549.96+862.18+18411.45+3362.39+4811.88+3825.55+69334.85+4142.58</f>
        <v>124614.90000000001</v>
      </c>
      <c r="AB189" s="771"/>
      <c r="AC189" s="1214"/>
      <c r="AD189" s="771"/>
      <c r="AE189" s="1214"/>
      <c r="AF189" s="771"/>
      <c r="AG189" s="1214"/>
      <c r="AH189" s="771"/>
      <c r="AI189" s="771"/>
      <c r="AJ189" s="1214"/>
      <c r="AK189" s="771"/>
      <c r="AL189" s="771"/>
      <c r="AM189" s="1219"/>
      <c r="AN189" s="1014"/>
      <c r="AO189" s="846"/>
      <c r="AP189" s="1225"/>
      <c r="AQ189" s="847"/>
      <c r="AR189" s="848"/>
      <c r="AS189" s="1231"/>
      <c r="AT189" s="972"/>
      <c r="AU189" s="894"/>
      <c r="AV189" s="1249"/>
      <c r="AW189" s="1250"/>
      <c r="AX189" s="1251"/>
      <c r="AY189" s="928"/>
      <c r="AZ189" s="1258"/>
      <c r="BA189" s="136">
        <f t="shared" si="890"/>
        <v>0</v>
      </c>
      <c r="BB189" s="152"/>
      <c r="BC189" s="1263">
        <f>AS189+AP189+AM189+AJ189+AG189+AE189+AC189+AA189+X189+U189+T189+Q189+N189+K189+H189+E189</f>
        <v>1633477.3100000003</v>
      </c>
      <c r="BD189" s="185">
        <v>422411</v>
      </c>
      <c r="BE189" s="34"/>
      <c r="BF189" s="610"/>
      <c r="BG189" s="610"/>
      <c r="BH189" s="610"/>
      <c r="BI189" s="1656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</row>
    <row r="190" spans="1:148" s="6" customFormat="1" ht="15.75" thickBot="1" x14ac:dyDescent="0.3">
      <c r="A190" s="46">
        <v>422591</v>
      </c>
      <c r="B190" s="288" t="s">
        <v>276</v>
      </c>
      <c r="C190" s="682"/>
      <c r="D190" s="682"/>
      <c r="E190" s="1168"/>
      <c r="F190" s="684"/>
      <c r="G190" s="684"/>
      <c r="H190" s="1168">
        <v>1103.25</v>
      </c>
      <c r="I190" s="683"/>
      <c r="J190" s="683"/>
      <c r="K190" s="1182"/>
      <c r="L190" s="1116"/>
      <c r="M190" s="402"/>
      <c r="N190" s="1191">
        <v>19022.73</v>
      </c>
      <c r="O190" s="722"/>
      <c r="P190" s="722"/>
      <c r="Q190" s="1191"/>
      <c r="R190" s="722"/>
      <c r="S190" s="722"/>
      <c r="T190" s="1191"/>
      <c r="U190" s="1201"/>
      <c r="V190" s="1050"/>
      <c r="W190" s="766"/>
      <c r="X190" s="1213"/>
      <c r="Y190" s="767"/>
      <c r="Z190" s="767"/>
      <c r="AA190" s="1213">
        <v>1103.25</v>
      </c>
      <c r="AB190" s="767"/>
      <c r="AC190" s="1213"/>
      <c r="AD190" s="767"/>
      <c r="AE190" s="1213"/>
      <c r="AF190" s="767"/>
      <c r="AG190" s="1213"/>
      <c r="AH190" s="767"/>
      <c r="AI190" s="767"/>
      <c r="AJ190" s="1213"/>
      <c r="AK190" s="767"/>
      <c r="AL190" s="767"/>
      <c r="AM190" s="1218"/>
      <c r="AN190" s="1012"/>
      <c r="AO190" s="841"/>
      <c r="AP190" s="1224"/>
      <c r="AQ190" s="842"/>
      <c r="AR190" s="843"/>
      <c r="AS190" s="1230"/>
      <c r="AT190" s="970"/>
      <c r="AU190" s="891"/>
      <c r="AV190" s="1246"/>
      <c r="AW190" s="1247"/>
      <c r="AX190" s="1248"/>
      <c r="AY190" s="926"/>
      <c r="AZ190" s="1257"/>
      <c r="BA190" s="136">
        <f t="shared" si="890"/>
        <v>0</v>
      </c>
      <c r="BB190" s="151"/>
      <c r="BC190" s="1263">
        <f>AS190+AP190+AM190+AJ190+AG190+AE190+AC190+AA190+X190+U190+T190+Q190+N190+K190+H190+E190</f>
        <v>21229.23</v>
      </c>
      <c r="BD190" s="187">
        <v>422591</v>
      </c>
      <c r="BE190" s="34"/>
      <c r="BF190" s="1650"/>
      <c r="BG190" s="610"/>
      <c r="BH190" s="610"/>
      <c r="BI190" s="1656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</row>
    <row r="191" spans="1:148" s="2" customFormat="1" ht="15.75" thickBot="1" x14ac:dyDescent="0.3">
      <c r="A191" s="76">
        <v>4224</v>
      </c>
      <c r="B191" s="87" t="s">
        <v>159</v>
      </c>
      <c r="C191" s="665">
        <f t="shared" ref="C191" si="954">C189+C190</f>
        <v>0</v>
      </c>
      <c r="D191" s="665">
        <f t="shared" ref="D191:K191" si="955">D189+D190</f>
        <v>0</v>
      </c>
      <c r="E191" s="666">
        <f t="shared" si="955"/>
        <v>0</v>
      </c>
      <c r="F191" s="667">
        <f t="shared" ref="F191" si="956">F189+F190</f>
        <v>0</v>
      </c>
      <c r="G191" s="667">
        <f t="shared" si="955"/>
        <v>0</v>
      </c>
      <c r="H191" s="666">
        <f t="shared" si="955"/>
        <v>67887.599999999991</v>
      </c>
      <c r="I191" s="666">
        <f t="shared" ref="I191" si="957">I189+I190</f>
        <v>0</v>
      </c>
      <c r="J191" s="666">
        <f t="shared" si="955"/>
        <v>0</v>
      </c>
      <c r="K191" s="1069">
        <f t="shared" si="955"/>
        <v>43582.61</v>
      </c>
      <c r="L191" s="1099"/>
      <c r="M191" s="397"/>
      <c r="N191" s="711">
        <f>SUM(N189:N190)</f>
        <v>1170550.04</v>
      </c>
      <c r="O191" s="711">
        <f t="shared" ref="O191" si="958">O189+O190</f>
        <v>0</v>
      </c>
      <c r="P191" s="711">
        <f t="shared" ref="P191:Q191" si="959">P189+P190</f>
        <v>0</v>
      </c>
      <c r="Q191" s="711">
        <f t="shared" si="959"/>
        <v>246968.13999999998</v>
      </c>
      <c r="R191" s="711">
        <f>R189+R190</f>
        <v>0</v>
      </c>
      <c r="S191" s="711">
        <f>S189+S190</f>
        <v>0</v>
      </c>
      <c r="T191" s="711">
        <f>T189+T190</f>
        <v>0</v>
      </c>
      <c r="U191" s="1100">
        <f>U189+U190</f>
        <v>0</v>
      </c>
      <c r="V191" s="1043">
        <f t="shared" ref="V191:W191" si="960">V189+V190</f>
        <v>0</v>
      </c>
      <c r="W191" s="758">
        <f t="shared" si="960"/>
        <v>0</v>
      </c>
      <c r="X191" s="759">
        <f t="shared" ref="X191:Y191" si="961">X189+X190</f>
        <v>0</v>
      </c>
      <c r="Y191" s="759">
        <f t="shared" si="961"/>
        <v>0</v>
      </c>
      <c r="Z191" s="759">
        <f t="shared" ref="Z191:AA191" si="962">Z189+Z190</f>
        <v>0</v>
      </c>
      <c r="AA191" s="759">
        <f t="shared" si="962"/>
        <v>125718.15000000001</v>
      </c>
      <c r="AB191" s="759">
        <f t="shared" ref="AB191:AC191" si="963">AB189+AB190</f>
        <v>0</v>
      </c>
      <c r="AC191" s="759">
        <f t="shared" si="963"/>
        <v>0</v>
      </c>
      <c r="AD191" s="759">
        <f t="shared" ref="AD191:AL191" si="964">AD189+AD190</f>
        <v>0</v>
      </c>
      <c r="AE191" s="759">
        <f t="shared" ref="AE191:AF191" si="965">AE189+AE190</f>
        <v>0</v>
      </c>
      <c r="AF191" s="759">
        <f t="shared" si="965"/>
        <v>0</v>
      </c>
      <c r="AG191" s="759">
        <f t="shared" ref="AG191:AK191" si="966">AG189+AG190</f>
        <v>0</v>
      </c>
      <c r="AH191" s="759">
        <f t="shared" ref="AH191" si="967">AH189+AH190</f>
        <v>0</v>
      </c>
      <c r="AI191" s="759">
        <f t="shared" si="966"/>
        <v>0</v>
      </c>
      <c r="AJ191" s="759">
        <f t="shared" si="966"/>
        <v>0</v>
      </c>
      <c r="AK191" s="759">
        <f t="shared" si="966"/>
        <v>0</v>
      </c>
      <c r="AL191" s="759">
        <f t="shared" si="964"/>
        <v>0</v>
      </c>
      <c r="AM191" s="1044">
        <f t="shared" ref="AM191:AO191" si="968">AM189+AM190</f>
        <v>0</v>
      </c>
      <c r="AN191" s="1004">
        <f t="shared" ref="AN191" si="969">AN189+AN190</f>
        <v>0</v>
      </c>
      <c r="AO191" s="825">
        <f t="shared" si="968"/>
        <v>0</v>
      </c>
      <c r="AP191" s="826">
        <f t="shared" ref="AP191:AR191" si="970">AP189+AP190</f>
        <v>0</v>
      </c>
      <c r="AQ191" s="827">
        <f t="shared" ref="AQ191" si="971">AQ189+AQ190</f>
        <v>0</v>
      </c>
      <c r="AR191" s="828">
        <f t="shared" si="970"/>
        <v>0</v>
      </c>
      <c r="AS191" s="1005">
        <f t="shared" ref="AS191:AX191" si="972">AS189+AS190</f>
        <v>0</v>
      </c>
      <c r="AT191" s="961">
        <f t="shared" ref="AT191:AU191" si="973">AT189+AT190</f>
        <v>0</v>
      </c>
      <c r="AU191" s="883">
        <f t="shared" si="973"/>
        <v>0</v>
      </c>
      <c r="AV191" s="883">
        <f t="shared" si="972"/>
        <v>0</v>
      </c>
      <c r="AW191" s="884">
        <f t="shared" si="972"/>
        <v>0</v>
      </c>
      <c r="AX191" s="962">
        <f t="shared" si="972"/>
        <v>0</v>
      </c>
      <c r="AY191" s="922">
        <f t="shared" ref="AY191:AZ191" si="974">AY189+AY190</f>
        <v>0</v>
      </c>
      <c r="AZ191" s="602">
        <f t="shared" si="974"/>
        <v>0</v>
      </c>
      <c r="BA191" s="481">
        <f>SUM(BA189:BA190)</f>
        <v>0</v>
      </c>
      <c r="BB191" s="155">
        <f>AR191+AO191+AL191+AI191+AF191+AB191+AD191+Z191+W191+S191+P191+M191+J191+G191+D191</f>
        <v>0</v>
      </c>
      <c r="BC191" s="1277">
        <f>SUM(BC189:BC190)</f>
        <v>1654706.5400000003</v>
      </c>
      <c r="BD191" s="188">
        <v>4224</v>
      </c>
      <c r="BE191" s="133"/>
      <c r="BF191" s="1651"/>
      <c r="BG191" s="610"/>
      <c r="BH191" s="610"/>
      <c r="BI191" s="1655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</row>
    <row r="192" spans="1:148" x14ac:dyDescent="0.25">
      <c r="A192" s="74">
        <v>422611</v>
      </c>
      <c r="B192" s="287" t="s">
        <v>153</v>
      </c>
      <c r="C192" s="685"/>
      <c r="D192" s="685"/>
      <c r="E192" s="1169"/>
      <c r="F192" s="687"/>
      <c r="G192" s="687"/>
      <c r="H192" s="1169"/>
      <c r="I192" s="686"/>
      <c r="J192" s="686"/>
      <c r="K192" s="1183"/>
      <c r="L192" s="1117"/>
      <c r="M192" s="404"/>
      <c r="N192" s="1192"/>
      <c r="O192" s="723"/>
      <c r="P192" s="723"/>
      <c r="Q192" s="1192"/>
      <c r="R192" s="723"/>
      <c r="S192" s="723"/>
      <c r="T192" s="1192"/>
      <c r="U192" s="1202"/>
      <c r="V192" s="1053"/>
      <c r="W192" s="770"/>
      <c r="X192" s="1214"/>
      <c r="Y192" s="771"/>
      <c r="Z192" s="771"/>
      <c r="AA192" s="1214"/>
      <c r="AB192" s="771"/>
      <c r="AC192" s="1214"/>
      <c r="AD192" s="771"/>
      <c r="AE192" s="1214"/>
      <c r="AF192" s="771"/>
      <c r="AG192" s="1214"/>
      <c r="AH192" s="771"/>
      <c r="AI192" s="771"/>
      <c r="AJ192" s="1214"/>
      <c r="AK192" s="771"/>
      <c r="AL192" s="771"/>
      <c r="AM192" s="1219"/>
      <c r="AN192" s="1014"/>
      <c r="AO192" s="846"/>
      <c r="AP192" s="1225"/>
      <c r="AQ192" s="847"/>
      <c r="AR192" s="848"/>
      <c r="AS192" s="1231"/>
      <c r="AT192" s="972"/>
      <c r="AU192" s="894"/>
      <c r="AV192" s="1249"/>
      <c r="AW192" s="1250"/>
      <c r="AX192" s="1251"/>
      <c r="AY192" s="928"/>
      <c r="AZ192" s="1258"/>
      <c r="BA192" s="136">
        <f t="shared" si="890"/>
        <v>0</v>
      </c>
      <c r="BB192" s="152"/>
      <c r="BC192" s="1263">
        <f>AS192+AP192+AM192+AJ192+AG192+AE192+AC192+AA192+X192+U192+T192+Q192+N192+K192+H192+E192</f>
        <v>0</v>
      </c>
      <c r="BD192" s="185">
        <v>422611</v>
      </c>
      <c r="BE192" s="34"/>
      <c r="BF192" s="1651"/>
    </row>
    <row r="193" spans="1:148" ht="15.75" thickBot="1" x14ac:dyDescent="0.3">
      <c r="A193" s="46">
        <v>422621</v>
      </c>
      <c r="B193" s="288" t="s">
        <v>154</v>
      </c>
      <c r="C193" s="682"/>
      <c r="D193" s="682"/>
      <c r="E193" s="1168"/>
      <c r="F193" s="684"/>
      <c r="G193" s="684"/>
      <c r="H193" s="1168"/>
      <c r="I193" s="683"/>
      <c r="J193" s="683"/>
      <c r="K193" s="1182"/>
      <c r="L193" s="1116"/>
      <c r="M193" s="402"/>
      <c r="N193" s="1191"/>
      <c r="O193" s="722"/>
      <c r="P193" s="722"/>
      <c r="Q193" s="1191"/>
      <c r="R193" s="722"/>
      <c r="S193" s="722"/>
      <c r="T193" s="1191"/>
      <c r="U193" s="1201"/>
      <c r="V193" s="1050"/>
      <c r="W193" s="766"/>
      <c r="X193" s="1213"/>
      <c r="Y193" s="767"/>
      <c r="Z193" s="767"/>
      <c r="AA193" s="1213"/>
      <c r="AB193" s="767"/>
      <c r="AC193" s="1213"/>
      <c r="AD193" s="767"/>
      <c r="AE193" s="1213"/>
      <c r="AF193" s="767"/>
      <c r="AG193" s="1213"/>
      <c r="AH193" s="767"/>
      <c r="AI193" s="767"/>
      <c r="AJ193" s="1213"/>
      <c r="AK193" s="767"/>
      <c r="AL193" s="767"/>
      <c r="AM193" s="1218"/>
      <c r="AN193" s="1012"/>
      <c r="AO193" s="841"/>
      <c r="AP193" s="1224"/>
      <c r="AQ193" s="842"/>
      <c r="AR193" s="843"/>
      <c r="AS193" s="1230"/>
      <c r="AT193" s="970"/>
      <c r="AU193" s="891"/>
      <c r="AV193" s="1246"/>
      <c r="AW193" s="1247"/>
      <c r="AX193" s="1248"/>
      <c r="AY193" s="926"/>
      <c r="AZ193" s="1257"/>
      <c r="BA193" s="136">
        <f t="shared" si="890"/>
        <v>0</v>
      </c>
      <c r="BB193" s="151"/>
      <c r="BC193" s="1263">
        <f>AS193+AP193+AM193+AJ193+AG193+AE193+AC193+AA193+X193+U193+T193+Q193+N193+K193+H193+E193</f>
        <v>0</v>
      </c>
      <c r="BD193" s="187">
        <v>422621</v>
      </c>
      <c r="BE193" s="34"/>
      <c r="BF193" s="1650"/>
    </row>
    <row r="194" spans="1:148" s="2" customFormat="1" ht="15.75" thickBot="1" x14ac:dyDescent="0.3">
      <c r="A194" s="76">
        <v>4226</v>
      </c>
      <c r="B194" s="81" t="s">
        <v>131</v>
      </c>
      <c r="C194" s="621">
        <f t="shared" ref="C194" si="975">C192+C193</f>
        <v>0</v>
      </c>
      <c r="D194" s="621">
        <f t="shared" ref="D194:K194" si="976">D192+D193</f>
        <v>0</v>
      </c>
      <c r="E194" s="622">
        <f t="shared" si="976"/>
        <v>0</v>
      </c>
      <c r="F194" s="623">
        <f t="shared" ref="F194" si="977">F192+F193</f>
        <v>0</v>
      </c>
      <c r="G194" s="623">
        <f t="shared" si="976"/>
        <v>0</v>
      </c>
      <c r="H194" s="622">
        <f t="shared" si="976"/>
        <v>0</v>
      </c>
      <c r="I194" s="622">
        <f t="shared" ref="I194" si="978">I192+I193</f>
        <v>0</v>
      </c>
      <c r="J194" s="622">
        <f t="shared" si="976"/>
        <v>0</v>
      </c>
      <c r="K194" s="1060">
        <f t="shared" si="976"/>
        <v>0</v>
      </c>
      <c r="L194" s="1078"/>
      <c r="M194" s="381"/>
      <c r="N194" s="382"/>
      <c r="O194" s="382">
        <f t="shared" ref="O194" si="979">O192+O193</f>
        <v>0</v>
      </c>
      <c r="P194" s="382">
        <f t="shared" ref="P194:Q194" si="980">P192+P193</f>
        <v>0</v>
      </c>
      <c r="Q194" s="382">
        <f t="shared" si="980"/>
        <v>0</v>
      </c>
      <c r="R194" s="382">
        <f>R192+R193</f>
        <v>0</v>
      </c>
      <c r="S194" s="382">
        <f>S192+S193</f>
        <v>0</v>
      </c>
      <c r="T194" s="382">
        <f>T192+T193</f>
        <v>0</v>
      </c>
      <c r="U194" s="1079">
        <f>U192+U193</f>
        <v>0</v>
      </c>
      <c r="V194" s="1022">
        <f t="shared" ref="V194:W194" si="981">V192+V193</f>
        <v>0</v>
      </c>
      <c r="W194" s="732">
        <f t="shared" si="981"/>
        <v>0</v>
      </c>
      <c r="X194" s="733">
        <f t="shared" ref="X194:Y194" si="982">X192+X193</f>
        <v>0</v>
      </c>
      <c r="Y194" s="733">
        <f t="shared" si="982"/>
        <v>0</v>
      </c>
      <c r="Z194" s="733">
        <f t="shared" ref="Z194:AA194" si="983">Z192+Z193</f>
        <v>0</v>
      </c>
      <c r="AA194" s="733">
        <f t="shared" si="983"/>
        <v>0</v>
      </c>
      <c r="AB194" s="733">
        <f t="shared" ref="AB194:AC194" si="984">AB192+AB193</f>
        <v>0</v>
      </c>
      <c r="AC194" s="733">
        <f t="shared" si="984"/>
        <v>0</v>
      </c>
      <c r="AD194" s="733">
        <f t="shared" ref="AD194:AL194" si="985">AD192+AD193</f>
        <v>0</v>
      </c>
      <c r="AE194" s="733">
        <f t="shared" ref="AE194:AF194" si="986">AE192+AE193</f>
        <v>0</v>
      </c>
      <c r="AF194" s="733">
        <f t="shared" si="986"/>
        <v>0</v>
      </c>
      <c r="AG194" s="733">
        <f t="shared" ref="AG194:AK194" si="987">AG192+AG193</f>
        <v>0</v>
      </c>
      <c r="AH194" s="733">
        <f t="shared" ref="AH194" si="988">AH192+AH193</f>
        <v>0</v>
      </c>
      <c r="AI194" s="733">
        <f t="shared" si="987"/>
        <v>0</v>
      </c>
      <c r="AJ194" s="733">
        <f t="shared" si="987"/>
        <v>0</v>
      </c>
      <c r="AK194" s="733">
        <f t="shared" si="987"/>
        <v>0</v>
      </c>
      <c r="AL194" s="733">
        <f t="shared" si="985"/>
        <v>0</v>
      </c>
      <c r="AM194" s="1023">
        <f t="shared" ref="AM194:AO194" si="989">AM192+AM193</f>
        <v>0</v>
      </c>
      <c r="AN194" s="984">
        <f t="shared" ref="AN194" si="990">AN192+AN193</f>
        <v>0</v>
      </c>
      <c r="AO194" s="783">
        <f t="shared" si="989"/>
        <v>0</v>
      </c>
      <c r="AP194" s="784">
        <f t="shared" ref="AP194:AR194" si="991">AP192+AP193</f>
        <v>0</v>
      </c>
      <c r="AQ194" s="785">
        <f t="shared" ref="AQ194" si="992">AQ192+AQ193</f>
        <v>0</v>
      </c>
      <c r="AR194" s="786">
        <f t="shared" si="991"/>
        <v>0</v>
      </c>
      <c r="AS194" s="985">
        <f t="shared" ref="AS194:AX194" si="993">AS192+AS193</f>
        <v>0</v>
      </c>
      <c r="AT194" s="937">
        <f t="shared" ref="AT194:AU194" si="994">AT192+AT193</f>
        <v>0</v>
      </c>
      <c r="AU194" s="860">
        <f t="shared" si="994"/>
        <v>0</v>
      </c>
      <c r="AV194" s="860">
        <f t="shared" si="993"/>
        <v>0</v>
      </c>
      <c r="AW194" s="861">
        <f t="shared" si="993"/>
        <v>0</v>
      </c>
      <c r="AX194" s="938">
        <f t="shared" si="993"/>
        <v>0</v>
      </c>
      <c r="AY194" s="907">
        <f t="shared" ref="AY194:AZ194" si="995">AY192+AY193</f>
        <v>0</v>
      </c>
      <c r="AZ194" s="586">
        <f t="shared" si="995"/>
        <v>0</v>
      </c>
      <c r="BA194" s="481">
        <f>SUM(BA192:BA193)</f>
        <v>0</v>
      </c>
      <c r="BB194" s="155">
        <f>AR194+AO194+AL194+AI194+AF194+AB194+AD194+Z194+W194+S194+P194+M194+J194+G194+D194</f>
        <v>0</v>
      </c>
      <c r="BC194" s="1265">
        <f>SUM(BC192:BC193)</f>
        <v>0</v>
      </c>
      <c r="BD194" s="188">
        <v>4226</v>
      </c>
      <c r="BE194" s="131"/>
      <c r="BF194" s="610"/>
      <c r="BG194" s="610"/>
      <c r="BH194" s="610"/>
      <c r="BI194" s="1655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</row>
    <row r="195" spans="1:148" ht="15.75" thickBot="1" x14ac:dyDescent="0.3">
      <c r="A195" s="78">
        <v>422731</v>
      </c>
      <c r="B195" s="79" t="s">
        <v>129</v>
      </c>
      <c r="C195" s="628"/>
      <c r="D195" s="628"/>
      <c r="E195" s="1165"/>
      <c r="F195" s="630"/>
      <c r="G195" s="630"/>
      <c r="H195" s="1165">
        <v>4655.32</v>
      </c>
      <c r="I195" s="629"/>
      <c r="J195" s="629"/>
      <c r="K195" s="1180"/>
      <c r="L195" s="1082"/>
      <c r="M195" s="384"/>
      <c r="N195" s="1188">
        <v>80269.279999999999</v>
      </c>
      <c r="O195" s="703"/>
      <c r="P195" s="703"/>
      <c r="Q195" s="1188"/>
      <c r="R195" s="703"/>
      <c r="S195" s="703"/>
      <c r="T195" s="1188"/>
      <c r="U195" s="1197"/>
      <c r="V195" s="1026"/>
      <c r="W195" s="736"/>
      <c r="X195" s="1208"/>
      <c r="Y195" s="737"/>
      <c r="Z195" s="737"/>
      <c r="AA195" s="1208">
        <v>4655.33</v>
      </c>
      <c r="AB195" s="737"/>
      <c r="AC195" s="1208"/>
      <c r="AD195" s="737"/>
      <c r="AE195" s="1208"/>
      <c r="AF195" s="737"/>
      <c r="AG195" s="1208"/>
      <c r="AH195" s="737"/>
      <c r="AI195" s="737"/>
      <c r="AJ195" s="1208"/>
      <c r="AK195" s="737"/>
      <c r="AL195" s="737"/>
      <c r="AM195" s="1216"/>
      <c r="AN195" s="988"/>
      <c r="AO195" s="791"/>
      <c r="AP195" s="1222"/>
      <c r="AQ195" s="792"/>
      <c r="AR195" s="793"/>
      <c r="AS195" s="996"/>
      <c r="AT195" s="941"/>
      <c r="AU195" s="864"/>
      <c r="AV195" s="1240"/>
      <c r="AW195" s="1241"/>
      <c r="AX195" s="951"/>
      <c r="AY195" s="909"/>
      <c r="AZ195" s="595"/>
      <c r="BA195" s="136">
        <f t="shared" si="890"/>
        <v>0</v>
      </c>
      <c r="BB195" s="148"/>
      <c r="BC195" s="1263">
        <f>AS195+AP195+AM195+AJ195+AG195+AE195+AC195+AA195+X195+U195+T195+Q195+N195+K195+H195+E195</f>
        <v>89579.93</v>
      </c>
      <c r="BD195" s="189">
        <v>422731</v>
      </c>
      <c r="BE195" s="34"/>
    </row>
    <row r="196" spans="1:148" ht="15.75" thickBot="1" x14ac:dyDescent="0.3">
      <c r="A196" s="76">
        <v>4227</v>
      </c>
      <c r="B196" s="81" t="s">
        <v>128</v>
      </c>
      <c r="C196" s="621">
        <f>C195</f>
        <v>0</v>
      </c>
      <c r="D196" s="621">
        <f>D195</f>
        <v>0</v>
      </c>
      <c r="E196" s="622">
        <f>E195</f>
        <v>0</v>
      </c>
      <c r="F196" s="623">
        <f t="shared" ref="F196" si="996">F195</f>
        <v>0</v>
      </c>
      <c r="G196" s="623">
        <f t="shared" ref="G196:K196" si="997">G195</f>
        <v>0</v>
      </c>
      <c r="H196" s="622">
        <f t="shared" si="997"/>
        <v>4655.32</v>
      </c>
      <c r="I196" s="622">
        <f t="shared" ref="I196" si="998">I195</f>
        <v>0</v>
      </c>
      <c r="J196" s="622">
        <f t="shared" si="997"/>
        <v>0</v>
      </c>
      <c r="K196" s="1060">
        <f t="shared" si="997"/>
        <v>0</v>
      </c>
      <c r="L196" s="1078"/>
      <c r="M196" s="381"/>
      <c r="N196" s="382">
        <f>SUM(N195)</f>
        <v>80269.279999999999</v>
      </c>
      <c r="O196" s="382">
        <f t="shared" ref="O196" si="999">O195</f>
        <v>0</v>
      </c>
      <c r="P196" s="382">
        <f t="shared" ref="P196:R196" si="1000">P195</f>
        <v>0</v>
      </c>
      <c r="Q196" s="382">
        <f t="shared" si="1000"/>
        <v>0</v>
      </c>
      <c r="R196" s="382">
        <f t="shared" si="1000"/>
        <v>0</v>
      </c>
      <c r="S196" s="382">
        <f t="shared" ref="S196:W196" si="1001">S195</f>
        <v>0</v>
      </c>
      <c r="T196" s="382">
        <f t="shared" ref="T196" si="1002">T195</f>
        <v>0</v>
      </c>
      <c r="U196" s="1079">
        <f t="shared" si="1001"/>
        <v>0</v>
      </c>
      <c r="V196" s="1022">
        <f t="shared" ref="V196" si="1003">V195</f>
        <v>0</v>
      </c>
      <c r="W196" s="732">
        <f t="shared" si="1001"/>
        <v>0</v>
      </c>
      <c r="X196" s="733">
        <f t="shared" ref="X196:Y196" si="1004">X195</f>
        <v>0</v>
      </c>
      <c r="Y196" s="733">
        <f t="shared" si="1004"/>
        <v>0</v>
      </c>
      <c r="Z196" s="733">
        <f t="shared" ref="Z196:AA196" si="1005">Z195</f>
        <v>0</v>
      </c>
      <c r="AA196" s="733">
        <f t="shared" si="1005"/>
        <v>4655.33</v>
      </c>
      <c r="AB196" s="733">
        <f t="shared" ref="AB196:AC196" si="1006">AB195</f>
        <v>0</v>
      </c>
      <c r="AC196" s="733">
        <f t="shared" si="1006"/>
        <v>0</v>
      </c>
      <c r="AD196" s="733">
        <f t="shared" ref="AD196:AL196" si="1007">AD195</f>
        <v>0</v>
      </c>
      <c r="AE196" s="733">
        <f t="shared" ref="AE196:AF196" si="1008">AE195</f>
        <v>0</v>
      </c>
      <c r="AF196" s="733">
        <f t="shared" si="1008"/>
        <v>0</v>
      </c>
      <c r="AG196" s="733">
        <f t="shared" ref="AG196:AK196" si="1009">AG195</f>
        <v>0</v>
      </c>
      <c r="AH196" s="733">
        <f t="shared" ref="AH196" si="1010">AH195</f>
        <v>0</v>
      </c>
      <c r="AI196" s="733">
        <f t="shared" si="1009"/>
        <v>0</v>
      </c>
      <c r="AJ196" s="733">
        <f t="shared" si="1009"/>
        <v>0</v>
      </c>
      <c r="AK196" s="733">
        <f t="shared" si="1009"/>
        <v>0</v>
      </c>
      <c r="AL196" s="733">
        <f t="shared" si="1007"/>
        <v>0</v>
      </c>
      <c r="AM196" s="1023">
        <f t="shared" ref="AM196:AO196" si="1011">AM195</f>
        <v>0</v>
      </c>
      <c r="AN196" s="984">
        <f t="shared" ref="AN196" si="1012">AN195</f>
        <v>0</v>
      </c>
      <c r="AO196" s="783">
        <f t="shared" si="1011"/>
        <v>0</v>
      </c>
      <c r="AP196" s="784">
        <f t="shared" ref="AP196:AR196" si="1013">AP195</f>
        <v>0</v>
      </c>
      <c r="AQ196" s="785">
        <f t="shared" ref="AQ196" si="1014">AQ195</f>
        <v>0</v>
      </c>
      <c r="AR196" s="786">
        <f t="shared" si="1013"/>
        <v>0</v>
      </c>
      <c r="AS196" s="985">
        <f t="shared" ref="AS196:AX196" si="1015">AS195</f>
        <v>0</v>
      </c>
      <c r="AT196" s="937">
        <f t="shared" ref="AT196:AU196" si="1016">AT195</f>
        <v>0</v>
      </c>
      <c r="AU196" s="860">
        <f t="shared" si="1016"/>
        <v>0</v>
      </c>
      <c r="AV196" s="860">
        <f t="shared" si="1015"/>
        <v>0</v>
      </c>
      <c r="AW196" s="861">
        <f t="shared" si="1015"/>
        <v>0</v>
      </c>
      <c r="AX196" s="938">
        <f t="shared" si="1015"/>
        <v>0</v>
      </c>
      <c r="AY196" s="907">
        <f t="shared" ref="AY196:AZ196" si="1017">AY195</f>
        <v>0</v>
      </c>
      <c r="AZ196" s="586">
        <f t="shared" si="1017"/>
        <v>0</v>
      </c>
      <c r="BA196" s="481">
        <f>SUM(BA195)</f>
        <v>0</v>
      </c>
      <c r="BB196" s="155">
        <f>AR196+AO196+AL196+AI196+AF196+AB196+AD196+Z196+W196+S196+P196+M196+J196+G196+D196</f>
        <v>0</v>
      </c>
      <c r="BC196" s="1265">
        <f>SUM(BC195)</f>
        <v>89579.93</v>
      </c>
      <c r="BD196" s="188">
        <v>4227</v>
      </c>
      <c r="BE196" s="131"/>
      <c r="BF196" s="1650"/>
    </row>
    <row r="197" spans="1:148" ht="15.75" thickBot="1" x14ac:dyDescent="0.3">
      <c r="A197" s="204">
        <v>422</v>
      </c>
      <c r="B197" s="340" t="s">
        <v>127</v>
      </c>
      <c r="C197" s="652">
        <f>C183+C185+C188+C191+C194+C196</f>
        <v>0</v>
      </c>
      <c r="D197" s="634">
        <v>1500</v>
      </c>
      <c r="E197" s="635">
        <f>E183+E185+E188+E191+E194+E196</f>
        <v>1128.1300000000001</v>
      </c>
      <c r="F197" s="635">
        <f>F183+F185+F188+F191+F194+F196</f>
        <v>0</v>
      </c>
      <c r="G197" s="636">
        <v>83420</v>
      </c>
      <c r="H197" s="635">
        <f>H183+H185+H188+H191+H194+H196</f>
        <v>83417.31</v>
      </c>
      <c r="I197" s="635">
        <f>I183+I185+I188+I191+I194+I196</f>
        <v>0</v>
      </c>
      <c r="J197" s="635">
        <v>44550</v>
      </c>
      <c r="K197" s="1063">
        <f t="shared" ref="K197" si="1018">K183+K185+K188+K191+K194+K196</f>
        <v>44289.11</v>
      </c>
      <c r="L197" s="1084"/>
      <c r="M197" s="386">
        <v>1438325</v>
      </c>
      <c r="N197" s="387">
        <f>N183+N185+N188+N191+N194+N196</f>
        <v>1438320.76</v>
      </c>
      <c r="O197" s="387"/>
      <c r="P197" s="387">
        <v>252450</v>
      </c>
      <c r="Q197" s="387">
        <f t="shared" ref="Q197:R197" si="1019">Q183+Q185+Q188+Q191+Q194+Q196</f>
        <v>250971.63999999998</v>
      </c>
      <c r="R197" s="387">
        <f t="shared" si="1019"/>
        <v>0</v>
      </c>
      <c r="S197" s="387">
        <f t="shared" ref="S197:U197" si="1020">S183+S185+S188+S191+S194+S196</f>
        <v>0</v>
      </c>
      <c r="T197" s="387">
        <f t="shared" ref="T197" si="1021">T183+T185+T188+T191+T194+T196</f>
        <v>0</v>
      </c>
      <c r="U197" s="1085">
        <f t="shared" si="1020"/>
        <v>0</v>
      </c>
      <c r="V197" s="1028">
        <f>V183+V185+V188+V191+V194+V196</f>
        <v>894.72426836551858</v>
      </c>
      <c r="W197" s="740">
        <v>1416</v>
      </c>
      <c r="X197" s="741">
        <f>X183+X185+X188+X191+X194+X196</f>
        <v>1415.8899999999999</v>
      </c>
      <c r="Y197" s="741"/>
      <c r="Z197" s="741">
        <v>146400</v>
      </c>
      <c r="AA197" s="741">
        <f>AA183+AA185+AA188+AA191+AA194+AA196</f>
        <v>141247.88999999998</v>
      </c>
      <c r="AB197" s="741">
        <f t="shared" ref="AB197" si="1022">AB183+AB185+AB188+AB191+AB194+AB196</f>
        <v>0</v>
      </c>
      <c r="AC197" s="741">
        <f t="shared" ref="AC197" si="1023">AC183+AC185+AC188+AC191+AC194+AC196</f>
        <v>0</v>
      </c>
      <c r="AD197" s="741">
        <f t="shared" ref="AD197:AL197" si="1024">AD183+AD185+AD188+AD191+AD194+AD196</f>
        <v>0</v>
      </c>
      <c r="AE197" s="741">
        <f t="shared" ref="AE197:AF197" si="1025">AE183+AE185+AE188+AE191+AE194+AE196</f>
        <v>0</v>
      </c>
      <c r="AF197" s="741">
        <f t="shared" si="1025"/>
        <v>0</v>
      </c>
      <c r="AG197" s="741">
        <f t="shared" ref="AG197:AK197" si="1026">AG183+AG185+AG188+AG191+AG194+AG196</f>
        <v>0</v>
      </c>
      <c r="AH197" s="741">
        <f t="shared" ref="AH197" si="1027">AH183+AH185+AH188+AH191+AH194+AH196</f>
        <v>0</v>
      </c>
      <c r="AI197" s="741">
        <f t="shared" si="1026"/>
        <v>0</v>
      </c>
      <c r="AJ197" s="741">
        <f t="shared" si="1026"/>
        <v>0</v>
      </c>
      <c r="AK197" s="741">
        <f t="shared" si="1026"/>
        <v>0</v>
      </c>
      <c r="AL197" s="741">
        <f t="shared" si="1024"/>
        <v>0</v>
      </c>
      <c r="AM197" s="1029">
        <f t="shared" ref="AM197" si="1028">AM183+AM185+AM188+AM191+AM194+AM196</f>
        <v>0</v>
      </c>
      <c r="AN197" s="990">
        <f t="shared" ref="AN197:AQ197" si="1029">AN183+AN185+AN188+AN191+AN194+AN196</f>
        <v>132.59008560621143</v>
      </c>
      <c r="AO197" s="797">
        <v>2000</v>
      </c>
      <c r="AP197" s="798">
        <f t="shared" si="1029"/>
        <v>1063.45</v>
      </c>
      <c r="AQ197" s="798">
        <f t="shared" si="1029"/>
        <v>0</v>
      </c>
      <c r="AR197" s="800">
        <v>1194</v>
      </c>
      <c r="AS197" s="991">
        <f>AS183+AS185+AS188+AS191+AS194+AS196</f>
        <v>0</v>
      </c>
      <c r="AT197" s="947">
        <f t="shared" ref="AT197" si="1030">AT183+AT185+AT188+AT191+AT194+AT196</f>
        <v>0</v>
      </c>
      <c r="AU197" s="869"/>
      <c r="AV197" s="869"/>
      <c r="AW197" s="870">
        <f t="shared" ref="AW197:AY197" si="1031">AW183+AW185+AW188+AW191+AW194+AW196</f>
        <v>0</v>
      </c>
      <c r="AX197" s="948"/>
      <c r="AY197" s="913">
        <f t="shared" si="1031"/>
        <v>0</v>
      </c>
      <c r="AZ197" s="593"/>
      <c r="BA197" s="164">
        <f>BA183+BA185+BA188+BA191+BA194+BA196</f>
        <v>1027.31435397173</v>
      </c>
      <c r="BB197" s="162">
        <f>AR197+AO197+AL197+AI197+AF197+AB197+AD197+Z197+W197+S197+P197+M197+J197+G197+D197+AU197</f>
        <v>1971255</v>
      </c>
      <c r="BC197" s="1266">
        <f>BC183+BC185+BC188+BC191+BC194+BC196</f>
        <v>1961854.1800000002</v>
      </c>
      <c r="BD197" s="346">
        <v>422</v>
      </c>
      <c r="BE197" s="131"/>
    </row>
    <row r="198" spans="1:148" ht="16.5" thickTop="1" thickBot="1" x14ac:dyDescent="0.3">
      <c r="A198" s="277">
        <v>424111</v>
      </c>
      <c r="B198" s="289" t="s">
        <v>126</v>
      </c>
      <c r="C198" s="688">
        <f>4500/7.5345</f>
        <v>597.25263786581718</v>
      </c>
      <c r="D198" s="688"/>
      <c r="E198" s="689">
        <f>26.36+26.65+175.49+223.82+31.6+99.28+67.81</f>
        <v>651.01</v>
      </c>
      <c r="F198" s="690"/>
      <c r="G198" s="690"/>
      <c r="H198" s="689"/>
      <c r="I198" s="689"/>
      <c r="J198" s="689"/>
      <c r="K198" s="1073"/>
      <c r="L198" s="1118"/>
      <c r="M198" s="405"/>
      <c r="N198" s="724"/>
      <c r="O198" s="714"/>
      <c r="P198" s="714"/>
      <c r="Q198" s="724"/>
      <c r="R198" s="724"/>
      <c r="S198" s="724"/>
      <c r="T198" s="724"/>
      <c r="U198" s="1119"/>
      <c r="V198" s="1046"/>
      <c r="W198" s="761"/>
      <c r="X198" s="772">
        <f>236.93+65.8+27.59</f>
        <v>330.32</v>
      </c>
      <c r="Y198" s="762"/>
      <c r="Z198" s="762"/>
      <c r="AA198" s="772"/>
      <c r="AB198" s="762"/>
      <c r="AC198" s="772"/>
      <c r="AD198" s="772"/>
      <c r="AE198" s="772"/>
      <c r="AF198" s="772"/>
      <c r="AG198" s="772"/>
      <c r="AH198" s="772"/>
      <c r="AI198" s="772"/>
      <c r="AJ198" s="772"/>
      <c r="AK198" s="772"/>
      <c r="AL198" s="772"/>
      <c r="AM198" s="1054"/>
      <c r="AN198" s="1015">
        <f>4493.39/7.5345</f>
        <v>596.37534010219656</v>
      </c>
      <c r="AO198" s="849"/>
      <c r="AP198" s="850">
        <f>78.96+65.82+44.44+29.6+34.23+2.19</f>
        <v>255.23999999999995</v>
      </c>
      <c r="AQ198" s="851"/>
      <c r="AR198" s="852"/>
      <c r="AS198" s="1016"/>
      <c r="AT198" s="973"/>
      <c r="AU198" s="895"/>
      <c r="AV198" s="895"/>
      <c r="AW198" s="896"/>
      <c r="AX198" s="974"/>
      <c r="AY198" s="929"/>
      <c r="AZ198" s="606"/>
      <c r="BA198" s="136">
        <f t="shared" ref="BA198:BA203" si="1032">AQ198+AN198+AK198+AH198+AC198+Y198+V198+R198+O198+L198+I198+F198+C198+AT198</f>
        <v>1193.6279779680137</v>
      </c>
      <c r="BB198" s="174"/>
      <c r="BC198" s="1276">
        <f>AS198+AP198+AM198+AJ198+AG198+AE198+AC198+AA198+X198+U198+T198+Q198+N198+K198+H198+E198</f>
        <v>1236.57</v>
      </c>
      <c r="BD198" s="352">
        <v>424111</v>
      </c>
      <c r="BE198" s="34"/>
    </row>
    <row r="199" spans="1:148" ht="15.75" thickBot="1" x14ac:dyDescent="0.3">
      <c r="A199" s="204">
        <v>424</v>
      </c>
      <c r="B199" s="340" t="s">
        <v>125</v>
      </c>
      <c r="C199" s="652">
        <f>C198</f>
        <v>597.25263786581718</v>
      </c>
      <c r="D199" s="634">
        <v>1327</v>
      </c>
      <c r="E199" s="635">
        <f>E198</f>
        <v>651.01</v>
      </c>
      <c r="F199" s="636">
        <f t="shared" ref="F199" si="1033">F198</f>
        <v>0</v>
      </c>
      <c r="G199" s="636">
        <f t="shared" ref="G199:K199" si="1034">G198</f>
        <v>0</v>
      </c>
      <c r="H199" s="635">
        <f t="shared" si="1034"/>
        <v>0</v>
      </c>
      <c r="I199" s="635">
        <f t="shared" ref="I199" si="1035">I198</f>
        <v>0</v>
      </c>
      <c r="J199" s="635">
        <f t="shared" si="1034"/>
        <v>0</v>
      </c>
      <c r="K199" s="1063">
        <f t="shared" si="1034"/>
        <v>0</v>
      </c>
      <c r="L199" s="1084"/>
      <c r="M199" s="386"/>
      <c r="N199" s="387"/>
      <c r="O199" s="387">
        <f t="shared" ref="O199" si="1036">O198</f>
        <v>0</v>
      </c>
      <c r="P199" s="387">
        <f t="shared" ref="P199:R199" si="1037">P198</f>
        <v>0</v>
      </c>
      <c r="Q199" s="387">
        <f t="shared" si="1037"/>
        <v>0</v>
      </c>
      <c r="R199" s="387">
        <f t="shared" si="1037"/>
        <v>0</v>
      </c>
      <c r="S199" s="387">
        <f t="shared" ref="S199:U199" si="1038">S198</f>
        <v>0</v>
      </c>
      <c r="T199" s="387">
        <f t="shared" ref="T199" si="1039">T198</f>
        <v>0</v>
      </c>
      <c r="U199" s="1085">
        <f t="shared" si="1038"/>
        <v>0</v>
      </c>
      <c r="V199" s="1028"/>
      <c r="W199" s="740">
        <v>331</v>
      </c>
      <c r="X199" s="741">
        <f t="shared" ref="X199:Y199" si="1040">X198</f>
        <v>330.32</v>
      </c>
      <c r="Y199" s="741">
        <f t="shared" si="1040"/>
        <v>0</v>
      </c>
      <c r="Z199" s="741">
        <f t="shared" ref="Z199:AA199" si="1041">Z198</f>
        <v>0</v>
      </c>
      <c r="AA199" s="741">
        <f t="shared" si="1041"/>
        <v>0</v>
      </c>
      <c r="AB199" s="741">
        <f t="shared" ref="AB199:AC199" si="1042">AB198</f>
        <v>0</v>
      </c>
      <c r="AC199" s="741">
        <f t="shared" si="1042"/>
        <v>0</v>
      </c>
      <c r="AD199" s="741">
        <f t="shared" ref="AD199:AL199" si="1043">AD198</f>
        <v>0</v>
      </c>
      <c r="AE199" s="741">
        <f t="shared" ref="AE199:AF199" si="1044">AE198</f>
        <v>0</v>
      </c>
      <c r="AF199" s="741">
        <f t="shared" si="1044"/>
        <v>0</v>
      </c>
      <c r="AG199" s="741">
        <f t="shared" ref="AG199:AK199" si="1045">AG198</f>
        <v>0</v>
      </c>
      <c r="AH199" s="741">
        <f t="shared" ref="AH199" si="1046">AH198</f>
        <v>0</v>
      </c>
      <c r="AI199" s="741">
        <f t="shared" si="1045"/>
        <v>0</v>
      </c>
      <c r="AJ199" s="741">
        <f t="shared" si="1045"/>
        <v>0</v>
      </c>
      <c r="AK199" s="741">
        <f t="shared" si="1045"/>
        <v>0</v>
      </c>
      <c r="AL199" s="741">
        <f t="shared" si="1043"/>
        <v>0</v>
      </c>
      <c r="AM199" s="1029">
        <f t="shared" ref="AM199" si="1047">AM198</f>
        <v>0</v>
      </c>
      <c r="AN199" s="990">
        <f>AN198</f>
        <v>596.37534010219656</v>
      </c>
      <c r="AO199" s="797">
        <v>500</v>
      </c>
      <c r="AP199" s="798">
        <f>AP198</f>
        <v>255.23999999999995</v>
      </c>
      <c r="AQ199" s="798">
        <f>AQ198</f>
        <v>0</v>
      </c>
      <c r="AR199" s="800"/>
      <c r="AS199" s="991"/>
      <c r="AT199" s="947">
        <f>AT198</f>
        <v>0</v>
      </c>
      <c r="AU199" s="869"/>
      <c r="AV199" s="869"/>
      <c r="AW199" s="870">
        <f>AW198</f>
        <v>0</v>
      </c>
      <c r="AX199" s="948"/>
      <c r="AY199" s="913">
        <f>AY198</f>
        <v>0</v>
      </c>
      <c r="AZ199" s="593"/>
      <c r="BA199" s="482">
        <f>SUM(BA198)</f>
        <v>1193.6279779680137</v>
      </c>
      <c r="BB199" s="162">
        <f>AR199+AO199+AL199+AI199+AF199+AB199+AD199+Z199+W199+S199+P199+M199+J199+G199+D199+AU199</f>
        <v>2158</v>
      </c>
      <c r="BC199" s="1266">
        <f>SUM(BC198)</f>
        <v>1236.57</v>
      </c>
      <c r="BD199" s="346">
        <v>424</v>
      </c>
      <c r="BE199" s="131"/>
    </row>
    <row r="200" spans="1:148" ht="15.75" thickTop="1" x14ac:dyDescent="0.25">
      <c r="A200" s="171">
        <v>426211</v>
      </c>
      <c r="B200" s="172" t="s">
        <v>122</v>
      </c>
      <c r="C200" s="638"/>
      <c r="D200" s="638"/>
      <c r="E200" s="672"/>
      <c r="F200" s="640"/>
      <c r="G200" s="640"/>
      <c r="H200" s="672"/>
      <c r="I200" s="639"/>
      <c r="J200" s="639"/>
      <c r="K200" s="1071"/>
      <c r="L200" s="1086"/>
      <c r="M200" s="388"/>
      <c r="N200" s="713"/>
      <c r="O200" s="705"/>
      <c r="P200" s="705"/>
      <c r="Q200" s="713"/>
      <c r="R200" s="705"/>
      <c r="S200" s="705"/>
      <c r="T200" s="713"/>
      <c r="U200" s="1104"/>
      <c r="V200" s="1030"/>
      <c r="W200" s="742"/>
      <c r="X200" s="760"/>
      <c r="Y200" s="743"/>
      <c r="Z200" s="743"/>
      <c r="AA200" s="760"/>
      <c r="AB200" s="743"/>
      <c r="AC200" s="760"/>
      <c r="AD200" s="743"/>
      <c r="AE200" s="760"/>
      <c r="AF200" s="743"/>
      <c r="AG200" s="760"/>
      <c r="AH200" s="743"/>
      <c r="AI200" s="743"/>
      <c r="AJ200" s="760"/>
      <c r="AK200" s="743"/>
      <c r="AL200" s="743"/>
      <c r="AM200" s="1045"/>
      <c r="AN200" s="992"/>
      <c r="AO200" s="801"/>
      <c r="AP200" s="832"/>
      <c r="AQ200" s="802"/>
      <c r="AR200" s="803"/>
      <c r="AS200" s="1008"/>
      <c r="AT200" s="946"/>
      <c r="AU200" s="868"/>
      <c r="AV200" s="885"/>
      <c r="AW200" s="886"/>
      <c r="AX200" s="965"/>
      <c r="AY200" s="912"/>
      <c r="AZ200" s="604"/>
      <c r="BA200" s="136">
        <f t="shared" si="1032"/>
        <v>0</v>
      </c>
      <c r="BB200" s="165"/>
      <c r="BC200" s="1276">
        <f>AS200+AP200+AM200+AJ200+AG200+AE200+AC200+AA200+X200+U200+T200+Q200+N200+K200+H200+E200</f>
        <v>0</v>
      </c>
      <c r="BD200" s="191">
        <v>426211</v>
      </c>
      <c r="BE200" s="34"/>
    </row>
    <row r="201" spans="1:148" s="6" customFormat="1" ht="15.75" thickBot="1" x14ac:dyDescent="0.3">
      <c r="A201" s="46">
        <v>426321</v>
      </c>
      <c r="B201" s="29" t="s">
        <v>123</v>
      </c>
      <c r="C201" s="618"/>
      <c r="D201" s="618"/>
      <c r="E201" s="657"/>
      <c r="F201" s="620"/>
      <c r="G201" s="620"/>
      <c r="H201" s="657"/>
      <c r="I201" s="619"/>
      <c r="J201" s="619"/>
      <c r="K201" s="1067"/>
      <c r="L201" s="1077"/>
      <c r="M201" s="379"/>
      <c r="N201" s="709"/>
      <c r="O201" s="700"/>
      <c r="P201" s="700"/>
      <c r="Q201" s="709"/>
      <c r="R201" s="700"/>
      <c r="S201" s="700"/>
      <c r="T201" s="709"/>
      <c r="U201" s="1096"/>
      <c r="V201" s="1021"/>
      <c r="W201" s="730"/>
      <c r="X201" s="752"/>
      <c r="Y201" s="731"/>
      <c r="Z201" s="731"/>
      <c r="AA201" s="752"/>
      <c r="AB201" s="731"/>
      <c r="AC201" s="752"/>
      <c r="AD201" s="731"/>
      <c r="AE201" s="752"/>
      <c r="AF201" s="731"/>
      <c r="AG201" s="752"/>
      <c r="AH201" s="731"/>
      <c r="AI201" s="731"/>
      <c r="AJ201" s="752"/>
      <c r="AK201" s="731"/>
      <c r="AL201" s="731"/>
      <c r="AM201" s="1038"/>
      <c r="AN201" s="983"/>
      <c r="AO201" s="780"/>
      <c r="AP201" s="818"/>
      <c r="AQ201" s="781"/>
      <c r="AR201" s="782"/>
      <c r="AS201" s="1001"/>
      <c r="AT201" s="936"/>
      <c r="AU201" s="859"/>
      <c r="AV201" s="877"/>
      <c r="AW201" s="878"/>
      <c r="AX201" s="956"/>
      <c r="AY201" s="906"/>
      <c r="AZ201" s="601"/>
      <c r="BA201" s="136">
        <f t="shared" si="1032"/>
        <v>0</v>
      </c>
      <c r="BB201" s="144"/>
      <c r="BC201" s="1263">
        <f>AS201+AP201+AM201+AJ201+AG201+AE201+AC201+AA201+X201+U201+T201+Q201+N201+K201+H201+E201</f>
        <v>0</v>
      </c>
      <c r="BD201" s="187">
        <v>426321</v>
      </c>
      <c r="BE201" s="34"/>
      <c r="BF201" s="610"/>
      <c r="BG201" s="610"/>
      <c r="BH201" s="610"/>
      <c r="BI201" s="1656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</row>
    <row r="202" spans="1:148" s="2" customFormat="1" ht="15.75" thickBot="1" x14ac:dyDescent="0.3">
      <c r="A202" s="204">
        <v>426</v>
      </c>
      <c r="B202" s="340" t="s">
        <v>124</v>
      </c>
      <c r="C202" s="634">
        <f t="shared" ref="C202" si="1048">C200+C201</f>
        <v>0</v>
      </c>
      <c r="D202" s="634">
        <f t="shared" ref="D202:K202" si="1049">D200+D201</f>
        <v>0</v>
      </c>
      <c r="E202" s="635">
        <f t="shared" si="1049"/>
        <v>0</v>
      </c>
      <c r="F202" s="636">
        <f t="shared" ref="F202" si="1050">F200+F201</f>
        <v>0</v>
      </c>
      <c r="G202" s="636">
        <f t="shared" si="1049"/>
        <v>0</v>
      </c>
      <c r="H202" s="635">
        <f t="shared" si="1049"/>
        <v>0</v>
      </c>
      <c r="I202" s="635">
        <f t="shared" ref="I202" si="1051">I200+I201</f>
        <v>0</v>
      </c>
      <c r="J202" s="635">
        <f t="shared" si="1049"/>
        <v>0</v>
      </c>
      <c r="K202" s="1063">
        <f t="shared" si="1049"/>
        <v>0</v>
      </c>
      <c r="L202" s="1084"/>
      <c r="M202" s="386"/>
      <c r="N202" s="387"/>
      <c r="O202" s="387">
        <f t="shared" ref="O202" si="1052">O200+O201</f>
        <v>0</v>
      </c>
      <c r="P202" s="387">
        <f t="shared" ref="P202:Q202" si="1053">P200+P201</f>
        <v>0</v>
      </c>
      <c r="Q202" s="387">
        <f t="shared" si="1053"/>
        <v>0</v>
      </c>
      <c r="R202" s="387">
        <f>R200+R201</f>
        <v>0</v>
      </c>
      <c r="S202" s="387">
        <f>S200+S201</f>
        <v>0</v>
      </c>
      <c r="T202" s="387">
        <f>T200+T201</f>
        <v>0</v>
      </c>
      <c r="U202" s="1085">
        <f>U200+U201</f>
        <v>0</v>
      </c>
      <c r="V202" s="1028">
        <f t="shared" ref="V202:W202" si="1054">V200+V201</f>
        <v>0</v>
      </c>
      <c r="W202" s="740">
        <f t="shared" si="1054"/>
        <v>0</v>
      </c>
      <c r="X202" s="741">
        <f t="shared" ref="X202:Y202" si="1055">X200+X201</f>
        <v>0</v>
      </c>
      <c r="Y202" s="741">
        <f t="shared" si="1055"/>
        <v>0</v>
      </c>
      <c r="Z202" s="741">
        <f t="shared" ref="Z202:AA202" si="1056">Z200+Z201</f>
        <v>0</v>
      </c>
      <c r="AA202" s="741">
        <f t="shared" si="1056"/>
        <v>0</v>
      </c>
      <c r="AB202" s="741">
        <f t="shared" ref="AB202:AC202" si="1057">AB200+AB201</f>
        <v>0</v>
      </c>
      <c r="AC202" s="741">
        <f t="shared" si="1057"/>
        <v>0</v>
      </c>
      <c r="AD202" s="741">
        <f t="shared" ref="AD202:AL202" si="1058">AD200+AD201</f>
        <v>0</v>
      </c>
      <c r="AE202" s="741">
        <f t="shared" ref="AE202:AF202" si="1059">AE200+AE201</f>
        <v>0</v>
      </c>
      <c r="AF202" s="741">
        <f t="shared" si="1059"/>
        <v>0</v>
      </c>
      <c r="AG202" s="741">
        <f t="shared" ref="AG202:AK202" si="1060">AG200+AG201</f>
        <v>0</v>
      </c>
      <c r="AH202" s="741">
        <f t="shared" ref="AH202" si="1061">AH200+AH201</f>
        <v>0</v>
      </c>
      <c r="AI202" s="741">
        <f t="shared" si="1060"/>
        <v>0</v>
      </c>
      <c r="AJ202" s="741">
        <f t="shared" si="1060"/>
        <v>0</v>
      </c>
      <c r="AK202" s="741">
        <f t="shared" si="1060"/>
        <v>0</v>
      </c>
      <c r="AL202" s="741">
        <f t="shared" si="1058"/>
        <v>0</v>
      </c>
      <c r="AM202" s="1029">
        <f t="shared" ref="AM202:AO202" si="1062">AM200+AM201</f>
        <v>0</v>
      </c>
      <c r="AN202" s="990">
        <f t="shared" ref="AN202" si="1063">AN200+AN201</f>
        <v>0</v>
      </c>
      <c r="AO202" s="797">
        <f t="shared" si="1062"/>
        <v>0</v>
      </c>
      <c r="AP202" s="798">
        <f t="shared" ref="AP202" si="1064">AP200+AP201</f>
        <v>0</v>
      </c>
      <c r="AQ202" s="799"/>
      <c r="AR202" s="800"/>
      <c r="AS202" s="991"/>
      <c r="AT202" s="947">
        <f t="shared" ref="AT202:AU202" si="1065">AT200+AT201</f>
        <v>0</v>
      </c>
      <c r="AU202" s="869">
        <f t="shared" si="1065"/>
        <v>0</v>
      </c>
      <c r="AV202" s="869">
        <f t="shared" ref="AV202:AW202" si="1066">AV200+AV201</f>
        <v>0</v>
      </c>
      <c r="AW202" s="870">
        <f t="shared" si="1066"/>
        <v>0</v>
      </c>
      <c r="AX202" s="948"/>
      <c r="AY202" s="913">
        <f t="shared" ref="AY202" si="1067">AY200+AY201</f>
        <v>0</v>
      </c>
      <c r="AZ202" s="593"/>
      <c r="BA202" s="482">
        <f>SUM(BA200:BA201)</f>
        <v>0</v>
      </c>
      <c r="BB202" s="162">
        <f>AR202+AO202+AL202+AI202+AF202+AB202+AD202+Z202+W202+S202+P202+M202+J202+G202+D202+AU202</f>
        <v>0</v>
      </c>
      <c r="BC202" s="1266">
        <f>SUM(BC200:BC201)</f>
        <v>0</v>
      </c>
      <c r="BD202" s="346">
        <v>426</v>
      </c>
      <c r="BE202" s="131"/>
      <c r="BF202" s="610"/>
      <c r="BG202" s="610"/>
      <c r="BH202" s="610"/>
      <c r="BI202" s="1655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</row>
    <row r="203" spans="1:148" s="6" customFormat="1" ht="16.5" thickTop="1" thickBot="1" x14ac:dyDescent="0.3">
      <c r="A203" s="277">
        <v>451111</v>
      </c>
      <c r="B203" s="289" t="s">
        <v>184</v>
      </c>
      <c r="C203" s="674"/>
      <c r="D203" s="674"/>
      <c r="E203" s="689"/>
      <c r="F203" s="676">
        <f>799225.43/7.5345</f>
        <v>106075.44362598713</v>
      </c>
      <c r="G203" s="676"/>
      <c r="H203" s="689"/>
      <c r="I203" s="675"/>
      <c r="J203" s="675"/>
      <c r="K203" s="1073"/>
      <c r="L203" s="1105">
        <f>13752511.95/7.5345</f>
        <v>1825272.0087597051</v>
      </c>
      <c r="M203" s="399"/>
      <c r="N203" s="724"/>
      <c r="O203" s="714"/>
      <c r="P203" s="714"/>
      <c r="Q203" s="724"/>
      <c r="R203" s="714"/>
      <c r="S203" s="714"/>
      <c r="T203" s="724"/>
      <c r="U203" s="1119"/>
      <c r="V203" s="1046">
        <f>509294.13/7.5345</f>
        <v>67594.947242683658</v>
      </c>
      <c r="W203" s="761"/>
      <c r="X203" s="772"/>
      <c r="Y203" s="762">
        <f>827330.51/7.5345</f>
        <v>109805.62877430486</v>
      </c>
      <c r="Z203" s="762"/>
      <c r="AA203" s="772"/>
      <c r="AB203" s="762"/>
      <c r="AC203" s="772"/>
      <c r="AD203" s="762"/>
      <c r="AE203" s="772"/>
      <c r="AF203" s="762"/>
      <c r="AG203" s="772"/>
      <c r="AH203" s="762"/>
      <c r="AI203" s="762"/>
      <c r="AJ203" s="772"/>
      <c r="AK203" s="762"/>
      <c r="AL203" s="762"/>
      <c r="AM203" s="1054"/>
      <c r="AN203" s="1009"/>
      <c r="AO203" s="835"/>
      <c r="AP203" s="850"/>
      <c r="AQ203" s="836"/>
      <c r="AR203" s="837"/>
      <c r="AS203" s="1016"/>
      <c r="AT203" s="966"/>
      <c r="AU203" s="887"/>
      <c r="AV203" s="895"/>
      <c r="AW203" s="896"/>
      <c r="AX203" s="974"/>
      <c r="AY203" s="924"/>
      <c r="AZ203" s="606"/>
      <c r="BA203" s="136">
        <f t="shared" si="1032"/>
        <v>2108748.028402681</v>
      </c>
      <c r="BB203" s="167"/>
      <c r="BC203" s="1276">
        <f>AS203+AP203+AM203+AJ203+AG203+AE203+AC203+AA203+X203+U203+T203+Q203+N203+K203+H203+E203</f>
        <v>0</v>
      </c>
      <c r="BD203" s="352">
        <v>451111</v>
      </c>
      <c r="BE203" s="34"/>
      <c r="BF203" s="1651"/>
      <c r="BG203" s="610"/>
      <c r="BH203" s="610"/>
      <c r="BI203" s="1656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</row>
    <row r="204" spans="1:148" s="2" customFormat="1" ht="15.75" thickBot="1" x14ac:dyDescent="0.3">
      <c r="A204" s="204">
        <v>451</v>
      </c>
      <c r="B204" s="340" t="s">
        <v>184</v>
      </c>
      <c r="C204" s="634"/>
      <c r="D204" s="634"/>
      <c r="E204" s="635"/>
      <c r="F204" s="637">
        <f>SUM(F203)</f>
        <v>106075.44362598713</v>
      </c>
      <c r="G204" s="636"/>
      <c r="H204" s="635">
        <f>SUM(H203)</f>
        <v>0</v>
      </c>
      <c r="I204" s="635">
        <f>SUM(I203)</f>
        <v>0</v>
      </c>
      <c r="J204" s="635">
        <f>SUM(J203)</f>
        <v>0</v>
      </c>
      <c r="K204" s="1063">
        <f>SUM(K203)</f>
        <v>0</v>
      </c>
      <c r="L204" s="1084">
        <f>SUM(L203)</f>
        <v>1825272.0087597051</v>
      </c>
      <c r="M204" s="386"/>
      <c r="N204" s="387">
        <f>SUM(N203)</f>
        <v>0</v>
      </c>
      <c r="O204" s="387"/>
      <c r="P204" s="387"/>
      <c r="Q204" s="387"/>
      <c r="R204" s="387">
        <f t="shared" ref="R204" si="1068">SUM(R203)</f>
        <v>0</v>
      </c>
      <c r="S204" s="387">
        <f t="shared" ref="S204:U204" si="1069">SUM(S203)</f>
        <v>0</v>
      </c>
      <c r="T204" s="387">
        <f t="shared" ref="T204" si="1070">SUM(T203)</f>
        <v>0</v>
      </c>
      <c r="U204" s="1085">
        <f t="shared" si="1069"/>
        <v>0</v>
      </c>
      <c r="V204" s="1028">
        <f>SUM(V203)</f>
        <v>67594.947242683658</v>
      </c>
      <c r="W204" s="740"/>
      <c r="X204" s="741">
        <f>SUM(X203)</f>
        <v>0</v>
      </c>
      <c r="Y204" s="741">
        <f>SUM(Y203)</f>
        <v>109805.62877430486</v>
      </c>
      <c r="Z204" s="741"/>
      <c r="AA204" s="741">
        <f>SUM(AA203)</f>
        <v>0</v>
      </c>
      <c r="AB204" s="741">
        <f>SUM(AB203)</f>
        <v>0</v>
      </c>
      <c r="AC204" s="741">
        <f>SUM(AC203)</f>
        <v>0</v>
      </c>
      <c r="AD204" s="741">
        <f t="shared" ref="AD204:AL204" si="1071">SUM(AD203)</f>
        <v>0</v>
      </c>
      <c r="AE204" s="741">
        <f t="shared" ref="AE204:AF204" si="1072">SUM(AE203)</f>
        <v>0</v>
      </c>
      <c r="AF204" s="741">
        <f t="shared" si="1072"/>
        <v>0</v>
      </c>
      <c r="AG204" s="741">
        <f t="shared" ref="AG204:AK204" si="1073">SUM(AG203)</f>
        <v>0</v>
      </c>
      <c r="AH204" s="741">
        <f t="shared" ref="AH204" si="1074">SUM(AH203)</f>
        <v>0</v>
      </c>
      <c r="AI204" s="741">
        <f t="shared" si="1073"/>
        <v>0</v>
      </c>
      <c r="AJ204" s="741">
        <f t="shared" si="1073"/>
        <v>0</v>
      </c>
      <c r="AK204" s="741">
        <f t="shared" si="1073"/>
        <v>0</v>
      </c>
      <c r="AL204" s="741">
        <f t="shared" si="1071"/>
        <v>0</v>
      </c>
      <c r="AM204" s="1029">
        <f t="shared" ref="AM204" si="1075">SUM(AM203)</f>
        <v>0</v>
      </c>
      <c r="AN204" s="990">
        <f>SUM(AN203)</f>
        <v>0</v>
      </c>
      <c r="AO204" s="797">
        <f>SUM(AO203)</f>
        <v>0</v>
      </c>
      <c r="AP204" s="798">
        <f t="shared" ref="AP204" si="1076">SUM(AP203)</f>
        <v>0</v>
      </c>
      <c r="AQ204" s="799">
        <f t="shared" ref="AQ204:AV204" si="1077">SUM(AQ203)</f>
        <v>0</v>
      </c>
      <c r="AR204" s="800">
        <f t="shared" si="1077"/>
        <v>0</v>
      </c>
      <c r="AS204" s="991">
        <f t="shared" si="1077"/>
        <v>0</v>
      </c>
      <c r="AT204" s="947">
        <f t="shared" si="1077"/>
        <v>0</v>
      </c>
      <c r="AU204" s="869">
        <f t="shared" si="1077"/>
        <v>0</v>
      </c>
      <c r="AV204" s="869">
        <f t="shared" si="1077"/>
        <v>0</v>
      </c>
      <c r="AW204" s="870">
        <f t="shared" ref="AW204:AY204" si="1078">SUM(AW203)</f>
        <v>0</v>
      </c>
      <c r="AX204" s="948">
        <f>SUM(AX203)</f>
        <v>0</v>
      </c>
      <c r="AY204" s="913">
        <f t="shared" si="1078"/>
        <v>0</v>
      </c>
      <c r="AZ204" s="593">
        <f>SUM(AZ203)</f>
        <v>0</v>
      </c>
      <c r="BA204" s="482">
        <f>SUM(BA203)</f>
        <v>2108748.028402681</v>
      </c>
      <c r="BB204" s="162">
        <f>AR204+AO204+AL204+AI204+AF204+AB204+AD204+Z204+W204+S204+P204+M204+J204+G204+D204+AU204</f>
        <v>0</v>
      </c>
      <c r="BC204" s="1266">
        <f>SUM(BC203)</f>
        <v>0</v>
      </c>
      <c r="BD204" s="346">
        <v>451</v>
      </c>
      <c r="BE204" s="131"/>
      <c r="BF204" s="1650"/>
      <c r="BG204" s="610"/>
      <c r="BH204" s="610"/>
      <c r="BI204" s="1655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</row>
    <row r="205" spans="1:148" s="22" customFormat="1" ht="16.5" thickTop="1" thickBot="1" x14ac:dyDescent="0.3">
      <c r="A205" s="198">
        <v>4</v>
      </c>
      <c r="B205" s="199" t="s">
        <v>120</v>
      </c>
      <c r="C205" s="691">
        <f t="shared" ref="C205" si="1079">C197+C199+C202+C204+C179</f>
        <v>597.25263786581718</v>
      </c>
      <c r="D205" s="692">
        <f t="shared" ref="D205:H205" si="1080">D197+D199+D202+D204</f>
        <v>2827</v>
      </c>
      <c r="E205" s="693">
        <f t="shared" si="1080"/>
        <v>1779.14</v>
      </c>
      <c r="F205" s="694">
        <f>F197+F199+F202+F204+F179</f>
        <v>106075.44362598713</v>
      </c>
      <c r="G205" s="695">
        <f t="shared" si="1080"/>
        <v>83420</v>
      </c>
      <c r="H205" s="693">
        <f t="shared" si="1080"/>
        <v>83417.31</v>
      </c>
      <c r="I205" s="694">
        <f t="shared" ref="I205:Q205" si="1081">I197+I199+I202+I204+I179</f>
        <v>10333.067887716503</v>
      </c>
      <c r="J205" s="693">
        <f>J197+J199+J202+J204+J179</f>
        <v>44580</v>
      </c>
      <c r="K205" s="1074">
        <f t="shared" si="1081"/>
        <v>44318.36</v>
      </c>
      <c r="L205" s="1120">
        <f t="shared" si="1081"/>
        <v>1825272.0087597051</v>
      </c>
      <c r="M205" s="406">
        <f t="shared" si="1081"/>
        <v>1438325</v>
      </c>
      <c r="N205" s="406">
        <f>N197+N199+N202+N204+N179</f>
        <v>1438320.76</v>
      </c>
      <c r="O205" s="406">
        <f>O197+O199+O202+O204+O179</f>
        <v>58554.051363726852</v>
      </c>
      <c r="P205" s="406">
        <f t="shared" si="1081"/>
        <v>252620</v>
      </c>
      <c r="Q205" s="406">
        <f t="shared" si="1081"/>
        <v>251137.38999999998</v>
      </c>
      <c r="R205" s="406">
        <f>R197+R199+R202+R204+R179</f>
        <v>0</v>
      </c>
      <c r="S205" s="406">
        <f t="shared" ref="S205" si="1082">S197+S199+S202+S204+S179</f>
        <v>0</v>
      </c>
      <c r="T205" s="406">
        <f>T197+T199+T202+T204+T179</f>
        <v>0</v>
      </c>
      <c r="U205" s="1121">
        <f>U197+U199+U202+U204+U179</f>
        <v>0</v>
      </c>
      <c r="V205" s="1055">
        <f>V197+V199+V202+V204</f>
        <v>68489.671511049179</v>
      </c>
      <c r="W205" s="773">
        <f t="shared" ref="W205:AA205" si="1083">W197+W199+W202+W204</f>
        <v>1747</v>
      </c>
      <c r="X205" s="774">
        <f t="shared" si="1083"/>
        <v>1746.2099999999998</v>
      </c>
      <c r="Y205" s="774">
        <f>Y197+Y199+Y202+Y204</f>
        <v>109805.62877430486</v>
      </c>
      <c r="Z205" s="774">
        <f t="shared" si="1083"/>
        <v>146400</v>
      </c>
      <c r="AA205" s="774">
        <f t="shared" si="1083"/>
        <v>141247.88999999998</v>
      </c>
      <c r="AB205" s="774">
        <f t="shared" ref="AB205:AM205" si="1084">AB197+AB199+AB202+AB204</f>
        <v>0</v>
      </c>
      <c r="AC205" s="774">
        <f t="shared" si="1084"/>
        <v>0</v>
      </c>
      <c r="AD205" s="774">
        <f t="shared" si="1084"/>
        <v>0</v>
      </c>
      <c r="AE205" s="774">
        <f t="shared" si="1084"/>
        <v>0</v>
      </c>
      <c r="AF205" s="774">
        <f t="shared" si="1084"/>
        <v>0</v>
      </c>
      <c r="AG205" s="774">
        <f t="shared" si="1084"/>
        <v>0</v>
      </c>
      <c r="AH205" s="774">
        <f t="shared" ref="AH205" si="1085">AH197+AH199+AH202+AH204</f>
        <v>0</v>
      </c>
      <c r="AI205" s="774">
        <f t="shared" si="1084"/>
        <v>0</v>
      </c>
      <c r="AJ205" s="774">
        <f t="shared" si="1084"/>
        <v>0</v>
      </c>
      <c r="AK205" s="774">
        <f t="shared" ref="AK205" si="1086">AK197+AK199+AK202+AK204</f>
        <v>0</v>
      </c>
      <c r="AL205" s="774">
        <f t="shared" si="1084"/>
        <v>0</v>
      </c>
      <c r="AM205" s="1056">
        <f t="shared" si="1084"/>
        <v>0</v>
      </c>
      <c r="AN205" s="1017">
        <f t="shared" ref="AN205:AX205" si="1087">AN197+AN199+AN202+AN204</f>
        <v>728.96542570840802</v>
      </c>
      <c r="AO205" s="853">
        <f t="shared" si="1087"/>
        <v>2500</v>
      </c>
      <c r="AP205" s="854">
        <f t="shared" si="1087"/>
        <v>1318.69</v>
      </c>
      <c r="AQ205" s="854">
        <f t="shared" si="1087"/>
        <v>0</v>
      </c>
      <c r="AR205" s="855">
        <f t="shared" si="1087"/>
        <v>1194</v>
      </c>
      <c r="AS205" s="1018">
        <f t="shared" si="1087"/>
        <v>0</v>
      </c>
      <c r="AT205" s="975">
        <f t="shared" si="1087"/>
        <v>0</v>
      </c>
      <c r="AU205" s="898">
        <f t="shared" si="1087"/>
        <v>0</v>
      </c>
      <c r="AV205" s="898">
        <f t="shared" si="1087"/>
        <v>0</v>
      </c>
      <c r="AW205" s="897">
        <f t="shared" si="1087"/>
        <v>0</v>
      </c>
      <c r="AX205" s="976">
        <f t="shared" si="1087"/>
        <v>0</v>
      </c>
      <c r="AY205" s="930">
        <f t="shared" ref="AY205:AZ205" si="1088">AY197+AY199+AY202+AY204</f>
        <v>0</v>
      </c>
      <c r="AZ205" s="608">
        <f t="shared" si="1088"/>
        <v>0</v>
      </c>
      <c r="BA205" s="154">
        <f>BA204+BA199+BA197+BA202+BA179</f>
        <v>2179856.0899860645</v>
      </c>
      <c r="BB205" s="162">
        <f>AR205+AO205+AL205+AI205+AF205+AB205+AD205+Z205+W205+S205+P205+M205+J205+G205+D205+AU205</f>
        <v>1973613</v>
      </c>
      <c r="BC205" s="1282">
        <f>BC204+BC199+BC197+BC202+BC179</f>
        <v>1963285.7500000002</v>
      </c>
      <c r="BD205" s="203">
        <v>4</v>
      </c>
      <c r="BE205" s="131"/>
      <c r="BF205" s="1651"/>
      <c r="BG205" s="610"/>
      <c r="BH205" s="610"/>
      <c r="BI205" s="610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</row>
    <row r="206" spans="1:148" ht="15.75" thickBot="1" x14ac:dyDescent="0.3">
      <c r="A206" s="76"/>
      <c r="B206" s="81" t="s">
        <v>119</v>
      </c>
      <c r="C206" s="696">
        <f>C176+C205</f>
        <v>893128.45178843976</v>
      </c>
      <c r="D206" s="621">
        <f t="shared" ref="D206:AE206" si="1089">D176+D205</f>
        <v>1133558</v>
      </c>
      <c r="E206" s="622">
        <f>E176+E205</f>
        <v>1041246.0200000003</v>
      </c>
      <c r="F206" s="624">
        <f>F176+F205</f>
        <v>107099.33638595793</v>
      </c>
      <c r="G206" s="623">
        <f t="shared" si="1089"/>
        <v>84750</v>
      </c>
      <c r="H206" s="622">
        <f>H176+H205</f>
        <v>84675.17</v>
      </c>
      <c r="I206" s="624">
        <f>I176+I205</f>
        <v>158917.18362200542</v>
      </c>
      <c r="J206" s="622">
        <f>J176+J205</f>
        <v>282280</v>
      </c>
      <c r="K206" s="1060">
        <f>K176+K205</f>
        <v>211956.00000000006</v>
      </c>
      <c r="L206" s="1078">
        <f>L176+L205</f>
        <v>1867346.1025947307</v>
      </c>
      <c r="M206" s="381">
        <f t="shared" si="1089"/>
        <v>1461228</v>
      </c>
      <c r="N206" s="382">
        <f>N176+N205</f>
        <v>1500132.09</v>
      </c>
      <c r="O206" s="382">
        <f t="shared" si="1089"/>
        <v>895366.37334925996</v>
      </c>
      <c r="P206" s="382">
        <f t="shared" si="1089"/>
        <v>1599588</v>
      </c>
      <c r="Q206" s="382">
        <f>Q176+Q205</f>
        <v>1201084.3199999998</v>
      </c>
      <c r="R206" s="382">
        <f t="shared" si="1089"/>
        <v>5688.4995686508719</v>
      </c>
      <c r="S206" s="382">
        <f t="shared" si="1089"/>
        <v>101272</v>
      </c>
      <c r="T206" s="382">
        <f>T176+T205</f>
        <v>18610.5</v>
      </c>
      <c r="U206" s="1079">
        <f>U176+U205</f>
        <v>30994.080000000002</v>
      </c>
      <c r="V206" s="1022">
        <f>V176+V205</f>
        <v>161942.68100072996</v>
      </c>
      <c r="W206" s="732">
        <f t="shared" si="1089"/>
        <v>115178</v>
      </c>
      <c r="X206" s="733">
        <f>X176+X205</f>
        <v>115177.31999999999</v>
      </c>
      <c r="Y206" s="733">
        <f t="shared" ref="Y206" si="1090">Y176+Y205</f>
        <v>114977.64018846638</v>
      </c>
      <c r="Z206" s="733">
        <f t="shared" si="1089"/>
        <v>165535</v>
      </c>
      <c r="AA206" s="733">
        <f t="shared" si="1089"/>
        <v>160423.87999999998</v>
      </c>
      <c r="AB206" s="733">
        <f t="shared" si="1089"/>
        <v>3200</v>
      </c>
      <c r="AC206" s="733">
        <f t="shared" si="1089"/>
        <v>1157.26</v>
      </c>
      <c r="AD206" s="733">
        <f t="shared" si="1089"/>
        <v>0</v>
      </c>
      <c r="AE206" s="733">
        <f t="shared" si="1089"/>
        <v>0</v>
      </c>
      <c r="AF206" s="733"/>
      <c r="AG206" s="733">
        <f t="shared" ref="AG206:AX206" si="1091">AG176+AG205</f>
        <v>0</v>
      </c>
      <c r="AH206" s="733">
        <f t="shared" ref="AH206" si="1092">AH176+AH205</f>
        <v>232.26491472559559</v>
      </c>
      <c r="AI206" s="733">
        <f t="shared" si="1091"/>
        <v>500</v>
      </c>
      <c r="AJ206" s="733">
        <f t="shared" si="1091"/>
        <v>349.4</v>
      </c>
      <c r="AK206" s="733">
        <f t="shared" ref="AK206" si="1093">AK176+AK205</f>
        <v>357.02435463534408</v>
      </c>
      <c r="AL206" s="733">
        <f t="shared" si="1091"/>
        <v>1460</v>
      </c>
      <c r="AM206" s="1023">
        <f t="shared" si="1091"/>
        <v>1331.1299999999999</v>
      </c>
      <c r="AN206" s="984">
        <f t="shared" si="1091"/>
        <v>18878.752405600902</v>
      </c>
      <c r="AO206" s="783">
        <f t="shared" si="1091"/>
        <v>30527</v>
      </c>
      <c r="AP206" s="784">
        <f t="shared" si="1091"/>
        <v>20517.34</v>
      </c>
      <c r="AQ206" s="784">
        <f t="shared" si="1091"/>
        <v>0</v>
      </c>
      <c r="AR206" s="856">
        <f t="shared" si="1091"/>
        <v>1725</v>
      </c>
      <c r="AS206" s="985">
        <f t="shared" si="1091"/>
        <v>227.7</v>
      </c>
      <c r="AT206" s="937">
        <f t="shared" si="1091"/>
        <v>1072.9139292587431</v>
      </c>
      <c r="AU206" s="860">
        <f t="shared" si="1091"/>
        <v>0</v>
      </c>
      <c r="AV206" s="860">
        <f>AV176+AV205</f>
        <v>0</v>
      </c>
      <c r="AW206" s="861">
        <f>AW176+AW205</f>
        <v>0</v>
      </c>
      <c r="AX206" s="938">
        <f t="shared" si="1091"/>
        <v>0</v>
      </c>
      <c r="AY206" s="907">
        <f>AY176+AY205</f>
        <v>0</v>
      </c>
      <c r="AZ206" s="586">
        <f t="shared" ref="AZ206" si="1094">AZ176+AZ205</f>
        <v>0</v>
      </c>
      <c r="BA206" s="147">
        <f>BA205+BA176</f>
        <v>4225007.2241024617</v>
      </c>
      <c r="BB206" s="155">
        <f>AR206+AO206+AL206+AI206+AF206+AB206+AD206+Z206+W206+S206+P206+M206+J206+G206+D206+AU206</f>
        <v>4980801</v>
      </c>
      <c r="BC206" s="1265">
        <f>BC205+BC176</f>
        <v>4387882.21</v>
      </c>
      <c r="BD206" s="188"/>
      <c r="BE206" s="131"/>
      <c r="BF206" s="1650"/>
    </row>
    <row r="207" spans="1:148" s="23" customFormat="1" ht="15.75" thickBot="1" x14ac:dyDescent="0.3">
      <c r="A207" s="1127"/>
      <c r="B207" s="110"/>
      <c r="C207" s="34"/>
      <c r="D207" s="34"/>
      <c r="E207" s="131"/>
      <c r="F207" s="34"/>
      <c r="G207" s="34"/>
      <c r="H207" s="131"/>
      <c r="I207" s="34"/>
      <c r="J207" s="34"/>
      <c r="K207" s="131"/>
      <c r="L207" s="34"/>
      <c r="M207" s="34"/>
      <c r="N207" s="131"/>
      <c r="O207" s="34"/>
      <c r="P207" s="34"/>
      <c r="Q207" s="131"/>
      <c r="R207" s="34"/>
      <c r="S207" s="34"/>
      <c r="T207" s="131"/>
      <c r="U207" s="131"/>
      <c r="V207" s="34"/>
      <c r="W207" s="34"/>
      <c r="X207" s="131"/>
      <c r="Y207" s="34"/>
      <c r="Z207" s="34"/>
      <c r="AA207" s="131"/>
      <c r="AB207" s="34"/>
      <c r="AC207" s="131"/>
      <c r="AD207" s="34"/>
      <c r="AE207" s="131"/>
      <c r="AF207" s="34"/>
      <c r="AG207" s="131"/>
      <c r="AH207" s="34"/>
      <c r="AI207" s="34"/>
      <c r="AJ207" s="131"/>
      <c r="AK207" s="34"/>
      <c r="AL207" s="34"/>
      <c r="AM207" s="131"/>
      <c r="AN207" s="34"/>
      <c r="AO207" s="34"/>
      <c r="AP207" s="131"/>
      <c r="AQ207" s="34"/>
      <c r="AR207" s="1128"/>
      <c r="AS207" s="132"/>
      <c r="AT207" s="34"/>
      <c r="AU207" s="34"/>
      <c r="AV207" s="131"/>
      <c r="AW207" s="131"/>
      <c r="AX207" s="132"/>
      <c r="AY207" s="34"/>
      <c r="AZ207" s="132"/>
      <c r="BA207" s="34"/>
      <c r="BB207" s="34"/>
      <c r="BC207" s="131"/>
      <c r="BD207" s="1127"/>
      <c r="BE207" s="34"/>
      <c r="BF207" s="610"/>
      <c r="BG207" s="610"/>
      <c r="BH207" s="610"/>
      <c r="BI207" s="610"/>
    </row>
    <row r="208" spans="1:148" ht="15.75" thickBot="1" x14ac:dyDescent="0.3">
      <c r="A208" s="363"/>
      <c r="B208" s="364" t="str">
        <f t="shared" ref="B208:AX208" si="1095">B35</f>
        <v>P R I H O D I   UKUPNO</v>
      </c>
      <c r="C208" s="336">
        <f t="shared" ref="C208" si="1096">C35</f>
        <v>890737.37076116516</v>
      </c>
      <c r="D208" s="336">
        <f t="shared" si="1095"/>
        <v>1133558</v>
      </c>
      <c r="E208" s="330">
        <f>E35</f>
        <v>1054392.9300000002</v>
      </c>
      <c r="F208" s="337">
        <f t="shared" ref="F208" si="1097">F35</f>
        <v>108278.99927002455</v>
      </c>
      <c r="G208" s="337">
        <f t="shared" si="1095"/>
        <v>8875</v>
      </c>
      <c r="H208" s="330">
        <f t="shared" si="1095"/>
        <v>174.68</v>
      </c>
      <c r="I208" s="330">
        <f t="shared" ref="I208" si="1098">I35</f>
        <v>173507.19357621606</v>
      </c>
      <c r="J208" s="330">
        <f t="shared" si="1095"/>
        <v>282280</v>
      </c>
      <c r="K208" s="339">
        <f t="shared" si="1095"/>
        <v>169579.08000000002</v>
      </c>
      <c r="L208" s="907">
        <f>L35</f>
        <v>1450866.6467582453</v>
      </c>
      <c r="M208" s="338">
        <f>M35</f>
        <v>171000</v>
      </c>
      <c r="N208" s="330">
        <f t="shared" si="1095"/>
        <v>944161.26</v>
      </c>
      <c r="O208" s="330">
        <f t="shared" ref="O208" si="1099">O35</f>
        <v>983207.4165505342</v>
      </c>
      <c r="P208" s="330">
        <f t="shared" si="1095"/>
        <v>1599588</v>
      </c>
      <c r="Q208" s="330">
        <f t="shared" si="1095"/>
        <v>960947.98</v>
      </c>
      <c r="R208" s="330">
        <f t="shared" ref="R208" si="1100">R35</f>
        <v>21184.264383834361</v>
      </c>
      <c r="S208" s="330">
        <f t="shared" si="1095"/>
        <v>101272</v>
      </c>
      <c r="T208" s="330">
        <f t="shared" si="1095"/>
        <v>0</v>
      </c>
      <c r="U208" s="1057">
        <f t="shared" si="1095"/>
        <v>79520.800000000003</v>
      </c>
      <c r="V208" s="907">
        <f t="shared" ref="V208" si="1101">V35</f>
        <v>169061.62319994689</v>
      </c>
      <c r="W208" s="338">
        <f t="shared" si="1095"/>
        <v>115178</v>
      </c>
      <c r="X208" s="330">
        <f t="shared" si="1095"/>
        <v>115177.99999999999</v>
      </c>
      <c r="Y208" s="330">
        <f t="shared" ref="Y208" si="1102">Y35</f>
        <v>99542.106310969539</v>
      </c>
      <c r="Z208" s="330">
        <f t="shared" si="1095"/>
        <v>165535</v>
      </c>
      <c r="AA208" s="330">
        <f t="shared" si="1095"/>
        <v>180801.96999999997</v>
      </c>
      <c r="AB208" s="330">
        <f t="shared" si="1095"/>
        <v>3200</v>
      </c>
      <c r="AC208" s="330">
        <f t="shared" si="1095"/>
        <v>1157.26</v>
      </c>
      <c r="AD208" s="330">
        <f t="shared" si="1095"/>
        <v>0</v>
      </c>
      <c r="AE208" s="330">
        <f t="shared" si="1095"/>
        <v>0</v>
      </c>
      <c r="AF208" s="330">
        <f t="shared" si="1095"/>
        <v>0</v>
      </c>
      <c r="AG208" s="330">
        <f t="shared" si="1095"/>
        <v>0</v>
      </c>
      <c r="AH208" s="330">
        <f t="shared" ref="AH208" si="1103">AH35</f>
        <v>232.26491472559559</v>
      </c>
      <c r="AI208" s="330">
        <f t="shared" si="1095"/>
        <v>500</v>
      </c>
      <c r="AJ208" s="330">
        <f t="shared" si="1095"/>
        <v>349.4</v>
      </c>
      <c r="AK208" s="330">
        <f t="shared" ref="AK208" si="1104">AK35</f>
        <v>357.02435463534408</v>
      </c>
      <c r="AL208" s="330">
        <f t="shared" si="1095"/>
        <v>1460</v>
      </c>
      <c r="AM208" s="1057">
        <f t="shared" si="1095"/>
        <v>1331.1299999999999</v>
      </c>
      <c r="AN208" s="907">
        <f t="shared" ref="AN208" si="1105">AN35</f>
        <v>21824.125024885525</v>
      </c>
      <c r="AO208" s="338">
        <f t="shared" si="1095"/>
        <v>30527</v>
      </c>
      <c r="AP208" s="330">
        <f t="shared" si="1095"/>
        <v>19523.099999999999</v>
      </c>
      <c r="AQ208" s="339">
        <f t="shared" ref="AQ208" si="1106">AQ35</f>
        <v>238.90105514632688</v>
      </c>
      <c r="AR208" s="339">
        <f t="shared" si="1095"/>
        <v>1725</v>
      </c>
      <c r="AS208" s="977">
        <f t="shared" si="1095"/>
        <v>250</v>
      </c>
      <c r="AT208" s="907">
        <f t="shared" ref="AT208" si="1107">AT35</f>
        <v>1072.9139292587429</v>
      </c>
      <c r="AU208" s="338">
        <f t="shared" si="1095"/>
        <v>0</v>
      </c>
      <c r="AV208" s="338">
        <f t="shared" si="1095"/>
        <v>0</v>
      </c>
      <c r="AW208" s="330">
        <f t="shared" si="1095"/>
        <v>0</v>
      </c>
      <c r="AX208" s="977">
        <f t="shared" si="1095"/>
        <v>0</v>
      </c>
      <c r="AY208" s="907">
        <f t="shared" ref="AY208:AZ208" si="1108">AY35</f>
        <v>0</v>
      </c>
      <c r="AZ208" s="586">
        <f t="shared" si="1108"/>
        <v>0</v>
      </c>
      <c r="BA208" s="147">
        <f>BA35</f>
        <v>3920110.8500895877</v>
      </c>
      <c r="BB208" s="135">
        <f>BB35</f>
        <v>5074649</v>
      </c>
      <c r="BC208" s="147">
        <f>BC35</f>
        <v>5162360.45</v>
      </c>
      <c r="BD208" s="365"/>
      <c r="BE208" s="131"/>
    </row>
    <row r="209" spans="1:148" s="2" customFormat="1" ht="15.75" thickBot="1" x14ac:dyDescent="0.3">
      <c r="A209" s="255"/>
      <c r="B209" s="199" t="str">
        <f>B206</f>
        <v>R A S H O D I    UKUPNO</v>
      </c>
      <c r="C209" s="360">
        <f t="shared" ref="C209:D209" si="1109">C206</f>
        <v>893128.45178843976</v>
      </c>
      <c r="D209" s="360">
        <f t="shared" si="1109"/>
        <v>1133558</v>
      </c>
      <c r="E209" s="200">
        <f>E206</f>
        <v>1041246.0200000003</v>
      </c>
      <c r="F209" s="361">
        <f>F206</f>
        <v>107099.33638595793</v>
      </c>
      <c r="G209" s="361">
        <f>G206</f>
        <v>84750</v>
      </c>
      <c r="H209" s="200">
        <f t="shared" ref="H209" si="1110">H206</f>
        <v>84675.17</v>
      </c>
      <c r="I209" s="200">
        <f>I206</f>
        <v>158917.18362200542</v>
      </c>
      <c r="J209" s="200">
        <f>J206</f>
        <v>282280</v>
      </c>
      <c r="K209" s="366">
        <f>K206</f>
        <v>211956.00000000006</v>
      </c>
      <c r="L209" s="930">
        <f>L206</f>
        <v>1867346.1025947307</v>
      </c>
      <c r="M209" s="201">
        <f>M206</f>
        <v>1461228</v>
      </c>
      <c r="N209" s="200">
        <f t="shared" ref="N209:R209" si="1111">N206</f>
        <v>1500132.09</v>
      </c>
      <c r="O209" s="200">
        <f t="shared" ref="O209" si="1112">O206</f>
        <v>895366.37334925996</v>
      </c>
      <c r="P209" s="200">
        <f t="shared" si="1111"/>
        <v>1599588</v>
      </c>
      <c r="Q209" s="200">
        <f t="shared" si="1111"/>
        <v>1201084.3199999998</v>
      </c>
      <c r="R209" s="200">
        <f t="shared" si="1111"/>
        <v>5688.4995686508719</v>
      </c>
      <c r="S209" s="200">
        <f t="shared" ref="S209:V209" si="1113">S206</f>
        <v>101272</v>
      </c>
      <c r="T209" s="200">
        <f>T206</f>
        <v>18610.5</v>
      </c>
      <c r="U209" s="1058">
        <f t="shared" si="1113"/>
        <v>30994.080000000002</v>
      </c>
      <c r="V209" s="930">
        <f t="shared" si="1113"/>
        <v>161942.68100072996</v>
      </c>
      <c r="W209" s="201">
        <f t="shared" ref="W209:AC209" si="1114">W206</f>
        <v>115178</v>
      </c>
      <c r="X209" s="200">
        <f>X206</f>
        <v>115177.31999999999</v>
      </c>
      <c r="Y209" s="200">
        <f t="shared" ref="Y209" si="1115">Y206</f>
        <v>114977.64018846638</v>
      </c>
      <c r="Z209" s="200">
        <f t="shared" si="1114"/>
        <v>165535</v>
      </c>
      <c r="AA209" s="200">
        <f t="shared" si="1114"/>
        <v>160423.87999999998</v>
      </c>
      <c r="AB209" s="200">
        <f t="shared" si="1114"/>
        <v>3200</v>
      </c>
      <c r="AC209" s="200">
        <f t="shared" si="1114"/>
        <v>1157.26</v>
      </c>
      <c r="AD209" s="200">
        <f t="shared" ref="AD209:AL209" si="1116">AD206</f>
        <v>0</v>
      </c>
      <c r="AE209" s="200">
        <f t="shared" ref="AE209:AF209" si="1117">AE206</f>
        <v>0</v>
      </c>
      <c r="AF209" s="200">
        <f t="shared" si="1117"/>
        <v>0</v>
      </c>
      <c r="AG209" s="200">
        <f t="shared" ref="AG209:AK209" si="1118">AG206</f>
        <v>0</v>
      </c>
      <c r="AH209" s="200">
        <f t="shared" ref="AH209" si="1119">AH206</f>
        <v>232.26491472559559</v>
      </c>
      <c r="AI209" s="200">
        <f t="shared" si="1118"/>
        <v>500</v>
      </c>
      <c r="AJ209" s="200">
        <f t="shared" si="1118"/>
        <v>349.4</v>
      </c>
      <c r="AK209" s="200">
        <f t="shared" si="1118"/>
        <v>357.02435463534408</v>
      </c>
      <c r="AL209" s="200">
        <f t="shared" si="1116"/>
        <v>1460</v>
      </c>
      <c r="AM209" s="1058">
        <f t="shared" ref="AM209:AO209" si="1120">AM206</f>
        <v>1331.1299999999999</v>
      </c>
      <c r="AN209" s="930">
        <f t="shared" ref="AN209" si="1121">AN206</f>
        <v>18878.752405600902</v>
      </c>
      <c r="AO209" s="201">
        <f t="shared" si="1120"/>
        <v>30527</v>
      </c>
      <c r="AP209" s="200">
        <f t="shared" ref="AP209" si="1122">AP206</f>
        <v>20517.34</v>
      </c>
      <c r="AQ209" s="366">
        <f>AQ206</f>
        <v>0</v>
      </c>
      <c r="AR209" s="366">
        <f>AR206</f>
        <v>1725</v>
      </c>
      <c r="AS209" s="978">
        <f t="shared" ref="AS209:AV209" si="1123">AS206</f>
        <v>227.7</v>
      </c>
      <c r="AT209" s="930">
        <f t="shared" ref="AT209:AU209" si="1124">AT206</f>
        <v>1072.9139292587431</v>
      </c>
      <c r="AU209" s="201">
        <f t="shared" si="1124"/>
        <v>0</v>
      </c>
      <c r="AV209" s="201">
        <f t="shared" si="1123"/>
        <v>0</v>
      </c>
      <c r="AW209" s="200">
        <f>AW206</f>
        <v>0</v>
      </c>
      <c r="AX209" s="978">
        <f>AX206</f>
        <v>0</v>
      </c>
      <c r="AY209" s="930">
        <f>AY206</f>
        <v>0</v>
      </c>
      <c r="AZ209" s="608">
        <f>AZ206</f>
        <v>0</v>
      </c>
      <c r="BA209" s="154">
        <f>BA206</f>
        <v>4225007.2241024617</v>
      </c>
      <c r="BB209" s="153">
        <f>BB40+BB46+BB50+BB66+BB87+BB130+BB133+BB150+BB165+BB167+BB169+BB172+BB175+BB197+BB199+BB204+BB202+BB163+BB179+BB152</f>
        <v>4980801</v>
      </c>
      <c r="BC209" s="154">
        <f>BC206</f>
        <v>4387882.21</v>
      </c>
      <c r="BD209" s="367"/>
      <c r="BE209" s="131"/>
      <c r="BF209" s="610"/>
      <c r="BG209" s="610"/>
      <c r="BH209" s="610"/>
      <c r="BI209" s="1655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</row>
    <row r="210" spans="1:148" s="2" customFormat="1" ht="15.75" thickBot="1" x14ac:dyDescent="0.3">
      <c r="A210" s="1141"/>
      <c r="B210" s="1142" t="s">
        <v>121</v>
      </c>
      <c r="C210" s="902">
        <f t="shared" ref="C210:D210" si="1125">C208-C209</f>
        <v>-2391.0810272746021</v>
      </c>
      <c r="D210" s="902">
        <f t="shared" si="1125"/>
        <v>0</v>
      </c>
      <c r="E210" s="900">
        <f>E208-E209</f>
        <v>13146.909999999916</v>
      </c>
      <c r="F210" s="1143">
        <f>F208-F209</f>
        <v>1179.6628840666235</v>
      </c>
      <c r="G210" s="1143">
        <f>G208-G209</f>
        <v>-75875</v>
      </c>
      <c r="H210" s="900">
        <f t="shared" ref="H210:K210" si="1126">H208-H209</f>
        <v>-84500.49</v>
      </c>
      <c r="I210" s="900">
        <f t="shared" ref="I210" si="1127">I208-I209</f>
        <v>14590.009954210633</v>
      </c>
      <c r="J210" s="900">
        <f t="shared" si="1126"/>
        <v>0</v>
      </c>
      <c r="K210" s="901">
        <f t="shared" si="1126"/>
        <v>-42376.920000000042</v>
      </c>
      <c r="L210" s="1144">
        <f t="shared" ref="L210:Q210" si="1128">L208-L209</f>
        <v>-416479.45583648537</v>
      </c>
      <c r="M210" s="1145">
        <f>M208-M209</f>
        <v>-1290228</v>
      </c>
      <c r="N210" s="900">
        <f t="shared" si="1128"/>
        <v>-555970.83000000007</v>
      </c>
      <c r="O210" s="900">
        <f t="shared" si="1128"/>
        <v>87841.043201274239</v>
      </c>
      <c r="P210" s="900">
        <f t="shared" si="1128"/>
        <v>0</v>
      </c>
      <c r="Q210" s="900">
        <f t="shared" si="1128"/>
        <v>-240136.33999999985</v>
      </c>
      <c r="R210" s="900">
        <f t="shared" ref="R210" si="1129">R208-R209</f>
        <v>15495.764815183489</v>
      </c>
      <c r="S210" s="900">
        <f t="shared" ref="S210:W210" si="1130">S208-S209</f>
        <v>0</v>
      </c>
      <c r="T210" s="900">
        <f t="shared" ref="T210" si="1131">T208-T209</f>
        <v>-18610.5</v>
      </c>
      <c r="U210" s="1146">
        <f t="shared" si="1130"/>
        <v>48526.720000000001</v>
      </c>
      <c r="V210" s="1147">
        <f t="shared" ref="V210" si="1132">V208-V209</f>
        <v>7118.9421992169227</v>
      </c>
      <c r="W210" s="899">
        <f t="shared" si="1130"/>
        <v>0</v>
      </c>
      <c r="X210" s="900">
        <f>X208-X209</f>
        <v>0.67999999999301508</v>
      </c>
      <c r="Y210" s="900">
        <f t="shared" ref="Y210" si="1133">Y208-Y209</f>
        <v>-15435.53387749684</v>
      </c>
      <c r="Z210" s="900">
        <f t="shared" ref="Z210:AA210" si="1134">Z208-Z209</f>
        <v>0</v>
      </c>
      <c r="AA210" s="900">
        <f t="shared" si="1134"/>
        <v>20378.089999999997</v>
      </c>
      <c r="AB210" s="900">
        <f t="shared" ref="AB210:AC210" si="1135">AB208-AB209</f>
        <v>0</v>
      </c>
      <c r="AC210" s="900">
        <f t="shared" si="1135"/>
        <v>0</v>
      </c>
      <c r="AD210" s="900">
        <f t="shared" ref="AD210:AL210" si="1136">AD208-AD209</f>
        <v>0</v>
      </c>
      <c r="AE210" s="900">
        <f t="shared" ref="AE210:AF210" si="1137">AE208-AE209</f>
        <v>0</v>
      </c>
      <c r="AF210" s="900">
        <f t="shared" si="1137"/>
        <v>0</v>
      </c>
      <c r="AG210" s="900">
        <f t="shared" ref="AG210:AK210" si="1138">AG208-AG209</f>
        <v>0</v>
      </c>
      <c r="AH210" s="900">
        <f t="shared" ref="AH210" si="1139">AH208-AH209</f>
        <v>0</v>
      </c>
      <c r="AI210" s="900">
        <f t="shared" si="1138"/>
        <v>0</v>
      </c>
      <c r="AJ210" s="900">
        <f t="shared" si="1138"/>
        <v>0</v>
      </c>
      <c r="AK210" s="900">
        <f t="shared" si="1138"/>
        <v>0</v>
      </c>
      <c r="AL210" s="900">
        <f t="shared" si="1136"/>
        <v>0</v>
      </c>
      <c r="AM210" s="1146">
        <f t="shared" ref="AM210:AO210" si="1140">AM208-AM209</f>
        <v>0</v>
      </c>
      <c r="AN210" s="1147">
        <f t="shared" ref="AN210" si="1141">AN208-AN209</f>
        <v>2945.3726192846225</v>
      </c>
      <c r="AO210" s="899">
        <f t="shared" si="1140"/>
        <v>0</v>
      </c>
      <c r="AP210" s="900">
        <f>AP208-AP209</f>
        <v>-994.2400000000016</v>
      </c>
      <c r="AQ210" s="901">
        <f t="shared" ref="AQ210:AR210" si="1142">AQ208-AQ209</f>
        <v>238.90105514632688</v>
      </c>
      <c r="AR210" s="901">
        <f t="shared" si="1142"/>
        <v>0</v>
      </c>
      <c r="AS210" s="1148">
        <f t="shared" ref="AS210" si="1143">AS208-AS209</f>
        <v>22.300000000000011</v>
      </c>
      <c r="AT210" s="1147">
        <f t="shared" ref="AT210:AU210" si="1144">AT208-AT209</f>
        <v>0</v>
      </c>
      <c r="AU210" s="899">
        <f t="shared" si="1144"/>
        <v>0</v>
      </c>
      <c r="AV210" s="899">
        <f>AV208-AV209</f>
        <v>0</v>
      </c>
      <c r="AW210" s="900">
        <f>AW208-AW209</f>
        <v>0</v>
      </c>
      <c r="AX210" s="1148">
        <f t="shared" ref="AX210:AZ210" si="1145">AX208-AX209</f>
        <v>0</v>
      </c>
      <c r="AY210" s="1147">
        <f>AY208-AY209</f>
        <v>0</v>
      </c>
      <c r="AZ210" s="1149">
        <f t="shared" si="1145"/>
        <v>0</v>
      </c>
      <c r="BA210" s="1150">
        <f>BA208-BA209</f>
        <v>-304896.37401287397</v>
      </c>
      <c r="BB210" s="1151">
        <f>BB208-BB209</f>
        <v>93848</v>
      </c>
      <c r="BC210" s="1150">
        <f>BC208-BC209</f>
        <v>774478.24000000022</v>
      </c>
      <c r="BD210" s="1152"/>
      <c r="BE210" s="131"/>
      <c r="BF210" s="610"/>
      <c r="BG210" s="610"/>
      <c r="BH210" s="610"/>
      <c r="BI210" s="1655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</row>
    <row r="211" spans="1:148" x14ac:dyDescent="0.25">
      <c r="A211" s="78"/>
      <c r="B211" s="79"/>
      <c r="C211" s="1133"/>
      <c r="D211" s="1133"/>
      <c r="E211" s="587"/>
      <c r="F211" s="1134"/>
      <c r="G211" s="1134"/>
      <c r="H211" s="1135"/>
      <c r="I211" s="1135"/>
      <c r="J211" s="1135"/>
      <c r="K211" s="596"/>
      <c r="L211" s="908"/>
      <c r="M211" s="588"/>
      <c r="N211" s="587"/>
      <c r="O211" s="590"/>
      <c r="P211" s="590"/>
      <c r="Q211" s="587"/>
      <c r="R211" s="1135"/>
      <c r="S211" s="1135"/>
      <c r="T211" s="1135"/>
      <c r="U211" s="1136"/>
      <c r="V211" s="1137"/>
      <c r="W211" s="1138"/>
      <c r="X211" s="1135"/>
      <c r="Y211" s="1135"/>
      <c r="Z211" s="1135"/>
      <c r="AA211" s="1135"/>
      <c r="AB211" s="1135"/>
      <c r="AC211" s="1135"/>
      <c r="AD211" s="1135"/>
      <c r="AE211" s="1135"/>
      <c r="AF211" s="1135"/>
      <c r="AG211" s="1135"/>
      <c r="AH211" s="1135"/>
      <c r="AI211" s="1135"/>
      <c r="AJ211" s="1135"/>
      <c r="AK211" s="1135"/>
      <c r="AL211" s="1135"/>
      <c r="AM211" s="1136"/>
      <c r="AN211" s="1137"/>
      <c r="AO211" s="1138"/>
      <c r="AP211" s="1135"/>
      <c r="AQ211" s="596"/>
      <c r="AR211" s="596"/>
      <c r="AS211" s="979"/>
      <c r="AT211" s="1137"/>
      <c r="AU211" s="1138"/>
      <c r="AV211" s="1138"/>
      <c r="AW211" s="1135"/>
      <c r="AX211" s="1139"/>
      <c r="AY211" s="1137"/>
      <c r="AZ211" s="595"/>
      <c r="BA211" s="182"/>
      <c r="BB211" s="1140"/>
      <c r="BC211" s="609"/>
      <c r="BD211" s="189"/>
      <c r="BE211" s="131"/>
      <c r="BF211" s="1650"/>
    </row>
    <row r="212" spans="1:148" s="213" customFormat="1" x14ac:dyDescent="0.25">
      <c r="A212" s="285">
        <v>92211</v>
      </c>
      <c r="B212" s="281" t="s">
        <v>139</v>
      </c>
      <c r="C212" s="368"/>
      <c r="D212" s="368"/>
      <c r="E212" s="1170">
        <v>-2391.04</v>
      </c>
      <c r="F212" s="369"/>
      <c r="G212" s="369"/>
      <c r="H212" s="1170">
        <v>1179.6600000000001</v>
      </c>
      <c r="I212" s="332"/>
      <c r="J212" s="332"/>
      <c r="K212" s="1184">
        <v>14590.01</v>
      </c>
      <c r="L212" s="931"/>
      <c r="M212" s="370"/>
      <c r="N212" s="1170">
        <v>-416479.46</v>
      </c>
      <c r="O212" s="371"/>
      <c r="P212" s="371"/>
      <c r="Q212" s="1195">
        <v>87874.04</v>
      </c>
      <c r="R212" s="332"/>
      <c r="S212" s="332"/>
      <c r="T212" s="1170">
        <v>17292.2</v>
      </c>
      <c r="U212" s="1203"/>
      <c r="V212" s="931"/>
      <c r="W212" s="370"/>
      <c r="X212" s="1170"/>
      <c r="Y212" s="332"/>
      <c r="Z212" s="332"/>
      <c r="AA212" s="1170">
        <v>-15435.53</v>
      </c>
      <c r="AB212" s="332"/>
      <c r="AC212" s="1170"/>
      <c r="AD212" s="332"/>
      <c r="AE212" s="1170"/>
      <c r="AF212" s="332"/>
      <c r="AG212" s="1170"/>
      <c r="AH212" s="332"/>
      <c r="AI212" s="332"/>
      <c r="AJ212" s="1170"/>
      <c r="AK212" s="332"/>
      <c r="AL212" s="332"/>
      <c r="AM212" s="1203"/>
      <c r="AN212" s="931"/>
      <c r="AO212" s="370"/>
      <c r="AP212" s="1170">
        <v>2945.37</v>
      </c>
      <c r="AQ212" s="372"/>
      <c r="AR212" s="372"/>
      <c r="AS212" s="1232"/>
      <c r="AT212" s="931"/>
      <c r="AU212" s="370"/>
      <c r="AV212" s="1252"/>
      <c r="AW212" s="1170"/>
      <c r="AX212" s="1232"/>
      <c r="AY212" s="931"/>
      <c r="AZ212" s="1259"/>
      <c r="BA212" s="283"/>
      <c r="BB212" s="282"/>
      <c r="BC212" s="1261"/>
      <c r="BD212" s="284"/>
      <c r="BE212" s="280"/>
      <c r="BF212" s="1650"/>
      <c r="BG212" s="610"/>
      <c r="BH212" s="610"/>
      <c r="BI212" s="214"/>
      <c r="BJ212" s="214"/>
      <c r="BK212" s="214"/>
      <c r="BL212" s="214"/>
      <c r="BM212" s="214"/>
      <c r="BN212" s="214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  <c r="ED212" s="214"/>
      <c r="EE212" s="214"/>
      <c r="EF212" s="214"/>
      <c r="EG212" s="214"/>
      <c r="EH212" s="214"/>
      <c r="EI212" s="214"/>
      <c r="EJ212" s="214"/>
      <c r="EK212" s="214"/>
      <c r="EL212" s="214"/>
      <c r="EM212" s="214"/>
      <c r="EN212" s="214"/>
      <c r="EO212" s="214"/>
      <c r="EP212" s="214"/>
      <c r="EQ212" s="214"/>
      <c r="ER212" s="214"/>
    </row>
    <row r="213" spans="1:148" ht="15.75" thickBot="1" x14ac:dyDescent="0.3">
      <c r="A213" s="373"/>
      <c r="B213" s="48" t="s">
        <v>140</v>
      </c>
      <c r="C213" s="374">
        <f t="shared" ref="C213" si="1146">C210+C212</f>
        <v>-2391.0810272746021</v>
      </c>
      <c r="D213" s="374">
        <f t="shared" ref="D213:O213" si="1147">D210+D212</f>
        <v>0</v>
      </c>
      <c r="E213" s="1171">
        <f>E210+E212</f>
        <v>10755.869999999915</v>
      </c>
      <c r="F213" s="333"/>
      <c r="G213" s="333"/>
      <c r="H213" s="1176">
        <f t="shared" si="1147"/>
        <v>-83320.83</v>
      </c>
      <c r="I213" s="333">
        <f>I210+I212</f>
        <v>14590.009954210633</v>
      </c>
      <c r="J213" s="333">
        <f>J210+J212</f>
        <v>0</v>
      </c>
      <c r="K213" s="1185">
        <f t="shared" si="1147"/>
        <v>-27786.91000000004</v>
      </c>
      <c r="L213" s="932"/>
      <c r="M213" s="374"/>
      <c r="N213" s="1193">
        <f t="shared" si="1147"/>
        <v>-972450.29</v>
      </c>
      <c r="O213" s="333">
        <f t="shared" si="1147"/>
        <v>87841.043201274239</v>
      </c>
      <c r="P213" s="333">
        <f t="shared" ref="P213:Q213" si="1148">P210+P212</f>
        <v>0</v>
      </c>
      <c r="Q213" s="1176">
        <f t="shared" si="1148"/>
        <v>-152262.29999999987</v>
      </c>
      <c r="R213" s="333">
        <f>R210+R212</f>
        <v>15495.764815183489</v>
      </c>
      <c r="S213" s="333">
        <f>S210+S212</f>
        <v>0</v>
      </c>
      <c r="T213" s="1176">
        <f>T210+T212</f>
        <v>-1318.2999999999993</v>
      </c>
      <c r="U213" s="1204">
        <f>U210+U212</f>
        <v>48526.720000000001</v>
      </c>
      <c r="V213" s="932">
        <f t="shared" ref="V213:W213" si="1149">V210+V212</f>
        <v>7118.9421992169227</v>
      </c>
      <c r="W213" s="374">
        <f t="shared" si="1149"/>
        <v>0</v>
      </c>
      <c r="X213" s="1176">
        <f t="shared" ref="X213" si="1150">X210+X212</f>
        <v>0.67999999999301508</v>
      </c>
      <c r="Y213" s="333"/>
      <c r="Z213" s="333"/>
      <c r="AA213" s="1176">
        <f t="shared" ref="AA213" si="1151">AA210+AA212</f>
        <v>4942.5599999999959</v>
      </c>
      <c r="AB213" s="333">
        <f t="shared" ref="AB213:AC213" si="1152">AB210+AB212</f>
        <v>0</v>
      </c>
      <c r="AC213" s="1176">
        <f t="shared" si="1152"/>
        <v>0</v>
      </c>
      <c r="AD213" s="333">
        <f t="shared" ref="AD213:AL213" si="1153">AD210+AD212</f>
        <v>0</v>
      </c>
      <c r="AE213" s="1176">
        <f t="shared" ref="AE213:AF213" si="1154">AE210+AE212</f>
        <v>0</v>
      </c>
      <c r="AF213" s="333">
        <f t="shared" si="1154"/>
        <v>0</v>
      </c>
      <c r="AG213" s="1176">
        <f t="shared" ref="AG213:AK213" si="1155">AG210+AG212</f>
        <v>0</v>
      </c>
      <c r="AH213" s="333">
        <f t="shared" ref="AH213" si="1156">AH210+AH212</f>
        <v>0</v>
      </c>
      <c r="AI213" s="333">
        <f t="shared" si="1155"/>
        <v>0</v>
      </c>
      <c r="AJ213" s="1176">
        <f t="shared" si="1155"/>
        <v>0</v>
      </c>
      <c r="AK213" s="333">
        <f t="shared" si="1155"/>
        <v>0</v>
      </c>
      <c r="AL213" s="333">
        <f t="shared" si="1153"/>
        <v>0</v>
      </c>
      <c r="AM213" s="1204">
        <f t="shared" ref="AM213:AO213" si="1157">AM210+AM212</f>
        <v>0</v>
      </c>
      <c r="AN213" s="932">
        <f t="shared" ref="AN213" si="1158">AN210+AN212</f>
        <v>2945.3726192846225</v>
      </c>
      <c r="AO213" s="374">
        <f t="shared" si="1157"/>
        <v>0</v>
      </c>
      <c r="AP213" s="1176">
        <f t="shared" ref="AP213:AS213" si="1159">AP210+AP212</f>
        <v>1951.1299999999983</v>
      </c>
      <c r="AQ213" s="333">
        <f t="shared" ref="AQ213" si="1160">AQ210+AQ212</f>
        <v>238.90105514632688</v>
      </c>
      <c r="AR213" s="333">
        <f t="shared" si="1159"/>
        <v>0</v>
      </c>
      <c r="AS213" s="1233">
        <f t="shared" si="1159"/>
        <v>22.300000000000011</v>
      </c>
      <c r="AT213" s="932">
        <f t="shared" ref="AT213:AU213" si="1161">AT210+AT212</f>
        <v>0</v>
      </c>
      <c r="AU213" s="374">
        <f t="shared" si="1161"/>
        <v>0</v>
      </c>
      <c r="AV213" s="1171">
        <f t="shared" ref="AV213:AW213" si="1162">AV210+AV212</f>
        <v>0</v>
      </c>
      <c r="AW213" s="1176">
        <f t="shared" si="1162"/>
        <v>0</v>
      </c>
      <c r="AX213" s="1233"/>
      <c r="AY213" s="932">
        <f t="shared" ref="AY213" si="1163">AY210+AY212</f>
        <v>0</v>
      </c>
      <c r="AZ213" s="1260"/>
      <c r="BA213" s="138"/>
      <c r="BB213" s="146"/>
      <c r="BC213" s="1262"/>
      <c r="BD213" s="375"/>
      <c r="BE213" s="35"/>
    </row>
    <row r="214" spans="1:148" s="23" customFormat="1" ht="10.5" customHeight="1" thickBot="1" x14ac:dyDescent="0.3">
      <c r="A214" s="1130"/>
      <c r="B214" s="1131"/>
      <c r="C214" s="33"/>
      <c r="D214" s="33"/>
      <c r="E214" s="1172"/>
      <c r="F214" s="33"/>
      <c r="G214" s="33"/>
      <c r="H214" s="1173"/>
      <c r="I214" s="33"/>
      <c r="J214" s="33"/>
      <c r="K214" s="1173"/>
      <c r="L214" s="33"/>
      <c r="M214" s="33"/>
      <c r="N214" s="1173"/>
      <c r="O214" s="34"/>
      <c r="P214" s="34"/>
      <c r="Q214" s="131"/>
      <c r="R214" s="33"/>
      <c r="S214" s="33"/>
      <c r="T214" s="1173"/>
      <c r="U214" s="1173"/>
      <c r="V214" s="34"/>
      <c r="W214" s="34"/>
      <c r="X214" s="131"/>
      <c r="Y214" s="34"/>
      <c r="Z214" s="34"/>
      <c r="AA214" s="131"/>
      <c r="AB214" s="34"/>
      <c r="AC214" s="131"/>
      <c r="AD214" s="34"/>
      <c r="AE214" s="131"/>
      <c r="AF214" s="34"/>
      <c r="AG214" s="131"/>
      <c r="AH214" s="34"/>
      <c r="AI214" s="34"/>
      <c r="AJ214" s="131"/>
      <c r="AK214" s="34"/>
      <c r="AL214" s="34"/>
      <c r="AM214" s="131"/>
      <c r="AN214" s="34"/>
      <c r="AO214" s="34"/>
      <c r="AP214" s="131"/>
      <c r="AQ214" s="34"/>
      <c r="AR214" s="34"/>
      <c r="AS214" s="132"/>
      <c r="AT214" s="34"/>
      <c r="AU214" s="34"/>
      <c r="AV214" s="131"/>
      <c r="AW214" s="131"/>
      <c r="AX214" s="132"/>
      <c r="AY214" s="34"/>
      <c r="AZ214" s="132"/>
      <c r="BA214" s="34"/>
      <c r="BB214" s="34"/>
      <c r="BC214" s="131"/>
      <c r="BD214" s="1130"/>
      <c r="BE214" s="34"/>
      <c r="BF214" s="610"/>
      <c r="BG214" s="610"/>
      <c r="BH214" s="610"/>
      <c r="BI214" s="610"/>
    </row>
    <row r="215" spans="1:148" s="2" customFormat="1" ht="15.75" thickBot="1" x14ac:dyDescent="0.3">
      <c r="A215" s="204">
        <v>544</v>
      </c>
      <c r="B215" s="340"/>
      <c r="C215" s="341"/>
      <c r="D215" s="341"/>
      <c r="E215" s="331"/>
      <c r="F215" s="342"/>
      <c r="G215" s="342"/>
      <c r="H215" s="331"/>
      <c r="I215" s="331"/>
      <c r="J215" s="331"/>
      <c r="K215" s="591"/>
      <c r="L215" s="342"/>
      <c r="M215" s="343"/>
      <c r="N215" s="331"/>
      <c r="O215" s="331"/>
      <c r="P215" s="331"/>
      <c r="Q215" s="331"/>
      <c r="R215" s="331"/>
      <c r="S215" s="331"/>
      <c r="T215" s="331"/>
      <c r="U215" s="344"/>
      <c r="V215" s="913"/>
      <c r="W215" s="343"/>
      <c r="X215" s="331"/>
      <c r="Y215" s="331"/>
      <c r="Z215" s="331"/>
      <c r="AA215" s="331"/>
      <c r="AB215" s="331"/>
      <c r="AC215" s="331"/>
      <c r="AD215" s="331"/>
      <c r="AE215" s="331"/>
      <c r="AF215" s="331"/>
      <c r="AG215" s="331"/>
      <c r="AH215" s="331"/>
      <c r="AI215" s="331"/>
      <c r="AJ215" s="331"/>
      <c r="AK215" s="331"/>
      <c r="AL215" s="331"/>
      <c r="AM215" s="1059"/>
      <c r="AN215" s="913"/>
      <c r="AO215" s="343"/>
      <c r="AP215" s="331"/>
      <c r="AQ215" s="344"/>
      <c r="AR215" s="345"/>
      <c r="AS215" s="980"/>
      <c r="AT215" s="913"/>
      <c r="AU215" s="343"/>
      <c r="AV215" s="343"/>
      <c r="AW215" s="331"/>
      <c r="AX215" s="980"/>
      <c r="AY215" s="913"/>
      <c r="AZ215" s="593"/>
      <c r="BA215" s="147"/>
      <c r="BB215" s="135"/>
      <c r="BC215" s="164"/>
      <c r="BD215" s="346"/>
      <c r="BE215" s="131"/>
      <c r="BF215" s="610"/>
      <c r="BG215" s="610"/>
      <c r="BH215" s="610"/>
      <c r="BI215" s="1655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</row>
    <row r="216" spans="1:148" ht="16.5" thickTop="1" thickBot="1" x14ac:dyDescent="0.3">
      <c r="A216" s="198"/>
      <c r="B216" s="172" t="s">
        <v>250</v>
      </c>
      <c r="C216" s="360"/>
      <c r="D216" s="360"/>
      <c r="E216" s="200"/>
      <c r="F216" s="361"/>
      <c r="G216" s="361"/>
      <c r="H216" s="200"/>
      <c r="I216" s="200"/>
      <c r="J216" s="200"/>
      <c r="K216" s="607"/>
      <c r="L216" s="361"/>
      <c r="M216" s="201">
        <v>93848</v>
      </c>
      <c r="N216" s="200"/>
      <c r="O216" s="200"/>
      <c r="P216" s="200"/>
      <c r="Q216" s="200"/>
      <c r="R216" s="200"/>
      <c r="S216" s="200"/>
      <c r="T216" s="200"/>
      <c r="U216" s="366"/>
      <c r="V216" s="930"/>
      <c r="W216" s="201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  <c r="AL216" s="200"/>
      <c r="AM216" s="1058"/>
      <c r="AN216" s="930"/>
      <c r="AO216" s="201"/>
      <c r="AP216" s="200"/>
      <c r="AQ216" s="200"/>
      <c r="AR216" s="202"/>
      <c r="AS216" s="978"/>
      <c r="AT216" s="930"/>
      <c r="AU216" s="201"/>
      <c r="AV216" s="201"/>
      <c r="AW216" s="200"/>
      <c r="AX216" s="978"/>
      <c r="AY216" s="930"/>
      <c r="AZ216" s="608"/>
      <c r="BA216" s="154"/>
      <c r="BB216" s="153"/>
      <c r="BC216" s="154"/>
      <c r="BD216" s="203"/>
      <c r="BE216" s="131"/>
    </row>
    <row r="217" spans="1:148" ht="15.75" thickBot="1" x14ac:dyDescent="0.3">
      <c r="A217" s="76">
        <v>544</v>
      </c>
      <c r="B217" s="81" t="s">
        <v>251</v>
      </c>
      <c r="C217" s="336"/>
      <c r="D217" s="336"/>
      <c r="E217" s="330"/>
      <c r="F217" s="376"/>
      <c r="G217" s="376"/>
      <c r="H217" s="330"/>
      <c r="I217" s="330"/>
      <c r="J217" s="330"/>
      <c r="K217" s="585"/>
      <c r="L217" s="376"/>
      <c r="M217" s="377">
        <f>SUM(M216)</f>
        <v>93848</v>
      </c>
      <c r="N217" s="330"/>
      <c r="O217" s="330"/>
      <c r="P217" s="330"/>
      <c r="Q217" s="330"/>
      <c r="R217" s="330"/>
      <c r="S217" s="330"/>
      <c r="T217" s="330"/>
      <c r="U217" s="339"/>
      <c r="V217" s="907"/>
      <c r="W217" s="338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1057"/>
      <c r="AN217" s="907"/>
      <c r="AO217" s="338"/>
      <c r="AP217" s="330"/>
      <c r="AQ217" s="330"/>
      <c r="AR217" s="362"/>
      <c r="AS217" s="977"/>
      <c r="AT217" s="907"/>
      <c r="AU217" s="338"/>
      <c r="AV217" s="338"/>
      <c r="AW217" s="330"/>
      <c r="AX217" s="977"/>
      <c r="AY217" s="907"/>
      <c r="AZ217" s="586"/>
      <c r="BA217" s="481">
        <f>AQ217+AN217+AK217+AH217+AE217+AA217+AC217+Y217+V217+R217+O217+L217+I217+F217+C217+AT217</f>
        <v>0</v>
      </c>
      <c r="BB217" s="155">
        <f>AR217+AO217+AL217+AI217+AF217+AB217+AD217+Z217+W217+S217+P217+M217+J217+G217+D217+AU217</f>
        <v>93848</v>
      </c>
      <c r="BC217" s="147"/>
      <c r="BD217" s="188"/>
      <c r="BE217" s="131">
        <f>BB210-BB217</f>
        <v>0</v>
      </c>
      <c r="BF217" s="1650"/>
    </row>
    <row r="218" spans="1:148" ht="15.75" thickBot="1" x14ac:dyDescent="0.3">
      <c r="A218" s="1153"/>
      <c r="B218" s="1154"/>
      <c r="C218" s="1155"/>
      <c r="D218" s="1155"/>
      <c r="E218" s="200"/>
      <c r="F218" s="1157"/>
      <c r="G218" s="1157"/>
      <c r="H218" s="200"/>
      <c r="I218" s="1156"/>
      <c r="J218" s="1156"/>
      <c r="K218" s="607"/>
      <c r="L218" s="1157"/>
      <c r="M218" s="1158"/>
      <c r="N218" s="200"/>
      <c r="O218" s="1156"/>
      <c r="P218" s="1156"/>
      <c r="Q218" s="200"/>
      <c r="R218" s="1156"/>
      <c r="S218" s="1156"/>
      <c r="T218" s="200"/>
      <c r="U218" s="366"/>
      <c r="V218" s="1160"/>
      <c r="W218" s="1158"/>
      <c r="X218" s="200"/>
      <c r="Y218" s="1156"/>
      <c r="Z218" s="1156"/>
      <c r="AA218" s="200"/>
      <c r="AB218" s="1156"/>
      <c r="AC218" s="200"/>
      <c r="AD218" s="1156"/>
      <c r="AE218" s="200"/>
      <c r="AF218" s="1156"/>
      <c r="AG218" s="200"/>
      <c r="AH218" s="1156"/>
      <c r="AI218" s="1156"/>
      <c r="AJ218" s="200"/>
      <c r="AK218" s="1156"/>
      <c r="AL218" s="1156"/>
      <c r="AM218" s="1058"/>
      <c r="AN218" s="1160"/>
      <c r="AO218" s="1158"/>
      <c r="AP218" s="200"/>
      <c r="AQ218" s="1159"/>
      <c r="AR218" s="1161"/>
      <c r="AS218" s="978"/>
      <c r="AT218" s="1160"/>
      <c r="AU218" s="1158"/>
      <c r="AV218" s="201"/>
      <c r="AW218" s="200"/>
      <c r="AX218" s="978"/>
      <c r="AY218" s="1160"/>
      <c r="AZ218" s="608"/>
      <c r="BA218" s="154"/>
      <c r="BB218" s="153">
        <f>BB209+BB217</f>
        <v>5074649</v>
      </c>
      <c r="BC218" s="154"/>
      <c r="BD218" s="1162"/>
      <c r="BE218" s="34"/>
    </row>
    <row r="219" spans="1:148" x14ac:dyDescent="0.25">
      <c r="A219" s="1127"/>
      <c r="B219" s="110"/>
      <c r="C219" s="34"/>
      <c r="D219" s="34"/>
      <c r="E219" s="131"/>
      <c r="F219" s="34"/>
      <c r="G219" s="34"/>
      <c r="H219" s="131"/>
      <c r="I219" s="34"/>
      <c r="J219" s="34"/>
      <c r="K219" s="131"/>
      <c r="L219" s="34"/>
      <c r="M219" s="34"/>
      <c r="N219" s="131"/>
      <c r="O219" s="34"/>
      <c r="P219" s="34"/>
      <c r="Q219" s="131"/>
      <c r="R219" s="34"/>
      <c r="S219" s="34"/>
      <c r="T219" s="131"/>
      <c r="U219" s="131"/>
      <c r="V219" s="34"/>
      <c r="W219" s="34"/>
      <c r="X219" s="131"/>
      <c r="Y219" s="34"/>
      <c r="Z219" s="34"/>
      <c r="AA219" s="131"/>
      <c r="AB219" s="34"/>
      <c r="AC219" s="131"/>
      <c r="AD219" s="34"/>
      <c r="AE219" s="131"/>
      <c r="AF219" s="34"/>
      <c r="AG219" s="131"/>
      <c r="AH219" s="34"/>
      <c r="AI219" s="34"/>
      <c r="AJ219" s="131"/>
      <c r="AK219" s="34"/>
      <c r="AL219" s="34"/>
      <c r="AM219" s="131"/>
      <c r="AN219" s="34"/>
      <c r="AO219" s="34"/>
      <c r="AP219" s="131"/>
      <c r="AQ219" s="34"/>
      <c r="AR219" s="1128"/>
      <c r="AS219" s="132"/>
      <c r="AT219" s="34"/>
      <c r="AU219" s="34"/>
      <c r="AV219" s="131"/>
      <c r="AW219" s="131"/>
      <c r="AX219" s="132"/>
      <c r="AY219" s="34"/>
      <c r="AZ219" s="132"/>
      <c r="BA219" s="131"/>
      <c r="BB219" s="131"/>
      <c r="BC219" s="131"/>
      <c r="BD219" s="1127"/>
      <c r="BE219" s="34"/>
    </row>
    <row r="220" spans="1:148" s="22" customFormat="1" ht="15.75" thickBot="1" x14ac:dyDescent="0.3">
      <c r="A220" s="20"/>
      <c r="B220" s="16"/>
      <c r="C220" s="33"/>
      <c r="D220" s="33"/>
      <c r="E220" s="1173"/>
      <c r="F220" s="33"/>
      <c r="G220" s="33"/>
      <c r="H220" s="1173"/>
      <c r="I220" s="33"/>
      <c r="J220" s="33"/>
      <c r="K220" s="1173"/>
      <c r="L220" s="33"/>
      <c r="M220" s="33"/>
      <c r="N220" s="1173"/>
      <c r="O220" s="34"/>
      <c r="P220" s="34"/>
      <c r="Q220" s="131"/>
      <c r="R220" s="33"/>
      <c r="S220" s="33"/>
      <c r="T220" s="1173"/>
      <c r="U220" s="1173"/>
      <c r="V220" s="34"/>
      <c r="W220" s="34"/>
      <c r="X220" s="131"/>
      <c r="Y220" s="34"/>
      <c r="Z220" s="34"/>
      <c r="AA220" s="131"/>
      <c r="AB220" s="34"/>
      <c r="AC220" s="131"/>
      <c r="AD220" s="33"/>
      <c r="AE220" s="1173"/>
      <c r="AF220" s="33"/>
      <c r="AG220" s="1173"/>
      <c r="AH220" s="33"/>
      <c r="AI220" s="33"/>
      <c r="AJ220" s="1173"/>
      <c r="AK220" s="33"/>
      <c r="AL220" s="33"/>
      <c r="AM220" s="1173"/>
      <c r="AN220" s="33"/>
      <c r="AO220" s="33"/>
      <c r="AP220" s="1173"/>
      <c r="AQ220" s="33"/>
      <c r="AR220" s="33"/>
      <c r="AS220" s="1234"/>
      <c r="AT220" s="33"/>
      <c r="AU220" s="33"/>
      <c r="AV220" s="1173"/>
      <c r="AW220" s="1173"/>
      <c r="AX220" s="1234"/>
      <c r="AY220" s="33"/>
      <c r="AZ220" s="1234"/>
      <c r="BA220" s="35">
        <f>BA209+BA217</f>
        <v>4225007.2241024617</v>
      </c>
      <c r="BB220" s="35">
        <f>BB209+BB217</f>
        <v>5074649</v>
      </c>
      <c r="BC220" s="1173"/>
      <c r="BD220" s="20"/>
      <c r="BE220" s="33"/>
      <c r="BF220" s="610"/>
      <c r="BG220" s="610"/>
      <c r="BH220" s="610"/>
      <c r="BI220" s="610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</row>
    <row r="221" spans="1:148" s="28" customFormat="1" ht="15" customHeight="1" thickBot="1" x14ac:dyDescent="0.3">
      <c r="A221" s="1913" t="s">
        <v>6</v>
      </c>
      <c r="B221" s="1915" t="s">
        <v>7</v>
      </c>
      <c r="C221" s="1936" t="s">
        <v>132</v>
      </c>
      <c r="D221" s="1937"/>
      <c r="E221" s="1937"/>
      <c r="F221" s="1937"/>
      <c r="G221" s="1937"/>
      <c r="H221" s="1937"/>
      <c r="I221" s="1937"/>
      <c r="J221" s="1937"/>
      <c r="K221" s="1935"/>
      <c r="L221" s="1938" t="s">
        <v>171</v>
      </c>
      <c r="M221" s="1939"/>
      <c r="N221" s="1939"/>
      <c r="O221" s="1939"/>
      <c r="P221" s="1939"/>
      <c r="Q221" s="1939"/>
      <c r="R221" s="1939"/>
      <c r="S221" s="1939"/>
      <c r="T221" s="1939"/>
      <c r="U221" s="1939"/>
      <c r="V221" s="1940" t="s">
        <v>133</v>
      </c>
      <c r="W221" s="1941"/>
      <c r="X221" s="1941"/>
      <c r="Y221" s="1941"/>
      <c r="Z221" s="1941"/>
      <c r="AA221" s="1941"/>
      <c r="AB221" s="1941"/>
      <c r="AC221" s="1941"/>
      <c r="AD221" s="1941"/>
      <c r="AE221" s="1941"/>
      <c r="AF221" s="1941"/>
      <c r="AG221" s="1941"/>
      <c r="AH221" s="1941"/>
      <c r="AI221" s="1941"/>
      <c r="AJ221" s="1941"/>
      <c r="AK221" s="1941"/>
      <c r="AL221" s="1941"/>
      <c r="AM221" s="1942"/>
      <c r="AN221" s="1936" t="s">
        <v>227</v>
      </c>
      <c r="AO221" s="1937"/>
      <c r="AP221" s="1937"/>
      <c r="AQ221" s="1937"/>
      <c r="AR221" s="1937"/>
      <c r="AS221" s="1935"/>
      <c r="AT221" s="1936" t="s">
        <v>245</v>
      </c>
      <c r="AU221" s="1937"/>
      <c r="AV221" s="1937"/>
      <c r="AW221" s="1937"/>
      <c r="AX221" s="1935"/>
      <c r="AY221" s="1936" t="s">
        <v>417</v>
      </c>
      <c r="AZ221" s="1935"/>
      <c r="BA221" s="35"/>
      <c r="BB221" s="35"/>
      <c r="BC221" s="1173"/>
      <c r="BD221" s="130"/>
      <c r="BE221" s="572"/>
      <c r="BF221" s="610"/>
      <c r="BG221" s="610"/>
      <c r="BH221" s="610"/>
      <c r="BI221" s="1653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</row>
    <row r="222" spans="1:148" s="31" customFormat="1" ht="49.5" thickBot="1" x14ac:dyDescent="0.3">
      <c r="A222" s="1914"/>
      <c r="B222" s="1916"/>
      <c r="C222" s="573" t="s">
        <v>345</v>
      </c>
      <c r="D222" s="574" t="s">
        <v>238</v>
      </c>
      <c r="E222" s="1174" t="s">
        <v>185</v>
      </c>
      <c r="F222" s="576" t="s">
        <v>346</v>
      </c>
      <c r="G222" s="576" t="s">
        <v>209</v>
      </c>
      <c r="H222" s="1177" t="s">
        <v>188</v>
      </c>
      <c r="I222" s="577" t="s">
        <v>347</v>
      </c>
      <c r="J222" s="576" t="s">
        <v>210</v>
      </c>
      <c r="K222" s="1186" t="s">
        <v>212</v>
      </c>
      <c r="L222" s="578" t="s">
        <v>348</v>
      </c>
      <c r="M222" s="578" t="s">
        <v>208</v>
      </c>
      <c r="N222" s="1194" t="s">
        <v>186</v>
      </c>
      <c r="O222" s="579" t="s">
        <v>349</v>
      </c>
      <c r="P222" s="579" t="s">
        <v>211</v>
      </c>
      <c r="Q222" s="1194" t="s">
        <v>187</v>
      </c>
      <c r="R222" s="579" t="s">
        <v>350</v>
      </c>
      <c r="S222" s="579" t="s">
        <v>189</v>
      </c>
      <c r="T222" s="1194" t="s">
        <v>273</v>
      </c>
      <c r="U222" s="1205" t="s">
        <v>470</v>
      </c>
      <c r="V222" s="573" t="s">
        <v>351</v>
      </c>
      <c r="W222" s="573" t="s">
        <v>190</v>
      </c>
      <c r="X222" s="1174" t="s">
        <v>199</v>
      </c>
      <c r="Y222" s="575" t="s">
        <v>352</v>
      </c>
      <c r="Z222" s="575" t="s">
        <v>197</v>
      </c>
      <c r="AA222" s="1174" t="s">
        <v>198</v>
      </c>
      <c r="AB222" s="575" t="s">
        <v>368</v>
      </c>
      <c r="AC222" s="1174" t="s">
        <v>369</v>
      </c>
      <c r="AD222" s="575" t="s">
        <v>191</v>
      </c>
      <c r="AE222" s="1174" t="s">
        <v>193</v>
      </c>
      <c r="AF222" s="575" t="s">
        <v>192</v>
      </c>
      <c r="AG222" s="1174" t="s">
        <v>194</v>
      </c>
      <c r="AH222" s="575" t="s">
        <v>353</v>
      </c>
      <c r="AI222" s="575" t="s">
        <v>205</v>
      </c>
      <c r="AJ222" s="1174" t="s">
        <v>206</v>
      </c>
      <c r="AK222" s="580" t="s">
        <v>354</v>
      </c>
      <c r="AL222" s="575" t="s">
        <v>195</v>
      </c>
      <c r="AM222" s="1220" t="s">
        <v>196</v>
      </c>
      <c r="AN222" s="576" t="s">
        <v>355</v>
      </c>
      <c r="AO222" s="573" t="s">
        <v>200</v>
      </c>
      <c r="AP222" s="1174" t="s">
        <v>201</v>
      </c>
      <c r="AQ222" s="580" t="s">
        <v>356</v>
      </c>
      <c r="AR222" s="581" t="s">
        <v>202</v>
      </c>
      <c r="AS222" s="1235" t="s">
        <v>203</v>
      </c>
      <c r="AT222" s="582" t="s">
        <v>357</v>
      </c>
      <c r="AU222" s="582" t="s">
        <v>252</v>
      </c>
      <c r="AV222" s="1253" t="s">
        <v>246</v>
      </c>
      <c r="AW222" s="1254" t="s">
        <v>247</v>
      </c>
      <c r="AX222" s="1255" t="s">
        <v>248</v>
      </c>
      <c r="AY222" s="582" t="s">
        <v>418</v>
      </c>
      <c r="AZ222" s="1235" t="s">
        <v>419</v>
      </c>
      <c r="BA222" s="35"/>
      <c r="BB222" s="35"/>
      <c r="BC222" s="1173"/>
      <c r="BD222" s="130"/>
      <c r="BE222" s="158"/>
      <c r="BF222" s="610"/>
      <c r="BG222" s="610"/>
      <c r="BH222" s="610"/>
      <c r="BI222" s="1654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</row>
    <row r="223" spans="1:148" s="22" customFormat="1" x14ac:dyDescent="0.25">
      <c r="A223" s="20"/>
      <c r="C223" s="33"/>
      <c r="D223" s="33"/>
      <c r="E223" s="1173"/>
      <c r="F223" s="35"/>
      <c r="G223" s="33"/>
      <c r="H223" s="1173"/>
      <c r="I223" s="33"/>
      <c r="J223" s="33"/>
      <c r="K223" s="1173"/>
      <c r="L223" s="33"/>
      <c r="M223" s="33"/>
      <c r="N223" s="1173"/>
      <c r="O223" s="34"/>
      <c r="P223" s="34"/>
      <c r="Q223" s="131"/>
      <c r="R223" s="33"/>
      <c r="S223" s="33"/>
      <c r="T223" s="1173"/>
      <c r="U223" s="1173"/>
      <c r="V223" s="34"/>
      <c r="W223" s="34"/>
      <c r="X223" s="131"/>
      <c r="Y223" s="34"/>
      <c r="Z223" s="34"/>
      <c r="AA223" s="131"/>
      <c r="AB223" s="34"/>
      <c r="AC223" s="131"/>
      <c r="AD223" s="34"/>
      <c r="AE223" s="131"/>
      <c r="AF223" s="34"/>
      <c r="AG223" s="131"/>
      <c r="AH223" s="33"/>
      <c r="AI223" s="33"/>
      <c r="AJ223" s="1173"/>
      <c r="AK223" s="33"/>
      <c r="AL223" s="33"/>
      <c r="AM223" s="1173"/>
      <c r="AN223" s="33"/>
      <c r="AO223" s="33"/>
      <c r="AP223" s="1173"/>
      <c r="AQ223" s="33"/>
      <c r="AR223" s="33"/>
      <c r="AS223" s="1234"/>
      <c r="AT223" s="33"/>
      <c r="AU223" s="33"/>
      <c r="AV223" s="1173"/>
      <c r="AW223" s="1173"/>
      <c r="AX223" s="1234"/>
      <c r="AY223" s="33"/>
      <c r="AZ223" s="1234"/>
      <c r="BA223" s="33"/>
      <c r="BB223" s="33"/>
      <c r="BC223" s="1173"/>
      <c r="BD223" s="20"/>
      <c r="BE223" s="33"/>
      <c r="BF223" s="1648"/>
      <c r="BG223" s="1648"/>
      <c r="BH223" s="610"/>
      <c r="BI223" s="610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</row>
    <row r="224" spans="1:148" s="22" customFormat="1" x14ac:dyDescent="0.25">
      <c r="A224" s="20"/>
      <c r="B224" s="16"/>
      <c r="C224" s="33"/>
      <c r="D224" s="33"/>
      <c r="E224" s="1173"/>
      <c r="F224" s="35"/>
      <c r="G224" s="33"/>
      <c r="H224" s="1173"/>
      <c r="I224" s="33"/>
      <c r="J224" s="33"/>
      <c r="K224" s="1173"/>
      <c r="L224" s="33"/>
      <c r="M224" s="33"/>
      <c r="N224" s="1173"/>
      <c r="O224" s="34"/>
      <c r="P224" s="34"/>
      <c r="Q224" s="131"/>
      <c r="R224" s="33"/>
      <c r="S224" s="33"/>
      <c r="T224" s="1173"/>
      <c r="U224" s="1173"/>
      <c r="V224" s="34"/>
      <c r="W224" s="34"/>
      <c r="X224" s="131"/>
      <c r="Y224" s="34"/>
      <c r="Z224" s="34"/>
      <c r="AA224" s="131"/>
      <c r="AB224" s="34"/>
      <c r="AC224" s="131"/>
      <c r="AD224" s="33"/>
      <c r="AE224" s="1173"/>
      <c r="AF224" s="33"/>
      <c r="AG224" s="1173"/>
      <c r="AH224" s="33"/>
      <c r="AI224" s="33"/>
      <c r="AJ224" s="1173"/>
      <c r="AK224" s="33"/>
      <c r="AL224" s="33"/>
      <c r="AM224" s="1173"/>
      <c r="AN224" s="33"/>
      <c r="AO224" s="33"/>
      <c r="AP224" s="1173"/>
      <c r="AQ224" s="33"/>
      <c r="AR224" s="33"/>
      <c r="AS224" s="1234"/>
      <c r="AT224" s="33"/>
      <c r="AU224" s="33"/>
      <c r="AV224" s="1173"/>
      <c r="AW224" s="1173"/>
      <c r="AX224" s="1234"/>
      <c r="AY224" s="33"/>
      <c r="AZ224" s="1234"/>
      <c r="BA224" s="33"/>
      <c r="BB224" s="33"/>
      <c r="BC224" s="1173"/>
      <c r="BD224" s="20"/>
      <c r="BE224" s="33"/>
      <c r="BF224" s="1649"/>
      <c r="BG224" s="1649"/>
      <c r="BH224" s="1653"/>
      <c r="BI224" s="610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</row>
    <row r="225" spans="1:148" s="22" customFormat="1" x14ac:dyDescent="0.25">
      <c r="A225" s="20"/>
      <c r="B225" s="16"/>
      <c r="C225" s="33"/>
      <c r="D225" s="33"/>
      <c r="E225" s="1173"/>
      <c r="F225" s="35"/>
      <c r="G225" s="33"/>
      <c r="H225" s="1173"/>
      <c r="I225" s="33"/>
      <c r="J225" s="33"/>
      <c r="K225" s="1173"/>
      <c r="L225" s="33"/>
      <c r="M225" s="33"/>
      <c r="N225" s="1173"/>
      <c r="O225" s="33"/>
      <c r="P225" s="33"/>
      <c r="Q225" s="1173"/>
      <c r="R225" s="33"/>
      <c r="S225" s="33"/>
      <c r="T225" s="1173"/>
      <c r="U225" s="1173"/>
      <c r="V225" s="33"/>
      <c r="W225" s="33"/>
      <c r="X225" s="1173"/>
      <c r="Y225" s="33"/>
      <c r="Z225" s="33"/>
      <c r="AA225" s="1173"/>
      <c r="AB225" s="33"/>
      <c r="AC225" s="1173"/>
      <c r="AD225" s="473"/>
      <c r="AE225" s="1164"/>
      <c r="AF225" s="473"/>
      <c r="AG225" s="1164"/>
      <c r="AH225" s="473"/>
      <c r="AI225" s="473"/>
      <c r="AJ225" s="1164"/>
      <c r="AK225" s="473"/>
      <c r="AL225" s="473"/>
      <c r="AM225" s="1164"/>
      <c r="AN225" s="473"/>
      <c r="AO225" s="473"/>
      <c r="AP225" s="1164"/>
      <c r="AQ225" s="473"/>
      <c r="AR225" s="473"/>
      <c r="AS225" s="1236"/>
      <c r="AT225" s="473"/>
      <c r="AU225" s="473"/>
      <c r="AV225" s="1164"/>
      <c r="AW225" s="1164"/>
      <c r="AX225" s="1236"/>
      <c r="AY225" s="473"/>
      <c r="AZ225" s="1236"/>
      <c r="BA225" s="473"/>
      <c r="BB225" s="473"/>
      <c r="BC225" s="1164"/>
      <c r="BD225" s="20"/>
      <c r="BE225" s="473"/>
      <c r="BF225" s="610"/>
      <c r="BG225" s="610"/>
      <c r="BH225" s="1654"/>
      <c r="BI225" s="610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</row>
    <row r="226" spans="1:148" s="22" customFormat="1" x14ac:dyDescent="0.25">
      <c r="A226" s="20"/>
      <c r="B226" s="16" t="s">
        <v>281</v>
      </c>
      <c r="C226" s="33"/>
      <c r="D226" s="33"/>
      <c r="E226" s="1173"/>
      <c r="F226" s="35"/>
      <c r="G226" s="33"/>
      <c r="H226" s="1173"/>
      <c r="I226" s="33"/>
      <c r="J226" s="33"/>
      <c r="K226" s="1173"/>
      <c r="L226" s="33"/>
      <c r="M226" s="33"/>
      <c r="N226" s="1173"/>
      <c r="O226" s="33"/>
      <c r="P226" s="33"/>
      <c r="Q226" s="1173"/>
      <c r="R226" s="33"/>
      <c r="S226" s="33"/>
      <c r="T226" s="1173"/>
      <c r="U226" s="1173"/>
      <c r="V226" s="33"/>
      <c r="W226" s="33"/>
      <c r="X226" s="1173"/>
      <c r="Y226" s="33"/>
      <c r="Z226" s="33"/>
      <c r="AA226" s="1173"/>
      <c r="AB226" s="33"/>
      <c r="AC226" s="1173"/>
      <c r="AD226" s="473"/>
      <c r="AE226" s="1164"/>
      <c r="AF226" s="473"/>
      <c r="AG226" s="1164"/>
      <c r="AH226" s="473"/>
      <c r="AI226" s="473"/>
      <c r="AJ226" s="1164"/>
      <c r="AK226" s="473"/>
      <c r="AL226" s="473"/>
      <c r="AM226" s="1164"/>
      <c r="AN226" s="473"/>
      <c r="AO226" s="473"/>
      <c r="AP226" s="1164"/>
      <c r="AQ226" s="473"/>
      <c r="AR226" s="473"/>
      <c r="AS226" s="1236"/>
      <c r="AT226" s="473"/>
      <c r="AU226" s="473"/>
      <c r="AV226" s="1164"/>
      <c r="AW226" s="1164"/>
      <c r="AX226" s="1236"/>
      <c r="AY226" s="473"/>
      <c r="AZ226" s="1236"/>
      <c r="BA226" s="473"/>
      <c r="BB226" s="473"/>
      <c r="BC226" s="1164"/>
      <c r="BD226" s="20"/>
      <c r="BE226" s="473"/>
      <c r="BF226" s="610"/>
      <c r="BG226" s="610"/>
      <c r="BH226" s="610"/>
      <c r="BI226" s="610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</row>
    <row r="227" spans="1:148" s="22" customFormat="1" x14ac:dyDescent="0.25">
      <c r="A227" s="20"/>
      <c r="B227" s="16"/>
      <c r="C227" s="33"/>
      <c r="D227" s="33"/>
      <c r="E227" s="1173"/>
      <c r="F227" s="33"/>
      <c r="G227" s="33"/>
      <c r="H227" s="1173"/>
      <c r="I227" s="33"/>
      <c r="J227" s="33"/>
      <c r="K227" s="1173"/>
      <c r="L227" s="33"/>
      <c r="M227" s="33"/>
      <c r="N227" s="1173"/>
      <c r="O227" s="33"/>
      <c r="P227" s="33"/>
      <c r="Q227" s="1173"/>
      <c r="R227" s="33"/>
      <c r="S227" s="33"/>
      <c r="T227" s="1173"/>
      <c r="U227" s="1173"/>
      <c r="V227" s="33"/>
      <c r="W227" s="33"/>
      <c r="X227" s="1173"/>
      <c r="Y227" s="33"/>
      <c r="Z227" s="33"/>
      <c r="AA227" s="1173"/>
      <c r="AB227" s="33"/>
      <c r="AC227" s="1173"/>
      <c r="AD227" s="473"/>
      <c r="AE227" s="1164"/>
      <c r="AF227" s="473"/>
      <c r="AG227" s="1164"/>
      <c r="AH227" s="473"/>
      <c r="AI227" s="473"/>
      <c r="AJ227" s="1164"/>
      <c r="AK227" s="473"/>
      <c r="AL227" s="473"/>
      <c r="AM227" s="1164"/>
      <c r="AN227" s="473"/>
      <c r="AO227" s="473"/>
      <c r="AP227" s="1164"/>
      <c r="AQ227" s="473"/>
      <c r="AR227" s="473"/>
      <c r="AS227" s="1236"/>
      <c r="AT227" s="473"/>
      <c r="AU227" s="473"/>
      <c r="AV227" s="1164"/>
      <c r="AW227" s="1164"/>
      <c r="AX227" s="1236"/>
      <c r="AY227" s="473"/>
      <c r="AZ227" s="1236"/>
      <c r="BA227" s="473"/>
      <c r="BB227" s="473"/>
      <c r="BC227" s="1164"/>
      <c r="BD227" s="20"/>
      <c r="BE227" s="473"/>
      <c r="BF227" s="610"/>
      <c r="BG227" s="610"/>
      <c r="BH227" s="610"/>
      <c r="BI227" s="610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</row>
    <row r="228" spans="1:148" s="22" customFormat="1" x14ac:dyDescent="0.25">
      <c r="A228" s="20"/>
      <c r="B228" s="16"/>
      <c r="C228" s="33"/>
      <c r="D228" s="33"/>
      <c r="E228" s="1173"/>
      <c r="F228" s="33"/>
      <c r="G228" s="33"/>
      <c r="H228" s="1173"/>
      <c r="I228" s="33"/>
      <c r="J228" s="33"/>
      <c r="K228" s="1173"/>
      <c r="L228" s="33"/>
      <c r="M228" s="33"/>
      <c r="N228" s="1173"/>
      <c r="O228" s="35"/>
      <c r="P228" s="35"/>
      <c r="Q228" s="1172"/>
      <c r="R228" s="33"/>
      <c r="S228" s="33"/>
      <c r="T228" s="1173"/>
      <c r="U228" s="1173"/>
      <c r="V228" s="33"/>
      <c r="W228" s="33"/>
      <c r="X228" s="1173"/>
      <c r="Y228" s="33"/>
      <c r="Z228" s="33"/>
      <c r="AA228" s="1173"/>
      <c r="AB228" s="33"/>
      <c r="AC228" s="1173"/>
      <c r="AD228" s="473"/>
      <c r="AE228" s="1164"/>
      <c r="AF228" s="473"/>
      <c r="AG228" s="1164"/>
      <c r="AH228" s="473"/>
      <c r="AI228" s="473"/>
      <c r="AJ228" s="1164"/>
      <c r="AK228" s="473"/>
      <c r="AL228" s="473"/>
      <c r="AM228" s="1164"/>
      <c r="AN228" s="473"/>
      <c r="AO228" s="473"/>
      <c r="AP228" s="1164"/>
      <c r="AQ228" s="473"/>
      <c r="AR228" s="473"/>
      <c r="AS228" s="1236"/>
      <c r="AT228" s="473"/>
      <c r="AU228" s="473"/>
      <c r="AV228" s="1164"/>
      <c r="AW228" s="1164"/>
      <c r="AX228" s="1236"/>
      <c r="AY228" s="473"/>
      <c r="AZ228" s="1236"/>
      <c r="BA228" s="473"/>
      <c r="BB228" s="473"/>
      <c r="BC228" s="1164"/>
      <c r="BD228" s="20"/>
      <c r="BE228" s="473"/>
      <c r="BF228" s="610"/>
      <c r="BG228" s="610"/>
      <c r="BH228" s="610"/>
      <c r="BI228" s="610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</row>
    <row r="229" spans="1:148" s="22" customFormat="1" x14ac:dyDescent="0.25">
      <c r="A229" s="20"/>
      <c r="B229" s="16"/>
      <c r="C229" s="33"/>
      <c r="D229" s="33"/>
      <c r="E229" s="1173"/>
      <c r="F229" s="33"/>
      <c r="G229" s="33"/>
      <c r="H229" s="1173"/>
      <c r="I229" s="33"/>
      <c r="J229" s="33"/>
      <c r="K229" s="1173"/>
      <c r="L229" s="33"/>
      <c r="M229" s="33"/>
      <c r="N229" s="1173"/>
      <c r="O229" s="33"/>
      <c r="P229" s="33"/>
      <c r="Q229" s="1173"/>
      <c r="R229" s="33"/>
      <c r="S229" s="33"/>
      <c r="T229" s="1173"/>
      <c r="U229" s="1173"/>
      <c r="V229" s="33"/>
      <c r="W229" s="33"/>
      <c r="X229" s="1173"/>
      <c r="Y229" s="33"/>
      <c r="Z229" s="33"/>
      <c r="AA229" s="1173"/>
      <c r="AB229" s="33"/>
      <c r="AC229" s="1173"/>
      <c r="AD229" s="473"/>
      <c r="AE229" s="1164"/>
      <c r="AF229" s="473"/>
      <c r="AG229" s="1164"/>
      <c r="AH229" s="473"/>
      <c r="AI229" s="473"/>
      <c r="AJ229" s="1164"/>
      <c r="AK229" s="473"/>
      <c r="AL229" s="473"/>
      <c r="AM229" s="1164"/>
      <c r="AN229" s="473"/>
      <c r="AO229" s="473"/>
      <c r="AP229" s="1164"/>
      <c r="AQ229" s="473"/>
      <c r="AR229" s="473"/>
      <c r="AS229" s="1236"/>
      <c r="AT229" s="473"/>
      <c r="AU229" s="473"/>
      <c r="AV229" s="1164"/>
      <c r="AW229" s="1164"/>
      <c r="AX229" s="1236"/>
      <c r="AY229" s="473"/>
      <c r="AZ229" s="1236"/>
      <c r="BA229" s="473"/>
      <c r="BB229" s="473"/>
      <c r="BC229" s="1164"/>
      <c r="BD229" s="20"/>
      <c r="BE229" s="473"/>
      <c r="BF229" s="610"/>
      <c r="BG229" s="610"/>
      <c r="BH229" s="610"/>
      <c r="BI229" s="610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</row>
    <row r="230" spans="1:148" s="22" customFormat="1" x14ac:dyDescent="0.25">
      <c r="A230" s="20"/>
      <c r="B230" s="16"/>
      <c r="C230" s="473"/>
      <c r="D230" s="473"/>
      <c r="E230" s="1164"/>
      <c r="F230" s="473"/>
      <c r="G230" s="473"/>
      <c r="H230" s="1164"/>
      <c r="I230" s="473"/>
      <c r="J230" s="473"/>
      <c r="K230" s="1164"/>
      <c r="L230" s="473"/>
      <c r="M230" s="473"/>
      <c r="N230" s="1164"/>
      <c r="O230" s="473"/>
      <c r="P230" s="473"/>
      <c r="Q230" s="1164"/>
      <c r="R230" s="473"/>
      <c r="S230" s="473"/>
      <c r="T230" s="1164"/>
      <c r="U230" s="1164"/>
      <c r="V230" s="473"/>
      <c r="W230" s="473"/>
      <c r="X230" s="1164"/>
      <c r="Y230" s="473"/>
      <c r="Z230" s="473"/>
      <c r="AA230" s="1164"/>
      <c r="AB230" s="473"/>
      <c r="AC230" s="1164"/>
      <c r="AD230" s="473"/>
      <c r="AE230" s="1164"/>
      <c r="AF230" s="473"/>
      <c r="AG230" s="1164"/>
      <c r="AH230" s="473"/>
      <c r="AI230" s="473"/>
      <c r="AJ230" s="1164"/>
      <c r="AK230" s="473"/>
      <c r="AL230" s="473"/>
      <c r="AM230" s="1164"/>
      <c r="AN230" s="473"/>
      <c r="AO230" s="473"/>
      <c r="AP230" s="1164"/>
      <c r="AQ230" s="473"/>
      <c r="AR230" s="473"/>
      <c r="AS230" s="1236"/>
      <c r="AT230" s="473"/>
      <c r="AU230" s="473"/>
      <c r="AV230" s="1164"/>
      <c r="AW230" s="1164"/>
      <c r="AX230" s="1236"/>
      <c r="AY230" s="473"/>
      <c r="AZ230" s="1236"/>
      <c r="BA230" s="473"/>
      <c r="BB230" s="473"/>
      <c r="BC230" s="1164"/>
      <c r="BD230" s="20"/>
      <c r="BE230" s="473"/>
      <c r="BF230" s="610"/>
      <c r="BG230" s="610"/>
      <c r="BH230" s="610"/>
      <c r="BI230" s="610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</row>
    <row r="231" spans="1:148" s="22" customFormat="1" x14ac:dyDescent="0.25">
      <c r="A231" s="20"/>
      <c r="B231" s="16"/>
      <c r="C231" s="473"/>
      <c r="D231" s="473"/>
      <c r="E231" s="1164"/>
      <c r="F231" s="473"/>
      <c r="G231" s="473"/>
      <c r="H231" s="1164"/>
      <c r="I231" s="473"/>
      <c r="J231" s="473"/>
      <c r="K231" s="1164"/>
      <c r="L231" s="473"/>
      <c r="M231" s="473"/>
      <c r="N231" s="1164"/>
      <c r="O231" s="473"/>
      <c r="P231" s="473"/>
      <c r="Q231" s="1164"/>
      <c r="R231" s="473"/>
      <c r="S231" s="473"/>
      <c r="T231" s="1164"/>
      <c r="U231" s="1164"/>
      <c r="V231" s="473"/>
      <c r="W231" s="473"/>
      <c r="X231" s="1164"/>
      <c r="Y231" s="473"/>
      <c r="Z231" s="473"/>
      <c r="AA231" s="1164"/>
      <c r="AB231" s="473"/>
      <c r="AC231" s="1164"/>
      <c r="AD231" s="473"/>
      <c r="AE231" s="1164"/>
      <c r="AF231" s="473"/>
      <c r="AG231" s="1164"/>
      <c r="AH231" s="473"/>
      <c r="AI231" s="473"/>
      <c r="AJ231" s="1164"/>
      <c r="AK231" s="473"/>
      <c r="AL231" s="473"/>
      <c r="AM231" s="1164"/>
      <c r="AN231" s="473"/>
      <c r="AO231" s="473"/>
      <c r="AP231" s="1164"/>
      <c r="AQ231" s="473"/>
      <c r="AR231" s="473"/>
      <c r="AS231" s="1236"/>
      <c r="AT231" s="473"/>
      <c r="AU231" s="473"/>
      <c r="AV231" s="1164"/>
      <c r="AW231" s="1164"/>
      <c r="AX231" s="1236"/>
      <c r="AY231" s="473"/>
      <c r="AZ231" s="1236"/>
      <c r="BA231" s="473"/>
      <c r="BB231" s="473"/>
      <c r="BC231" s="1164"/>
      <c r="BD231" s="20"/>
      <c r="BE231" s="473"/>
      <c r="BF231" s="610"/>
      <c r="BG231" s="610"/>
      <c r="BH231" s="610"/>
      <c r="BI231" s="610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</row>
    <row r="232" spans="1:148" s="22" customFormat="1" x14ac:dyDescent="0.25">
      <c r="A232" s="20"/>
      <c r="B232" s="16"/>
      <c r="C232" s="473"/>
      <c r="D232" s="473"/>
      <c r="E232" s="1164"/>
      <c r="F232" s="473"/>
      <c r="G232" s="473"/>
      <c r="H232" s="1164"/>
      <c r="I232" s="473"/>
      <c r="J232" s="473"/>
      <c r="K232" s="1164"/>
      <c r="L232" s="473"/>
      <c r="M232" s="473"/>
      <c r="N232" s="1164"/>
      <c r="O232" s="473"/>
      <c r="P232" s="473"/>
      <c r="Q232" s="1164"/>
      <c r="R232" s="473"/>
      <c r="S232" s="473"/>
      <c r="T232" s="1164"/>
      <c r="U232" s="1164"/>
      <c r="V232" s="473"/>
      <c r="W232" s="473"/>
      <c r="X232" s="1164"/>
      <c r="Y232" s="473"/>
      <c r="Z232" s="473"/>
      <c r="AA232" s="1164"/>
      <c r="AB232" s="473"/>
      <c r="AC232" s="1164"/>
      <c r="AD232" s="473"/>
      <c r="AE232" s="1164"/>
      <c r="AF232" s="473"/>
      <c r="AG232" s="1164"/>
      <c r="AH232" s="473"/>
      <c r="AI232" s="473"/>
      <c r="AJ232" s="1164"/>
      <c r="AK232" s="473"/>
      <c r="AL232" s="473"/>
      <c r="AM232" s="1164"/>
      <c r="AN232" s="473"/>
      <c r="AO232" s="473"/>
      <c r="AP232" s="1164"/>
      <c r="AQ232" s="473"/>
      <c r="AR232" s="473"/>
      <c r="AS232" s="1236"/>
      <c r="AT232" s="473"/>
      <c r="AU232" s="473"/>
      <c r="AV232" s="1164"/>
      <c r="AW232" s="1164"/>
      <c r="AX232" s="1236"/>
      <c r="AY232" s="473"/>
      <c r="AZ232" s="1236"/>
      <c r="BA232" s="473"/>
      <c r="BB232" s="473"/>
      <c r="BC232" s="1164"/>
      <c r="BD232" s="20"/>
      <c r="BE232" s="473"/>
      <c r="BF232" s="610"/>
      <c r="BG232" s="610"/>
      <c r="BH232" s="610"/>
      <c r="BI232" s="610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</row>
    <row r="233" spans="1:148" s="22" customFormat="1" x14ac:dyDescent="0.25">
      <c r="A233" s="20"/>
      <c r="B233" s="16"/>
      <c r="C233" s="473"/>
      <c r="D233" s="473"/>
      <c r="E233" s="1164"/>
      <c r="F233" s="473"/>
      <c r="G233" s="473"/>
      <c r="H233" s="1164"/>
      <c r="I233" s="473"/>
      <c r="J233" s="473"/>
      <c r="K233" s="1164"/>
      <c r="L233" s="473"/>
      <c r="M233" s="473"/>
      <c r="N233" s="1164"/>
      <c r="O233" s="473"/>
      <c r="P233" s="473"/>
      <c r="Q233" s="1164"/>
      <c r="R233" s="473"/>
      <c r="S233" s="473"/>
      <c r="T233" s="1164"/>
      <c r="U233" s="1164"/>
      <c r="V233" s="473"/>
      <c r="W233" s="473"/>
      <c r="X233" s="1164"/>
      <c r="Y233" s="473"/>
      <c r="Z233" s="473"/>
      <c r="AA233" s="1164"/>
      <c r="AB233" s="473"/>
      <c r="AC233" s="1164"/>
      <c r="AD233" s="473"/>
      <c r="AE233" s="1164"/>
      <c r="AF233" s="473"/>
      <c r="AG233" s="1164"/>
      <c r="AH233" s="473"/>
      <c r="AI233" s="473"/>
      <c r="AJ233" s="1164"/>
      <c r="AK233" s="473"/>
      <c r="AL233" s="473"/>
      <c r="AM233" s="1164"/>
      <c r="AN233" s="473"/>
      <c r="AO233" s="473"/>
      <c r="AP233" s="1164"/>
      <c r="AQ233" s="473"/>
      <c r="AR233" s="473"/>
      <c r="AS233" s="1236"/>
      <c r="AT233" s="473"/>
      <c r="AU233" s="473"/>
      <c r="AV233" s="1164"/>
      <c r="AW233" s="1164"/>
      <c r="AX233" s="1236"/>
      <c r="AY233" s="473"/>
      <c r="AZ233" s="1236"/>
      <c r="BA233" s="473"/>
      <c r="BB233" s="473"/>
      <c r="BC233" s="1164"/>
      <c r="BD233" s="20"/>
      <c r="BE233" s="473"/>
      <c r="BF233" s="610"/>
      <c r="BG233" s="610"/>
      <c r="BH233" s="610"/>
      <c r="BI233" s="610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</row>
    <row r="234" spans="1:148" s="22" customFormat="1" x14ac:dyDescent="0.25">
      <c r="A234" s="20"/>
      <c r="B234" s="16"/>
      <c r="C234" s="473"/>
      <c r="D234" s="473"/>
      <c r="E234" s="1164"/>
      <c r="F234" s="473"/>
      <c r="G234" s="473"/>
      <c r="H234" s="1164"/>
      <c r="I234" s="473"/>
      <c r="J234" s="473"/>
      <c r="K234" s="1164"/>
      <c r="L234" s="473"/>
      <c r="M234" s="473"/>
      <c r="N234" s="1164"/>
      <c r="O234" s="473"/>
      <c r="P234" s="473"/>
      <c r="Q234" s="1164"/>
      <c r="R234" s="473"/>
      <c r="S234" s="473"/>
      <c r="T234" s="1164"/>
      <c r="U234" s="1164"/>
      <c r="V234" s="473"/>
      <c r="W234" s="473"/>
      <c r="X234" s="1164"/>
      <c r="Y234" s="473"/>
      <c r="Z234" s="473"/>
      <c r="AA234" s="1164"/>
      <c r="AB234" s="473"/>
      <c r="AC234" s="1164"/>
      <c r="AD234" s="473"/>
      <c r="AE234" s="1164"/>
      <c r="AF234" s="473"/>
      <c r="AG234" s="1164"/>
      <c r="AH234" s="473"/>
      <c r="AI234" s="473"/>
      <c r="AJ234" s="1164"/>
      <c r="AK234" s="473"/>
      <c r="AL234" s="473"/>
      <c r="AM234" s="1164"/>
      <c r="AN234" s="473"/>
      <c r="AO234" s="473"/>
      <c r="AP234" s="1164"/>
      <c r="AQ234" s="473"/>
      <c r="AR234" s="473"/>
      <c r="AS234" s="1236"/>
      <c r="AT234" s="473"/>
      <c r="AU234" s="473"/>
      <c r="AV234" s="1164"/>
      <c r="AW234" s="1164"/>
      <c r="AX234" s="1236"/>
      <c r="AY234" s="473"/>
      <c r="AZ234" s="1236"/>
      <c r="BA234" s="473"/>
      <c r="BB234" s="473"/>
      <c r="BC234" s="1164"/>
      <c r="BD234" s="20"/>
      <c r="BE234" s="473"/>
      <c r="BF234" s="610"/>
      <c r="BG234" s="610"/>
      <c r="BH234" s="610"/>
      <c r="BI234" s="610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</row>
    <row r="235" spans="1:148" s="22" customFormat="1" x14ac:dyDescent="0.25">
      <c r="A235" s="20"/>
      <c r="B235" s="16"/>
      <c r="C235" s="473"/>
      <c r="D235" s="473"/>
      <c r="E235" s="1164"/>
      <c r="F235" s="473"/>
      <c r="G235" s="473"/>
      <c r="H235" s="1164"/>
      <c r="I235" s="473"/>
      <c r="J235" s="473"/>
      <c r="K235" s="1164"/>
      <c r="L235" s="473"/>
      <c r="M235" s="473"/>
      <c r="N235" s="1164"/>
      <c r="O235" s="473"/>
      <c r="P235" s="473"/>
      <c r="Q235" s="1164"/>
      <c r="R235" s="473"/>
      <c r="S235" s="473"/>
      <c r="T235" s="1164"/>
      <c r="U235" s="1164"/>
      <c r="V235" s="473"/>
      <c r="W235" s="473"/>
      <c r="X235" s="1164"/>
      <c r="Y235" s="473"/>
      <c r="Z235" s="473"/>
      <c r="AA235" s="1164"/>
      <c r="AB235" s="473"/>
      <c r="AC235" s="1164"/>
      <c r="AD235" s="473"/>
      <c r="AE235" s="1164"/>
      <c r="AF235" s="473"/>
      <c r="AG235" s="1164"/>
      <c r="AH235" s="473"/>
      <c r="AI235" s="473"/>
      <c r="AJ235" s="1164"/>
      <c r="AK235" s="473"/>
      <c r="AL235" s="473"/>
      <c r="AM235" s="1164"/>
      <c r="AN235" s="473"/>
      <c r="AO235" s="473"/>
      <c r="AP235" s="1164"/>
      <c r="AQ235" s="473"/>
      <c r="AR235" s="473"/>
      <c r="AS235" s="1236"/>
      <c r="AT235" s="473"/>
      <c r="AU235" s="473"/>
      <c r="AV235" s="1164"/>
      <c r="AW235" s="1164"/>
      <c r="AX235" s="1236"/>
      <c r="AY235" s="473"/>
      <c r="AZ235" s="1236"/>
      <c r="BA235" s="473"/>
      <c r="BB235" s="473"/>
      <c r="BC235" s="1164"/>
      <c r="BD235" s="20"/>
      <c r="BE235" s="473"/>
      <c r="BF235" s="610"/>
      <c r="BG235" s="610"/>
      <c r="BH235" s="610"/>
      <c r="BI235" s="610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</row>
    <row r="236" spans="1:148" s="22" customFormat="1" x14ac:dyDescent="0.25">
      <c r="A236" s="20"/>
      <c r="B236" s="16"/>
      <c r="C236" s="473"/>
      <c r="D236" s="473"/>
      <c r="E236" s="1164"/>
      <c r="F236" s="473"/>
      <c r="G236" s="473"/>
      <c r="H236" s="1164"/>
      <c r="I236" s="473"/>
      <c r="J236" s="473"/>
      <c r="K236" s="1164"/>
      <c r="L236" s="473"/>
      <c r="M236" s="473"/>
      <c r="N236" s="1164"/>
      <c r="O236" s="473"/>
      <c r="P236" s="473"/>
      <c r="Q236" s="1164"/>
      <c r="R236" s="473"/>
      <c r="S236" s="473"/>
      <c r="T236" s="1164"/>
      <c r="U236" s="1164"/>
      <c r="V236" s="473"/>
      <c r="W236" s="473"/>
      <c r="X236" s="1164"/>
      <c r="Y236" s="473"/>
      <c r="Z236" s="473"/>
      <c r="AA236" s="1164"/>
      <c r="AB236" s="473"/>
      <c r="AC236" s="1164"/>
      <c r="AD236" s="473"/>
      <c r="AE236" s="1164"/>
      <c r="AF236" s="473"/>
      <c r="AG236" s="1164"/>
      <c r="AH236" s="473"/>
      <c r="AI236" s="473"/>
      <c r="AJ236" s="1164"/>
      <c r="AK236" s="473"/>
      <c r="AL236" s="473"/>
      <c r="AM236" s="1164"/>
      <c r="AN236" s="473"/>
      <c r="AO236" s="473"/>
      <c r="AP236" s="1164"/>
      <c r="AQ236" s="473"/>
      <c r="AR236" s="473"/>
      <c r="AS236" s="1236"/>
      <c r="AT236" s="473"/>
      <c r="AU236" s="473"/>
      <c r="AV236" s="1164"/>
      <c r="AW236" s="1164"/>
      <c r="AX236" s="1236"/>
      <c r="AY236" s="473"/>
      <c r="AZ236" s="1236"/>
      <c r="BA236" s="473"/>
      <c r="BB236" s="473"/>
      <c r="BC236" s="1164"/>
      <c r="BD236" s="20"/>
      <c r="BE236" s="473"/>
      <c r="BF236" s="610"/>
      <c r="BG236" s="610"/>
      <c r="BH236" s="610"/>
      <c r="BI236" s="610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</row>
    <row r="237" spans="1:148" s="22" customFormat="1" x14ac:dyDescent="0.25">
      <c r="A237" s="20"/>
      <c r="B237" s="16"/>
      <c r="C237" s="473"/>
      <c r="D237" s="473"/>
      <c r="E237" s="1164"/>
      <c r="F237" s="473"/>
      <c r="G237" s="473"/>
      <c r="H237" s="1164"/>
      <c r="I237" s="473"/>
      <c r="J237" s="473"/>
      <c r="K237" s="1164"/>
      <c r="L237" s="473"/>
      <c r="M237" s="473"/>
      <c r="N237" s="1164"/>
      <c r="O237" s="473"/>
      <c r="P237" s="473"/>
      <c r="Q237" s="1164"/>
      <c r="R237" s="473"/>
      <c r="S237" s="473"/>
      <c r="T237" s="1164"/>
      <c r="U237" s="1164"/>
      <c r="V237" s="473"/>
      <c r="W237" s="473"/>
      <c r="X237" s="1164"/>
      <c r="Y237" s="473"/>
      <c r="Z237" s="473"/>
      <c r="AA237" s="1164"/>
      <c r="AB237" s="473"/>
      <c r="AC237" s="1164"/>
      <c r="AD237" s="473"/>
      <c r="AE237" s="1164"/>
      <c r="AF237" s="473"/>
      <c r="AG237" s="1164"/>
      <c r="AH237" s="473"/>
      <c r="AI237" s="473"/>
      <c r="AJ237" s="1164"/>
      <c r="AK237" s="473"/>
      <c r="AL237" s="473"/>
      <c r="AM237" s="1164"/>
      <c r="AN237" s="473"/>
      <c r="AO237" s="473"/>
      <c r="AP237" s="1164"/>
      <c r="AQ237" s="473"/>
      <c r="AR237" s="473"/>
      <c r="AS237" s="1236"/>
      <c r="AT237" s="473"/>
      <c r="AU237" s="473"/>
      <c r="AV237" s="1164"/>
      <c r="AW237" s="1164"/>
      <c r="AX237" s="1236"/>
      <c r="AY237" s="473"/>
      <c r="AZ237" s="1236"/>
      <c r="BA237" s="473"/>
      <c r="BB237" s="473"/>
      <c r="BC237" s="1164"/>
      <c r="BD237" s="20"/>
      <c r="BE237" s="473"/>
      <c r="BF237" s="610"/>
      <c r="BG237" s="610"/>
      <c r="BH237" s="610"/>
      <c r="BI237" s="610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</row>
    <row r="238" spans="1:148" s="22" customFormat="1" x14ac:dyDescent="0.25">
      <c r="A238" s="20"/>
      <c r="B238" s="16"/>
      <c r="C238" s="473"/>
      <c r="D238" s="473"/>
      <c r="E238" s="1164"/>
      <c r="F238" s="473"/>
      <c r="G238" s="473"/>
      <c r="H238" s="1164"/>
      <c r="I238" s="473"/>
      <c r="J238" s="473"/>
      <c r="K238" s="1164"/>
      <c r="L238" s="473"/>
      <c r="M238" s="473"/>
      <c r="N238" s="1164"/>
      <c r="O238" s="473"/>
      <c r="P238" s="473"/>
      <c r="Q238" s="1164"/>
      <c r="R238" s="473"/>
      <c r="S238" s="473"/>
      <c r="T238" s="1164"/>
      <c r="U238" s="1164"/>
      <c r="V238" s="473"/>
      <c r="W238" s="473"/>
      <c r="X238" s="1164"/>
      <c r="Y238" s="473"/>
      <c r="Z238" s="473"/>
      <c r="AA238" s="1164"/>
      <c r="AB238" s="473"/>
      <c r="AC238" s="1164"/>
      <c r="AD238" s="473"/>
      <c r="AE238" s="1164"/>
      <c r="AF238" s="473"/>
      <c r="AG238" s="1164"/>
      <c r="AH238" s="473"/>
      <c r="AI238" s="473"/>
      <c r="AJ238" s="1164"/>
      <c r="AK238" s="473"/>
      <c r="AL238" s="473"/>
      <c r="AM238" s="1164"/>
      <c r="AN238" s="473"/>
      <c r="AO238" s="473"/>
      <c r="AP238" s="1164"/>
      <c r="AQ238" s="473"/>
      <c r="AR238" s="473"/>
      <c r="AS238" s="1236"/>
      <c r="AT238" s="473"/>
      <c r="AU238" s="473"/>
      <c r="AV238" s="1164"/>
      <c r="AW238" s="1164"/>
      <c r="AX238" s="1236"/>
      <c r="AY238" s="473"/>
      <c r="AZ238" s="1236"/>
      <c r="BA238" s="473"/>
      <c r="BB238" s="473"/>
      <c r="BC238" s="1164"/>
      <c r="BD238" s="20"/>
      <c r="BE238" s="473"/>
      <c r="BF238" s="610"/>
      <c r="BG238" s="610"/>
      <c r="BH238" s="610"/>
      <c r="BI238" s="610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</row>
    <row r="239" spans="1:148" s="22" customFormat="1" x14ac:dyDescent="0.25">
      <c r="A239" s="20"/>
      <c r="B239" s="16"/>
      <c r="C239" s="473"/>
      <c r="D239" s="473"/>
      <c r="E239" s="1164"/>
      <c r="F239" s="473"/>
      <c r="G239" s="473"/>
      <c r="H239" s="1164"/>
      <c r="I239" s="473"/>
      <c r="J239" s="473"/>
      <c r="K239" s="1164"/>
      <c r="L239" s="473"/>
      <c r="M239" s="473"/>
      <c r="N239" s="1164"/>
      <c r="O239" s="473"/>
      <c r="P239" s="473"/>
      <c r="Q239" s="1164"/>
      <c r="R239" s="473"/>
      <c r="S239" s="473"/>
      <c r="T239" s="1164"/>
      <c r="U239" s="1164"/>
      <c r="V239" s="473"/>
      <c r="W239" s="473"/>
      <c r="X239" s="1164"/>
      <c r="Y239" s="473"/>
      <c r="Z239" s="473"/>
      <c r="AA239" s="1164"/>
      <c r="AB239" s="473"/>
      <c r="AC239" s="1164"/>
      <c r="AD239" s="473"/>
      <c r="AE239" s="1164"/>
      <c r="AF239" s="473"/>
      <c r="AG239" s="1164"/>
      <c r="AH239" s="473"/>
      <c r="AI239" s="473"/>
      <c r="AJ239" s="1164"/>
      <c r="AK239" s="473"/>
      <c r="AL239" s="473"/>
      <c r="AM239" s="1164"/>
      <c r="AN239" s="473"/>
      <c r="AO239" s="473"/>
      <c r="AP239" s="1164"/>
      <c r="AQ239" s="473"/>
      <c r="AR239" s="473"/>
      <c r="AS239" s="1236"/>
      <c r="AT239" s="473"/>
      <c r="AU239" s="473"/>
      <c r="AV239" s="1164"/>
      <c r="AW239" s="1164"/>
      <c r="AX239" s="1236"/>
      <c r="AY239" s="473"/>
      <c r="AZ239" s="1236"/>
      <c r="BA239" s="473"/>
      <c r="BB239" s="473"/>
      <c r="BC239" s="1164"/>
      <c r="BD239" s="20"/>
      <c r="BE239" s="473"/>
      <c r="BF239" s="610"/>
      <c r="BG239" s="610"/>
      <c r="BH239" s="610"/>
      <c r="BI239" s="610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</row>
    <row r="240" spans="1:148" s="22" customFormat="1" x14ac:dyDescent="0.25">
      <c r="A240" s="20"/>
      <c r="B240" s="16"/>
      <c r="C240" s="473"/>
      <c r="D240" s="473"/>
      <c r="E240" s="1164"/>
      <c r="F240" s="473"/>
      <c r="G240" s="473"/>
      <c r="H240" s="1164"/>
      <c r="I240" s="473"/>
      <c r="J240" s="473"/>
      <c r="K240" s="1164"/>
      <c r="L240" s="473"/>
      <c r="M240" s="473"/>
      <c r="N240" s="1164"/>
      <c r="O240" s="473"/>
      <c r="P240" s="473"/>
      <c r="Q240" s="1164"/>
      <c r="R240" s="473"/>
      <c r="S240" s="473"/>
      <c r="T240" s="1164"/>
      <c r="U240" s="1164"/>
      <c r="V240" s="473"/>
      <c r="W240" s="473"/>
      <c r="X240" s="1164"/>
      <c r="Y240" s="473"/>
      <c r="Z240" s="473"/>
      <c r="AA240" s="1164"/>
      <c r="AB240" s="473"/>
      <c r="AC240" s="1164"/>
      <c r="AD240" s="473"/>
      <c r="AE240" s="1164"/>
      <c r="AF240" s="473"/>
      <c r="AG240" s="1164"/>
      <c r="AH240" s="473"/>
      <c r="AI240" s="473"/>
      <c r="AJ240" s="1164"/>
      <c r="AK240" s="473"/>
      <c r="AL240" s="473"/>
      <c r="AM240" s="1164"/>
      <c r="AN240" s="473"/>
      <c r="AO240" s="473"/>
      <c r="AP240" s="1164"/>
      <c r="AQ240" s="473"/>
      <c r="AR240" s="473"/>
      <c r="AS240" s="1236"/>
      <c r="AT240" s="473"/>
      <c r="AU240" s="473"/>
      <c r="AV240" s="1164"/>
      <c r="AW240" s="1164"/>
      <c r="AX240" s="1236"/>
      <c r="AY240" s="473"/>
      <c r="AZ240" s="1236"/>
      <c r="BA240" s="473"/>
      <c r="BB240" s="473"/>
      <c r="BC240" s="1164"/>
      <c r="BD240" s="20"/>
      <c r="BE240" s="473"/>
      <c r="BF240" s="610"/>
      <c r="BG240" s="610"/>
      <c r="BH240" s="610"/>
      <c r="BI240" s="610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</row>
    <row r="241" spans="1:148" s="22" customFormat="1" x14ac:dyDescent="0.25">
      <c r="A241" s="20"/>
      <c r="B241" s="16"/>
      <c r="C241" s="473"/>
      <c r="D241" s="473"/>
      <c r="E241" s="1164"/>
      <c r="F241" s="473"/>
      <c r="G241" s="473"/>
      <c r="H241" s="1164"/>
      <c r="I241" s="473"/>
      <c r="J241" s="473"/>
      <c r="K241" s="1164"/>
      <c r="L241" s="473"/>
      <c r="M241" s="473"/>
      <c r="N241" s="1164"/>
      <c r="O241" s="473"/>
      <c r="P241" s="473"/>
      <c r="Q241" s="1164"/>
      <c r="R241" s="473"/>
      <c r="S241" s="473"/>
      <c r="T241" s="1164"/>
      <c r="U241" s="1164"/>
      <c r="V241" s="473"/>
      <c r="W241" s="473"/>
      <c r="X241" s="1164"/>
      <c r="Y241" s="473"/>
      <c r="Z241" s="473"/>
      <c r="AA241" s="1164"/>
      <c r="AB241" s="473"/>
      <c r="AC241" s="1164"/>
      <c r="AD241" s="473"/>
      <c r="AE241" s="1164"/>
      <c r="AF241" s="473"/>
      <c r="AG241" s="1164"/>
      <c r="AH241" s="473"/>
      <c r="AI241" s="473"/>
      <c r="AJ241" s="1164"/>
      <c r="AK241" s="473"/>
      <c r="AL241" s="473"/>
      <c r="AM241" s="1164"/>
      <c r="AN241" s="473"/>
      <c r="AO241" s="473"/>
      <c r="AP241" s="1164"/>
      <c r="AQ241" s="473"/>
      <c r="AR241" s="473"/>
      <c r="AS241" s="1236"/>
      <c r="AT241" s="473"/>
      <c r="AU241" s="473"/>
      <c r="AV241" s="1164"/>
      <c r="AW241" s="1164"/>
      <c r="AX241" s="1236"/>
      <c r="AY241" s="473"/>
      <c r="AZ241" s="1236"/>
      <c r="BA241" s="473"/>
      <c r="BB241" s="473"/>
      <c r="BC241" s="1164"/>
      <c r="BD241" s="20"/>
      <c r="BE241" s="473"/>
      <c r="BF241" s="610"/>
      <c r="BG241" s="610"/>
      <c r="BH241" s="610"/>
      <c r="BI241" s="610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</row>
    <row r="242" spans="1:148" s="22" customFormat="1" x14ac:dyDescent="0.25">
      <c r="A242" s="20"/>
      <c r="B242" s="16"/>
      <c r="C242" s="473"/>
      <c r="D242" s="473"/>
      <c r="E242" s="1164"/>
      <c r="F242" s="473"/>
      <c r="G242" s="473"/>
      <c r="H242" s="1164"/>
      <c r="I242" s="473"/>
      <c r="J242" s="473"/>
      <c r="K242" s="1164"/>
      <c r="L242" s="473"/>
      <c r="M242" s="473"/>
      <c r="N242" s="1164"/>
      <c r="O242" s="473"/>
      <c r="P242" s="473"/>
      <c r="Q242" s="1164"/>
      <c r="R242" s="473"/>
      <c r="S242" s="473"/>
      <c r="T242" s="1164"/>
      <c r="U242" s="1164"/>
      <c r="V242" s="473"/>
      <c r="W242" s="473"/>
      <c r="X242" s="1164"/>
      <c r="Y242" s="473"/>
      <c r="Z242" s="473"/>
      <c r="AA242" s="1164"/>
      <c r="AB242" s="473"/>
      <c r="AC242" s="1164"/>
      <c r="AD242" s="473"/>
      <c r="AE242" s="1164"/>
      <c r="AF242" s="473"/>
      <c r="AG242" s="1164"/>
      <c r="AH242" s="473"/>
      <c r="AI242" s="473"/>
      <c r="AJ242" s="1164"/>
      <c r="AK242" s="473"/>
      <c r="AL242" s="473"/>
      <c r="AM242" s="1164"/>
      <c r="AN242" s="473"/>
      <c r="AO242" s="473"/>
      <c r="AP242" s="1164"/>
      <c r="AQ242" s="473"/>
      <c r="AR242" s="473"/>
      <c r="AS242" s="1236"/>
      <c r="AT242" s="473"/>
      <c r="AU242" s="473"/>
      <c r="AV242" s="1164"/>
      <c r="AW242" s="1164"/>
      <c r="AX242" s="1236"/>
      <c r="AY242" s="473"/>
      <c r="AZ242" s="1236"/>
      <c r="BA242" s="473"/>
      <c r="BB242" s="473"/>
      <c r="BC242" s="1164"/>
      <c r="BD242" s="20"/>
      <c r="BE242" s="473"/>
      <c r="BF242" s="610"/>
      <c r="BG242" s="610"/>
      <c r="BH242" s="610"/>
      <c r="BI242" s="610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</row>
    <row r="243" spans="1:148" s="22" customFormat="1" x14ac:dyDescent="0.25">
      <c r="A243" s="20"/>
      <c r="B243" s="16"/>
      <c r="C243" s="473"/>
      <c r="D243" s="473"/>
      <c r="E243" s="1164"/>
      <c r="F243" s="473"/>
      <c r="G243" s="473"/>
      <c r="H243" s="1164"/>
      <c r="I243" s="473"/>
      <c r="J243" s="473"/>
      <c r="K243" s="1164"/>
      <c r="L243" s="473"/>
      <c r="M243" s="473"/>
      <c r="N243" s="1164"/>
      <c r="O243" s="473"/>
      <c r="P243" s="473"/>
      <c r="Q243" s="1164"/>
      <c r="R243" s="473"/>
      <c r="S243" s="473"/>
      <c r="T243" s="1164"/>
      <c r="U243" s="1164"/>
      <c r="V243" s="473"/>
      <c r="W243" s="473"/>
      <c r="X243" s="1164"/>
      <c r="Y243" s="473"/>
      <c r="Z243" s="473"/>
      <c r="AA243" s="1164"/>
      <c r="AB243" s="473"/>
      <c r="AC243" s="1164"/>
      <c r="AD243" s="473"/>
      <c r="AE243" s="1164"/>
      <c r="AF243" s="473"/>
      <c r="AG243" s="1164"/>
      <c r="AH243" s="473"/>
      <c r="AI243" s="473"/>
      <c r="AJ243" s="1164"/>
      <c r="AK243" s="473"/>
      <c r="AL243" s="473"/>
      <c r="AM243" s="1164"/>
      <c r="AN243" s="473"/>
      <c r="AO243" s="473"/>
      <c r="AP243" s="1164"/>
      <c r="AQ243" s="473"/>
      <c r="AR243" s="473"/>
      <c r="AS243" s="1236"/>
      <c r="AT243" s="473"/>
      <c r="AU243" s="473"/>
      <c r="AV243" s="1164"/>
      <c r="AW243" s="1164"/>
      <c r="AX243" s="1236"/>
      <c r="AY243" s="473"/>
      <c r="AZ243" s="1236"/>
      <c r="BA243" s="473"/>
      <c r="BB243" s="473"/>
      <c r="BC243" s="1164"/>
      <c r="BD243" s="20"/>
      <c r="BE243" s="473"/>
      <c r="BF243" s="610"/>
      <c r="BG243" s="610"/>
      <c r="BH243" s="610"/>
      <c r="BI243" s="610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</row>
    <row r="244" spans="1:148" s="22" customFormat="1" x14ac:dyDescent="0.25">
      <c r="A244" s="20"/>
      <c r="B244" s="16"/>
      <c r="C244" s="473"/>
      <c r="D244" s="473"/>
      <c r="E244" s="1164"/>
      <c r="F244" s="473"/>
      <c r="G244" s="473"/>
      <c r="H244" s="1164"/>
      <c r="I244" s="473"/>
      <c r="J244" s="473"/>
      <c r="K244" s="1164"/>
      <c r="L244" s="473"/>
      <c r="M244" s="473"/>
      <c r="N244" s="1164"/>
      <c r="O244" s="473"/>
      <c r="P244" s="473"/>
      <c r="Q244" s="1164"/>
      <c r="R244" s="473"/>
      <c r="S244" s="473"/>
      <c r="T244" s="1164"/>
      <c r="U244" s="1164"/>
      <c r="V244" s="473"/>
      <c r="W244" s="473"/>
      <c r="X244" s="1164"/>
      <c r="Y244" s="473"/>
      <c r="Z244" s="473"/>
      <c r="AA244" s="1164"/>
      <c r="AB244" s="473"/>
      <c r="AC244" s="1164"/>
      <c r="AD244" s="473"/>
      <c r="AE244" s="1164"/>
      <c r="AF244" s="473"/>
      <c r="AG244" s="1164"/>
      <c r="AH244" s="473"/>
      <c r="AI244" s="473"/>
      <c r="AJ244" s="1164"/>
      <c r="AK244" s="473"/>
      <c r="AL244" s="473"/>
      <c r="AM244" s="1164"/>
      <c r="AN244" s="473"/>
      <c r="AO244" s="473"/>
      <c r="AP244" s="1164"/>
      <c r="AQ244" s="473"/>
      <c r="AR244" s="473"/>
      <c r="AS244" s="1236"/>
      <c r="AT244" s="473"/>
      <c r="AU244" s="473"/>
      <c r="AV244" s="1164"/>
      <c r="AW244" s="1164"/>
      <c r="AX244" s="1236"/>
      <c r="AY244" s="473"/>
      <c r="AZ244" s="1236"/>
      <c r="BA244" s="473"/>
      <c r="BB244" s="473"/>
      <c r="BC244" s="1164"/>
      <c r="BD244" s="20"/>
      <c r="BE244" s="473"/>
      <c r="BF244" s="610"/>
      <c r="BG244" s="610"/>
      <c r="BH244" s="610"/>
      <c r="BI244" s="610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</row>
    <row r="245" spans="1:148" s="22" customFormat="1" x14ac:dyDescent="0.25">
      <c r="A245" s="20"/>
      <c r="B245" s="16"/>
      <c r="C245" s="473"/>
      <c r="D245" s="473"/>
      <c r="E245" s="1164"/>
      <c r="F245" s="473"/>
      <c r="G245" s="473"/>
      <c r="H245" s="1164"/>
      <c r="I245" s="473"/>
      <c r="J245" s="473"/>
      <c r="K245" s="1164"/>
      <c r="L245" s="473"/>
      <c r="M245" s="473"/>
      <c r="N245" s="1164"/>
      <c r="O245" s="473"/>
      <c r="P245" s="473"/>
      <c r="Q245" s="1164"/>
      <c r="R245" s="473"/>
      <c r="S245" s="473"/>
      <c r="T245" s="1164"/>
      <c r="U245" s="1164"/>
      <c r="V245" s="473"/>
      <c r="W245" s="473"/>
      <c r="X245" s="1164"/>
      <c r="Y245" s="473"/>
      <c r="Z245" s="473"/>
      <c r="AA245" s="1164"/>
      <c r="AB245" s="473"/>
      <c r="AC245" s="1164"/>
      <c r="AD245" s="473"/>
      <c r="AE245" s="1164"/>
      <c r="AF245" s="473"/>
      <c r="AG245" s="1164"/>
      <c r="AH245" s="473"/>
      <c r="AI245" s="473"/>
      <c r="AJ245" s="1164"/>
      <c r="AK245" s="473"/>
      <c r="AL245" s="473"/>
      <c r="AM245" s="1164"/>
      <c r="AN245" s="473"/>
      <c r="AO245" s="473"/>
      <c r="AP245" s="1164"/>
      <c r="AQ245" s="473"/>
      <c r="AR245" s="473"/>
      <c r="AS245" s="1236"/>
      <c r="AT245" s="473"/>
      <c r="AU245" s="473"/>
      <c r="AV245" s="1164"/>
      <c r="AW245" s="1164"/>
      <c r="AX245" s="1236"/>
      <c r="AY245" s="473"/>
      <c r="AZ245" s="1236"/>
      <c r="BA245" s="473"/>
      <c r="BB245" s="473"/>
      <c r="BC245" s="1164"/>
      <c r="BD245" s="20"/>
      <c r="BE245" s="473"/>
      <c r="BF245" s="610"/>
      <c r="BG245" s="610"/>
      <c r="BH245" s="610"/>
      <c r="BI245" s="610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</row>
    <row r="246" spans="1:148" s="22" customFormat="1" x14ac:dyDescent="0.25">
      <c r="A246" s="20"/>
      <c r="B246" s="16"/>
      <c r="C246" s="473"/>
      <c r="D246" s="473"/>
      <c r="E246" s="1164"/>
      <c r="F246" s="473"/>
      <c r="G246" s="473"/>
      <c r="H246" s="1164"/>
      <c r="I246" s="473"/>
      <c r="J246" s="473"/>
      <c r="K246" s="1164"/>
      <c r="L246" s="473"/>
      <c r="M246" s="473"/>
      <c r="N246" s="1164"/>
      <c r="O246" s="473"/>
      <c r="P246" s="473"/>
      <c r="Q246" s="1164"/>
      <c r="R246" s="473"/>
      <c r="S246" s="473"/>
      <c r="T246" s="1164"/>
      <c r="U246" s="1164"/>
      <c r="V246" s="473"/>
      <c r="W246" s="473"/>
      <c r="X246" s="1164"/>
      <c r="Y246" s="473"/>
      <c r="Z246" s="473"/>
      <c r="AA246" s="1164"/>
      <c r="AB246" s="473"/>
      <c r="AC246" s="1164"/>
      <c r="AD246" s="473"/>
      <c r="AE246" s="1164"/>
      <c r="AF246" s="473"/>
      <c r="AG246" s="1164"/>
      <c r="AH246" s="473"/>
      <c r="AI246" s="473"/>
      <c r="AJ246" s="1164"/>
      <c r="AK246" s="473"/>
      <c r="AL246" s="473"/>
      <c r="AM246" s="1164"/>
      <c r="AN246" s="473"/>
      <c r="AO246" s="473"/>
      <c r="AP246" s="1164"/>
      <c r="AQ246" s="473"/>
      <c r="AR246" s="473"/>
      <c r="AS246" s="1236"/>
      <c r="AT246" s="473"/>
      <c r="AU246" s="473"/>
      <c r="AV246" s="1164"/>
      <c r="AW246" s="1164"/>
      <c r="AX246" s="1236"/>
      <c r="AY246" s="473"/>
      <c r="AZ246" s="1236"/>
      <c r="BA246" s="473"/>
      <c r="BB246" s="473"/>
      <c r="BC246" s="1164"/>
      <c r="BD246" s="20"/>
      <c r="BE246" s="473"/>
      <c r="BF246" s="610"/>
      <c r="BG246" s="610"/>
      <c r="BH246" s="610"/>
      <c r="BI246" s="610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</row>
    <row r="247" spans="1:148" s="22" customFormat="1" x14ac:dyDescent="0.25">
      <c r="A247" s="20"/>
      <c r="B247" s="16"/>
      <c r="C247" s="473"/>
      <c r="D247" s="473"/>
      <c r="E247" s="1164"/>
      <c r="F247" s="473"/>
      <c r="G247" s="473"/>
      <c r="H247" s="1164"/>
      <c r="I247" s="473"/>
      <c r="J247" s="473"/>
      <c r="K247" s="1164"/>
      <c r="L247" s="473"/>
      <c r="M247" s="473"/>
      <c r="N247" s="1164"/>
      <c r="O247" s="473"/>
      <c r="P247" s="473"/>
      <c r="Q247" s="1164"/>
      <c r="R247" s="473"/>
      <c r="S247" s="473"/>
      <c r="T247" s="1164"/>
      <c r="U247" s="1164"/>
      <c r="V247" s="473"/>
      <c r="W247" s="473"/>
      <c r="X247" s="1164"/>
      <c r="Y247" s="473"/>
      <c r="Z247" s="473"/>
      <c r="AA247" s="1164"/>
      <c r="AB247" s="473"/>
      <c r="AC247" s="1164"/>
      <c r="AD247" s="473"/>
      <c r="AE247" s="1164"/>
      <c r="AF247" s="473"/>
      <c r="AG247" s="1164"/>
      <c r="AH247" s="473"/>
      <c r="AI247" s="473"/>
      <c r="AJ247" s="1164"/>
      <c r="AK247" s="473"/>
      <c r="AL247" s="473"/>
      <c r="AM247" s="1164"/>
      <c r="AN247" s="473"/>
      <c r="AO247" s="473"/>
      <c r="AP247" s="1164"/>
      <c r="AQ247" s="473"/>
      <c r="AR247" s="473"/>
      <c r="AS247" s="1236"/>
      <c r="AT247" s="473"/>
      <c r="AU247" s="473"/>
      <c r="AV247" s="1164"/>
      <c r="AW247" s="1164"/>
      <c r="AX247" s="1236"/>
      <c r="AY247" s="473"/>
      <c r="AZ247" s="1236"/>
      <c r="BA247" s="473"/>
      <c r="BB247" s="473"/>
      <c r="BC247" s="1164"/>
      <c r="BD247" s="20"/>
      <c r="BE247" s="473"/>
      <c r="BF247" s="610"/>
      <c r="BG247" s="610"/>
      <c r="BH247" s="610"/>
      <c r="BI247" s="610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</row>
    <row r="248" spans="1:148" s="22" customFormat="1" x14ac:dyDescent="0.25">
      <c r="A248" s="20"/>
      <c r="B248" s="16"/>
      <c r="C248" s="473"/>
      <c r="D248" s="473"/>
      <c r="E248" s="1164"/>
      <c r="F248" s="473"/>
      <c r="G248" s="473"/>
      <c r="H248" s="1164"/>
      <c r="I248" s="473"/>
      <c r="J248" s="473"/>
      <c r="K248" s="1164"/>
      <c r="L248" s="473"/>
      <c r="M248" s="473"/>
      <c r="N248" s="1164"/>
      <c r="O248" s="473"/>
      <c r="P248" s="473"/>
      <c r="Q248" s="1164"/>
      <c r="R248" s="473"/>
      <c r="S248" s="473"/>
      <c r="T248" s="1164"/>
      <c r="U248" s="1164"/>
      <c r="V248" s="473"/>
      <c r="W248" s="473"/>
      <c r="X248" s="1164"/>
      <c r="Y248" s="473"/>
      <c r="Z248" s="473"/>
      <c r="AA248" s="1164"/>
      <c r="AB248" s="473"/>
      <c r="AC248" s="1164"/>
      <c r="AD248" s="473"/>
      <c r="AE248" s="1164"/>
      <c r="AF248" s="473"/>
      <c r="AG248" s="1164"/>
      <c r="AH248" s="473"/>
      <c r="AI248" s="473"/>
      <c r="AJ248" s="1164"/>
      <c r="AK248" s="473"/>
      <c r="AL248" s="473"/>
      <c r="AM248" s="1164"/>
      <c r="AN248" s="473"/>
      <c r="AO248" s="473"/>
      <c r="AP248" s="1164"/>
      <c r="AQ248" s="473"/>
      <c r="AR248" s="473"/>
      <c r="AS248" s="1236"/>
      <c r="AT248" s="473"/>
      <c r="AU248" s="473"/>
      <c r="AV248" s="1164"/>
      <c r="AW248" s="1164"/>
      <c r="AX248" s="1236"/>
      <c r="AY248" s="473"/>
      <c r="AZ248" s="1236"/>
      <c r="BA248" s="473"/>
      <c r="BB248" s="473"/>
      <c r="BC248" s="1164"/>
      <c r="BD248" s="20"/>
      <c r="BE248" s="473"/>
      <c r="BF248" s="610"/>
      <c r="BG248" s="610"/>
      <c r="BH248" s="610"/>
      <c r="BI248" s="610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</row>
    <row r="249" spans="1:148" s="22" customFormat="1" x14ac:dyDescent="0.25">
      <c r="A249" s="20"/>
      <c r="B249" s="16"/>
      <c r="C249" s="473"/>
      <c r="D249" s="473"/>
      <c r="E249" s="1164"/>
      <c r="F249" s="473"/>
      <c r="G249" s="473"/>
      <c r="H249" s="1164"/>
      <c r="I249" s="473"/>
      <c r="J249" s="473"/>
      <c r="K249" s="1164"/>
      <c r="L249" s="473"/>
      <c r="M249" s="473"/>
      <c r="N249" s="1164"/>
      <c r="O249" s="473"/>
      <c r="P249" s="473"/>
      <c r="Q249" s="1164"/>
      <c r="R249" s="473"/>
      <c r="S249" s="473"/>
      <c r="T249" s="1164"/>
      <c r="U249" s="1164"/>
      <c r="V249" s="473"/>
      <c r="W249" s="473"/>
      <c r="X249" s="1164"/>
      <c r="Y249" s="473"/>
      <c r="Z249" s="473"/>
      <c r="AA249" s="1164"/>
      <c r="AB249" s="473"/>
      <c r="AC249" s="1164"/>
      <c r="AD249" s="473"/>
      <c r="AE249" s="1164"/>
      <c r="AF249" s="473"/>
      <c r="AG249" s="1164"/>
      <c r="AH249" s="473"/>
      <c r="AI249" s="473"/>
      <c r="AJ249" s="1164"/>
      <c r="AK249" s="473"/>
      <c r="AL249" s="473"/>
      <c r="AM249" s="1164"/>
      <c r="AN249" s="473"/>
      <c r="AO249" s="473"/>
      <c r="AP249" s="1164"/>
      <c r="AQ249" s="473"/>
      <c r="AR249" s="473"/>
      <c r="AS249" s="1236"/>
      <c r="AT249" s="473"/>
      <c r="AU249" s="473"/>
      <c r="AV249" s="1164"/>
      <c r="AW249" s="1164"/>
      <c r="AX249" s="1236"/>
      <c r="AY249" s="473"/>
      <c r="AZ249" s="1236"/>
      <c r="BA249" s="473"/>
      <c r="BB249" s="473"/>
      <c r="BC249" s="1164"/>
      <c r="BD249" s="20"/>
      <c r="BE249" s="473"/>
      <c r="BF249" s="610"/>
      <c r="BG249" s="610"/>
      <c r="BH249" s="610"/>
      <c r="BI249" s="610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</row>
    <row r="250" spans="1:148" s="22" customFormat="1" x14ac:dyDescent="0.25">
      <c r="A250" s="20"/>
      <c r="B250" s="16"/>
      <c r="C250" s="473"/>
      <c r="D250" s="473"/>
      <c r="E250" s="1164"/>
      <c r="F250" s="473"/>
      <c r="G250" s="473"/>
      <c r="H250" s="1164"/>
      <c r="I250" s="473"/>
      <c r="J250" s="473"/>
      <c r="K250" s="1164"/>
      <c r="L250" s="473"/>
      <c r="M250" s="473"/>
      <c r="N250" s="1164"/>
      <c r="O250" s="473"/>
      <c r="P250" s="473"/>
      <c r="Q250" s="1164"/>
      <c r="R250" s="473"/>
      <c r="S250" s="473"/>
      <c r="T250" s="1164"/>
      <c r="U250" s="1164"/>
      <c r="V250" s="473"/>
      <c r="W250" s="473"/>
      <c r="X250" s="1164"/>
      <c r="Y250" s="473"/>
      <c r="Z250" s="473"/>
      <c r="AA250" s="1164"/>
      <c r="AB250" s="473"/>
      <c r="AC250" s="1164"/>
      <c r="AD250" s="473"/>
      <c r="AE250" s="1164"/>
      <c r="AF250" s="473"/>
      <c r="AG250" s="1164"/>
      <c r="AH250" s="473"/>
      <c r="AI250" s="473"/>
      <c r="AJ250" s="1164"/>
      <c r="AK250" s="473"/>
      <c r="AL250" s="473"/>
      <c r="AM250" s="1164"/>
      <c r="AN250" s="473"/>
      <c r="AO250" s="473"/>
      <c r="AP250" s="1164"/>
      <c r="AQ250" s="473"/>
      <c r="AR250" s="473"/>
      <c r="AS250" s="1236"/>
      <c r="AT250" s="473"/>
      <c r="AU250" s="473"/>
      <c r="AV250" s="1164"/>
      <c r="AW250" s="1164"/>
      <c r="AX250" s="1236"/>
      <c r="AY250" s="473"/>
      <c r="AZ250" s="1236"/>
      <c r="BA250" s="473"/>
      <c r="BB250" s="473"/>
      <c r="BC250" s="1164"/>
      <c r="BD250" s="20"/>
      <c r="BE250" s="473"/>
      <c r="BF250" s="610"/>
      <c r="BG250" s="610"/>
      <c r="BH250" s="610"/>
      <c r="BI250" s="610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</row>
    <row r="251" spans="1:148" s="22" customFormat="1" x14ac:dyDescent="0.25">
      <c r="A251" s="20"/>
      <c r="B251" s="16"/>
      <c r="C251" s="473"/>
      <c r="D251" s="473"/>
      <c r="E251" s="1164"/>
      <c r="F251" s="473"/>
      <c r="G251" s="473"/>
      <c r="H251" s="1164"/>
      <c r="I251" s="473"/>
      <c r="J251" s="473"/>
      <c r="K251" s="1164"/>
      <c r="L251" s="473"/>
      <c r="M251" s="473"/>
      <c r="N251" s="1164"/>
      <c r="O251" s="473"/>
      <c r="P251" s="473"/>
      <c r="Q251" s="1164"/>
      <c r="R251" s="473"/>
      <c r="S251" s="473"/>
      <c r="T251" s="1164"/>
      <c r="U251" s="1164"/>
      <c r="V251" s="473"/>
      <c r="W251" s="473"/>
      <c r="X251" s="1164"/>
      <c r="Y251" s="473"/>
      <c r="Z251" s="473"/>
      <c r="AA251" s="1164"/>
      <c r="AB251" s="473"/>
      <c r="AC251" s="1164"/>
      <c r="AD251" s="473"/>
      <c r="AE251" s="1164"/>
      <c r="AF251" s="473"/>
      <c r="AG251" s="1164"/>
      <c r="AH251" s="473"/>
      <c r="AI251" s="473"/>
      <c r="AJ251" s="1164"/>
      <c r="AK251" s="473"/>
      <c r="AL251" s="473"/>
      <c r="AM251" s="1164"/>
      <c r="AN251" s="473"/>
      <c r="AO251" s="473"/>
      <c r="AP251" s="1164"/>
      <c r="AQ251" s="473"/>
      <c r="AR251" s="473"/>
      <c r="AS251" s="1236"/>
      <c r="AT251" s="473"/>
      <c r="AU251" s="473"/>
      <c r="AV251" s="1164"/>
      <c r="AW251" s="1164"/>
      <c r="AX251" s="1236"/>
      <c r="AY251" s="473"/>
      <c r="AZ251" s="1236"/>
      <c r="BA251" s="473"/>
      <c r="BB251" s="473"/>
      <c r="BC251" s="1164"/>
      <c r="BD251" s="20"/>
      <c r="BE251" s="473"/>
      <c r="BF251" s="610"/>
      <c r="BG251" s="610"/>
      <c r="BH251" s="610"/>
      <c r="BI251" s="610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</row>
    <row r="252" spans="1:148" s="22" customFormat="1" x14ac:dyDescent="0.25">
      <c r="A252" s="20"/>
      <c r="B252" s="16"/>
      <c r="C252" s="473"/>
      <c r="D252" s="473"/>
      <c r="E252" s="1164"/>
      <c r="F252" s="473"/>
      <c r="G252" s="473"/>
      <c r="H252" s="1164"/>
      <c r="I252" s="473"/>
      <c r="J252" s="473"/>
      <c r="K252" s="1164"/>
      <c r="L252" s="473"/>
      <c r="M252" s="473"/>
      <c r="N252" s="1164"/>
      <c r="O252" s="473"/>
      <c r="P252" s="473"/>
      <c r="Q252" s="1164"/>
      <c r="R252" s="473"/>
      <c r="S252" s="473"/>
      <c r="T252" s="1164"/>
      <c r="U252" s="1164"/>
      <c r="V252" s="473"/>
      <c r="W252" s="473"/>
      <c r="X252" s="1164"/>
      <c r="Y252" s="473"/>
      <c r="Z252" s="473"/>
      <c r="AA252" s="1164"/>
      <c r="AB252" s="473"/>
      <c r="AC252" s="1164"/>
      <c r="AD252" s="473"/>
      <c r="AE252" s="1164"/>
      <c r="AF252" s="473"/>
      <c r="AG252" s="1164"/>
      <c r="AH252" s="473"/>
      <c r="AI252" s="473"/>
      <c r="AJ252" s="1164"/>
      <c r="AK252" s="473"/>
      <c r="AL252" s="473"/>
      <c r="AM252" s="1164"/>
      <c r="AN252" s="473"/>
      <c r="AO252" s="473"/>
      <c r="AP252" s="1164"/>
      <c r="AQ252" s="473"/>
      <c r="AR252" s="473"/>
      <c r="AS252" s="1236"/>
      <c r="AT252" s="473"/>
      <c r="AU252" s="473"/>
      <c r="AV252" s="1164"/>
      <c r="AW252" s="1164"/>
      <c r="AX252" s="1236"/>
      <c r="AY252" s="473"/>
      <c r="AZ252" s="1236"/>
      <c r="BA252" s="473"/>
      <c r="BB252" s="473"/>
      <c r="BC252" s="1164"/>
      <c r="BD252" s="20"/>
      <c r="BE252" s="473"/>
      <c r="BF252" s="610"/>
      <c r="BG252" s="610"/>
      <c r="BH252" s="610"/>
      <c r="BI252" s="610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</row>
    <row r="253" spans="1:148" s="22" customFormat="1" x14ac:dyDescent="0.25">
      <c r="A253" s="20"/>
      <c r="B253" s="16"/>
      <c r="C253" s="473"/>
      <c r="D253" s="473"/>
      <c r="E253" s="1164"/>
      <c r="F253" s="473"/>
      <c r="G253" s="473"/>
      <c r="H253" s="1164"/>
      <c r="I253" s="473"/>
      <c r="J253" s="473"/>
      <c r="K253" s="1164"/>
      <c r="L253" s="473"/>
      <c r="M253" s="473"/>
      <c r="N253" s="1164"/>
      <c r="O253" s="473"/>
      <c r="P253" s="473"/>
      <c r="Q253" s="1164"/>
      <c r="R253" s="473"/>
      <c r="S253" s="473"/>
      <c r="T253" s="1164"/>
      <c r="U253" s="1164"/>
      <c r="V253" s="473"/>
      <c r="W253" s="473"/>
      <c r="X253" s="1164"/>
      <c r="Y253" s="473"/>
      <c r="Z253" s="473"/>
      <c r="AA253" s="1164"/>
      <c r="AB253" s="473"/>
      <c r="AC253" s="1164"/>
      <c r="AD253" s="473"/>
      <c r="AE253" s="1164"/>
      <c r="AF253" s="473"/>
      <c r="AG253" s="1164"/>
      <c r="AH253" s="473"/>
      <c r="AI253" s="473"/>
      <c r="AJ253" s="1164"/>
      <c r="AK253" s="473"/>
      <c r="AL253" s="473"/>
      <c r="AM253" s="1164"/>
      <c r="AN253" s="473"/>
      <c r="AO253" s="473"/>
      <c r="AP253" s="1164"/>
      <c r="AQ253" s="473"/>
      <c r="AR253" s="473"/>
      <c r="AS253" s="1236"/>
      <c r="AT253" s="473"/>
      <c r="AU253" s="473"/>
      <c r="AV253" s="1164"/>
      <c r="AW253" s="1164"/>
      <c r="AX253" s="1236"/>
      <c r="AY253" s="473"/>
      <c r="AZ253" s="1236"/>
      <c r="BA253" s="473"/>
      <c r="BB253" s="473"/>
      <c r="BC253" s="1164"/>
      <c r="BD253" s="20"/>
      <c r="BE253" s="473"/>
      <c r="BF253" s="610"/>
      <c r="BG253" s="610"/>
      <c r="BH253" s="610"/>
      <c r="BI253" s="610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</row>
    <row r="254" spans="1:148" s="22" customFormat="1" x14ac:dyDescent="0.25">
      <c r="A254" s="20"/>
      <c r="B254" s="16"/>
      <c r="C254" s="473"/>
      <c r="D254" s="473"/>
      <c r="E254" s="1164"/>
      <c r="F254" s="473"/>
      <c r="G254" s="473"/>
      <c r="H254" s="1164"/>
      <c r="I254" s="473"/>
      <c r="J254" s="473"/>
      <c r="K254" s="1164"/>
      <c r="L254" s="473"/>
      <c r="M254" s="473"/>
      <c r="N254" s="1164"/>
      <c r="O254" s="473"/>
      <c r="P254" s="473"/>
      <c r="Q254" s="1164"/>
      <c r="R254" s="473"/>
      <c r="S254" s="473"/>
      <c r="T254" s="1164"/>
      <c r="U254" s="1164"/>
      <c r="V254" s="473"/>
      <c r="W254" s="473"/>
      <c r="X254" s="1164"/>
      <c r="Y254" s="473"/>
      <c r="Z254" s="473"/>
      <c r="AA254" s="1164"/>
      <c r="AB254" s="473"/>
      <c r="AC254" s="1164"/>
      <c r="AD254" s="473"/>
      <c r="AE254" s="1164"/>
      <c r="AF254" s="473"/>
      <c r="AG254" s="1164"/>
      <c r="AH254" s="473"/>
      <c r="AI254" s="473"/>
      <c r="AJ254" s="1164"/>
      <c r="AK254" s="473"/>
      <c r="AL254" s="473"/>
      <c r="AM254" s="1164"/>
      <c r="AN254" s="473"/>
      <c r="AO254" s="473"/>
      <c r="AP254" s="1164"/>
      <c r="AQ254" s="473"/>
      <c r="AR254" s="473"/>
      <c r="AS254" s="1236"/>
      <c r="AT254" s="473"/>
      <c r="AU254" s="473"/>
      <c r="AV254" s="1164"/>
      <c r="AW254" s="1164"/>
      <c r="AX254" s="1236"/>
      <c r="AY254" s="473"/>
      <c r="AZ254" s="1236"/>
      <c r="BA254" s="473"/>
      <c r="BB254" s="473"/>
      <c r="BC254" s="1164"/>
      <c r="BD254" s="20"/>
      <c r="BE254" s="473"/>
      <c r="BF254" s="610"/>
      <c r="BG254" s="610"/>
      <c r="BH254" s="610"/>
      <c r="BI254" s="610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</row>
    <row r="255" spans="1:148" s="22" customFormat="1" x14ac:dyDescent="0.25">
      <c r="A255" s="20"/>
      <c r="B255" s="16"/>
      <c r="C255" s="473"/>
      <c r="D255" s="473"/>
      <c r="E255" s="1164"/>
      <c r="F255" s="473"/>
      <c r="G255" s="473"/>
      <c r="H255" s="1164"/>
      <c r="I255" s="473"/>
      <c r="J255" s="473"/>
      <c r="K255" s="1164"/>
      <c r="L255" s="473"/>
      <c r="M255" s="473"/>
      <c r="N255" s="1164"/>
      <c r="O255" s="473"/>
      <c r="P255" s="473"/>
      <c r="Q255" s="1164"/>
      <c r="R255" s="473"/>
      <c r="S255" s="473"/>
      <c r="T255" s="1164"/>
      <c r="U255" s="1164"/>
      <c r="V255" s="473"/>
      <c r="W255" s="473"/>
      <c r="X255" s="1164"/>
      <c r="Y255" s="473"/>
      <c r="Z255" s="473"/>
      <c r="AA255" s="1164"/>
      <c r="AB255" s="473"/>
      <c r="AC255" s="1164"/>
      <c r="AD255" s="473"/>
      <c r="AE255" s="1164"/>
      <c r="AF255" s="473"/>
      <c r="AG255" s="1164"/>
      <c r="AH255" s="473"/>
      <c r="AI255" s="473"/>
      <c r="AJ255" s="1164"/>
      <c r="AK255" s="473"/>
      <c r="AL255" s="473"/>
      <c r="AM255" s="1164"/>
      <c r="AN255" s="473"/>
      <c r="AO255" s="473"/>
      <c r="AP255" s="1164"/>
      <c r="AQ255" s="473"/>
      <c r="AR255" s="473"/>
      <c r="AS255" s="1236"/>
      <c r="AT255" s="473"/>
      <c r="AU255" s="473"/>
      <c r="AV255" s="1164"/>
      <c r="AW255" s="1164"/>
      <c r="AX255" s="1236"/>
      <c r="AY255" s="473"/>
      <c r="AZ255" s="1236"/>
      <c r="BA255" s="473"/>
      <c r="BB255" s="473"/>
      <c r="BC255" s="1164"/>
      <c r="BD255" s="20"/>
      <c r="BE255" s="473"/>
      <c r="BF255" s="610"/>
      <c r="BG255" s="610"/>
      <c r="BH255" s="610"/>
      <c r="BI255" s="610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</row>
    <row r="256" spans="1:148" s="22" customFormat="1" x14ac:dyDescent="0.25">
      <c r="A256" s="20"/>
      <c r="B256" s="16"/>
      <c r="C256" s="473"/>
      <c r="D256" s="473"/>
      <c r="E256" s="1164"/>
      <c r="F256" s="473"/>
      <c r="G256" s="473"/>
      <c r="H256" s="1164"/>
      <c r="I256" s="473"/>
      <c r="J256" s="473"/>
      <c r="K256" s="1164"/>
      <c r="L256" s="473"/>
      <c r="M256" s="473"/>
      <c r="N256" s="1164"/>
      <c r="O256" s="473"/>
      <c r="P256" s="473"/>
      <c r="Q256" s="1164"/>
      <c r="R256" s="473"/>
      <c r="S256" s="473"/>
      <c r="T256" s="1164"/>
      <c r="U256" s="1164"/>
      <c r="V256" s="473"/>
      <c r="W256" s="473"/>
      <c r="X256" s="1164"/>
      <c r="Y256" s="473"/>
      <c r="Z256" s="473"/>
      <c r="AA256" s="1164"/>
      <c r="AB256" s="473"/>
      <c r="AC256" s="1164"/>
      <c r="AD256" s="473"/>
      <c r="AE256" s="1164"/>
      <c r="AF256" s="473"/>
      <c r="AG256" s="1164"/>
      <c r="AH256" s="473"/>
      <c r="AI256" s="473"/>
      <c r="AJ256" s="1164"/>
      <c r="AK256" s="473"/>
      <c r="AL256" s="473"/>
      <c r="AM256" s="1164"/>
      <c r="AN256" s="473"/>
      <c r="AO256" s="473"/>
      <c r="AP256" s="1164"/>
      <c r="AQ256" s="473"/>
      <c r="AR256" s="473"/>
      <c r="AS256" s="1236"/>
      <c r="AT256" s="473"/>
      <c r="AU256" s="473"/>
      <c r="AV256" s="1164"/>
      <c r="AW256" s="1164"/>
      <c r="AX256" s="1236"/>
      <c r="AY256" s="473"/>
      <c r="AZ256" s="1236"/>
      <c r="BA256" s="473"/>
      <c r="BB256" s="473"/>
      <c r="BC256" s="1164"/>
      <c r="BD256" s="20"/>
      <c r="BE256" s="473"/>
      <c r="BF256" s="610"/>
      <c r="BG256" s="610"/>
      <c r="BH256" s="610"/>
      <c r="BI256" s="610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</row>
    <row r="257" spans="1:148" s="22" customFormat="1" x14ac:dyDescent="0.25">
      <c r="A257" s="20"/>
      <c r="B257" s="16"/>
      <c r="C257" s="473"/>
      <c r="D257" s="473"/>
      <c r="E257" s="1164"/>
      <c r="F257" s="473"/>
      <c r="G257" s="473"/>
      <c r="H257" s="1164"/>
      <c r="I257" s="473"/>
      <c r="J257" s="473"/>
      <c r="K257" s="1164"/>
      <c r="L257" s="473"/>
      <c r="M257" s="473"/>
      <c r="N257" s="1164"/>
      <c r="O257" s="473"/>
      <c r="P257" s="473"/>
      <c r="Q257" s="1164"/>
      <c r="R257" s="473"/>
      <c r="S257" s="473"/>
      <c r="T257" s="1164"/>
      <c r="U257" s="1164"/>
      <c r="V257" s="473"/>
      <c r="W257" s="473"/>
      <c r="X257" s="1164"/>
      <c r="Y257" s="473"/>
      <c r="Z257" s="473"/>
      <c r="AA257" s="1164"/>
      <c r="AB257" s="473"/>
      <c r="AC257" s="1164"/>
      <c r="AD257" s="473"/>
      <c r="AE257" s="1164"/>
      <c r="AF257" s="473"/>
      <c r="AG257" s="1164"/>
      <c r="AH257" s="473"/>
      <c r="AI257" s="473"/>
      <c r="AJ257" s="1164"/>
      <c r="AK257" s="473"/>
      <c r="AL257" s="473"/>
      <c r="AM257" s="1164"/>
      <c r="AN257" s="473"/>
      <c r="AO257" s="473"/>
      <c r="AP257" s="1164"/>
      <c r="AQ257" s="473"/>
      <c r="AR257" s="473"/>
      <c r="AS257" s="1236"/>
      <c r="AT257" s="473"/>
      <c r="AU257" s="473"/>
      <c r="AV257" s="1164"/>
      <c r="AW257" s="1164"/>
      <c r="AX257" s="1236"/>
      <c r="AY257" s="473"/>
      <c r="AZ257" s="1236"/>
      <c r="BA257" s="473"/>
      <c r="BB257" s="473"/>
      <c r="BC257" s="1164"/>
      <c r="BD257" s="20"/>
      <c r="BE257" s="473"/>
      <c r="BF257" s="610"/>
      <c r="BG257" s="610"/>
      <c r="BH257" s="610"/>
      <c r="BI257" s="610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</row>
    <row r="258" spans="1:148" s="22" customFormat="1" x14ac:dyDescent="0.25">
      <c r="A258" s="20"/>
      <c r="B258" s="16"/>
      <c r="C258" s="473"/>
      <c r="D258" s="473"/>
      <c r="E258" s="1164"/>
      <c r="F258" s="473"/>
      <c r="G258" s="473"/>
      <c r="H258" s="1164"/>
      <c r="I258" s="473"/>
      <c r="J258" s="473"/>
      <c r="K258" s="1164"/>
      <c r="L258" s="473"/>
      <c r="M258" s="473"/>
      <c r="N258" s="1164"/>
      <c r="O258" s="473"/>
      <c r="P258" s="473"/>
      <c r="Q258" s="1164"/>
      <c r="R258" s="473"/>
      <c r="S258" s="473"/>
      <c r="T258" s="1164"/>
      <c r="U258" s="1164"/>
      <c r="V258" s="473"/>
      <c r="W258" s="473"/>
      <c r="X258" s="1164"/>
      <c r="Y258" s="473"/>
      <c r="Z258" s="473"/>
      <c r="AA258" s="1164"/>
      <c r="AB258" s="473"/>
      <c r="AC258" s="1164"/>
      <c r="AD258" s="473"/>
      <c r="AE258" s="1164"/>
      <c r="AF258" s="473"/>
      <c r="AG258" s="1164"/>
      <c r="AH258" s="473"/>
      <c r="AI258" s="473"/>
      <c r="AJ258" s="1164"/>
      <c r="AK258" s="473"/>
      <c r="AL258" s="473"/>
      <c r="AM258" s="1164"/>
      <c r="AN258" s="473"/>
      <c r="AO258" s="473"/>
      <c r="AP258" s="1164"/>
      <c r="AQ258" s="473"/>
      <c r="AR258" s="473"/>
      <c r="AS258" s="1236"/>
      <c r="AT258" s="473"/>
      <c r="AU258" s="473"/>
      <c r="AV258" s="1164"/>
      <c r="AW258" s="1164"/>
      <c r="AX258" s="1236"/>
      <c r="AY258" s="473"/>
      <c r="AZ258" s="1236"/>
      <c r="BA258" s="473"/>
      <c r="BB258" s="473"/>
      <c r="BC258" s="1164"/>
      <c r="BD258" s="20"/>
      <c r="BE258" s="473"/>
      <c r="BF258" s="610"/>
      <c r="BG258" s="610"/>
      <c r="BH258" s="610"/>
      <c r="BI258" s="610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</row>
    <row r="259" spans="1:148" s="22" customFormat="1" x14ac:dyDescent="0.25">
      <c r="A259" s="20"/>
      <c r="B259" s="16"/>
      <c r="C259" s="473"/>
      <c r="D259" s="473"/>
      <c r="E259" s="1164"/>
      <c r="F259" s="473"/>
      <c r="G259" s="473"/>
      <c r="H259" s="1164"/>
      <c r="I259" s="473"/>
      <c r="J259" s="473"/>
      <c r="K259" s="1164"/>
      <c r="L259" s="473"/>
      <c r="M259" s="473"/>
      <c r="N259" s="1164"/>
      <c r="O259" s="473"/>
      <c r="P259" s="473"/>
      <c r="Q259" s="1164"/>
      <c r="R259" s="473"/>
      <c r="S259" s="473"/>
      <c r="T259" s="1164"/>
      <c r="U259" s="1164"/>
      <c r="V259" s="473"/>
      <c r="W259" s="473"/>
      <c r="X259" s="1164"/>
      <c r="Y259" s="473"/>
      <c r="Z259" s="473"/>
      <c r="AA259" s="1164"/>
      <c r="AB259" s="473"/>
      <c r="AC259" s="1164"/>
      <c r="AD259" s="473"/>
      <c r="AE259" s="1164"/>
      <c r="AF259" s="473"/>
      <c r="AG259" s="1164"/>
      <c r="AH259" s="473"/>
      <c r="AI259" s="473"/>
      <c r="AJ259" s="1164"/>
      <c r="AK259" s="473"/>
      <c r="AL259" s="473"/>
      <c r="AM259" s="1164"/>
      <c r="AN259" s="473"/>
      <c r="AO259" s="473"/>
      <c r="AP259" s="1164"/>
      <c r="AQ259" s="473"/>
      <c r="AR259" s="473"/>
      <c r="AS259" s="1236"/>
      <c r="AT259" s="473"/>
      <c r="AU259" s="473"/>
      <c r="AV259" s="1164"/>
      <c r="AW259" s="1164"/>
      <c r="AX259" s="1236"/>
      <c r="AY259" s="473"/>
      <c r="AZ259" s="1236"/>
      <c r="BA259" s="473"/>
      <c r="BB259" s="473"/>
      <c r="BC259" s="1164"/>
      <c r="BD259" s="20"/>
      <c r="BE259" s="473"/>
      <c r="BF259" s="610"/>
      <c r="BG259" s="610"/>
      <c r="BH259" s="610"/>
      <c r="BI259" s="610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</row>
    <row r="260" spans="1:148" s="22" customFormat="1" x14ac:dyDescent="0.25">
      <c r="A260" s="20"/>
      <c r="B260" s="16"/>
      <c r="C260" s="473"/>
      <c r="D260" s="473"/>
      <c r="E260" s="1164"/>
      <c r="F260" s="473"/>
      <c r="G260" s="473"/>
      <c r="H260" s="1164"/>
      <c r="I260" s="473"/>
      <c r="J260" s="473"/>
      <c r="K260" s="1164"/>
      <c r="L260" s="473"/>
      <c r="M260" s="473"/>
      <c r="N260" s="1164"/>
      <c r="O260" s="473"/>
      <c r="P260" s="473"/>
      <c r="Q260" s="1164"/>
      <c r="R260" s="473"/>
      <c r="S260" s="473"/>
      <c r="T260" s="1164"/>
      <c r="U260" s="1164"/>
      <c r="V260" s="473"/>
      <c r="W260" s="473"/>
      <c r="X260" s="1164"/>
      <c r="Y260" s="473"/>
      <c r="Z260" s="473"/>
      <c r="AA260" s="1164"/>
      <c r="AB260" s="473"/>
      <c r="AC260" s="1164"/>
      <c r="AD260" s="473"/>
      <c r="AE260" s="1164"/>
      <c r="AF260" s="473"/>
      <c r="AG260" s="1164"/>
      <c r="AH260" s="473"/>
      <c r="AI260" s="473"/>
      <c r="AJ260" s="1164"/>
      <c r="AK260" s="473"/>
      <c r="AL260" s="473"/>
      <c r="AM260" s="1164"/>
      <c r="AN260" s="473"/>
      <c r="AO260" s="473"/>
      <c r="AP260" s="1164"/>
      <c r="AQ260" s="473"/>
      <c r="AR260" s="473"/>
      <c r="AS260" s="1236"/>
      <c r="AT260" s="473"/>
      <c r="AU260" s="473"/>
      <c r="AV260" s="1164"/>
      <c r="AW260" s="1164"/>
      <c r="AX260" s="1236"/>
      <c r="AY260" s="473"/>
      <c r="AZ260" s="1236"/>
      <c r="BA260" s="473"/>
      <c r="BB260" s="473"/>
      <c r="BC260" s="1164"/>
      <c r="BD260" s="20"/>
      <c r="BE260" s="473"/>
      <c r="BF260" s="610"/>
      <c r="BG260" s="610"/>
      <c r="BH260" s="610"/>
      <c r="BI260" s="610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</row>
    <row r="261" spans="1:148" s="22" customFormat="1" x14ac:dyDescent="0.25">
      <c r="A261" s="20"/>
      <c r="B261" s="16"/>
      <c r="C261" s="473"/>
      <c r="D261" s="473"/>
      <c r="E261" s="1164"/>
      <c r="F261" s="473"/>
      <c r="G261" s="473"/>
      <c r="H261" s="1164"/>
      <c r="I261" s="473"/>
      <c r="J261" s="473"/>
      <c r="K261" s="1164"/>
      <c r="L261" s="473"/>
      <c r="M261" s="473"/>
      <c r="N261" s="1164"/>
      <c r="O261" s="473"/>
      <c r="P261" s="473"/>
      <c r="Q261" s="1164"/>
      <c r="R261" s="473"/>
      <c r="S261" s="473"/>
      <c r="T261" s="1164"/>
      <c r="U261" s="1164"/>
      <c r="V261" s="473"/>
      <c r="W261" s="473"/>
      <c r="X261" s="1164"/>
      <c r="Y261" s="473"/>
      <c r="Z261" s="473"/>
      <c r="AA261" s="1164"/>
      <c r="AB261" s="473"/>
      <c r="AC261" s="1164"/>
      <c r="AD261" s="473"/>
      <c r="AE261" s="1164"/>
      <c r="AF261" s="473"/>
      <c r="AG261" s="1164"/>
      <c r="AH261" s="473"/>
      <c r="AI261" s="473"/>
      <c r="AJ261" s="1164"/>
      <c r="AK261" s="473"/>
      <c r="AL261" s="473"/>
      <c r="AM261" s="1164"/>
      <c r="AN261" s="473"/>
      <c r="AO261" s="473"/>
      <c r="AP261" s="1164"/>
      <c r="AQ261" s="473"/>
      <c r="AR261" s="473"/>
      <c r="AS261" s="1236"/>
      <c r="AT261" s="473"/>
      <c r="AU261" s="473"/>
      <c r="AV261" s="1164"/>
      <c r="AW261" s="1164"/>
      <c r="AX261" s="1236"/>
      <c r="AY261" s="473"/>
      <c r="AZ261" s="1236"/>
      <c r="BA261" s="473"/>
      <c r="BB261" s="473"/>
      <c r="BC261" s="1164"/>
      <c r="BD261" s="20"/>
      <c r="BE261" s="473"/>
      <c r="BF261" s="610"/>
      <c r="BG261" s="610"/>
      <c r="BH261" s="610"/>
      <c r="BI261" s="610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</row>
    <row r="262" spans="1:148" s="22" customFormat="1" x14ac:dyDescent="0.25">
      <c r="A262" s="20"/>
      <c r="B262" s="16"/>
      <c r="C262" s="473"/>
      <c r="D262" s="473"/>
      <c r="E262" s="1164"/>
      <c r="F262" s="473"/>
      <c r="G262" s="473"/>
      <c r="H262" s="1164"/>
      <c r="I262" s="473"/>
      <c r="J262" s="473"/>
      <c r="K262" s="1164"/>
      <c r="L262" s="473"/>
      <c r="M262" s="473"/>
      <c r="N262" s="1164"/>
      <c r="O262" s="473"/>
      <c r="P262" s="473"/>
      <c r="Q262" s="1164"/>
      <c r="R262" s="473"/>
      <c r="S262" s="473"/>
      <c r="T262" s="1164"/>
      <c r="U262" s="1164"/>
      <c r="V262" s="473"/>
      <c r="W262" s="473"/>
      <c r="X262" s="1164"/>
      <c r="Y262" s="473"/>
      <c r="Z262" s="473"/>
      <c r="AA262" s="1164"/>
      <c r="AB262" s="473"/>
      <c r="AC262" s="1164"/>
      <c r="AD262" s="473"/>
      <c r="AE262" s="1164"/>
      <c r="AF262" s="473"/>
      <c r="AG262" s="1164"/>
      <c r="AH262" s="473"/>
      <c r="AI262" s="473"/>
      <c r="AJ262" s="1164"/>
      <c r="AK262" s="473"/>
      <c r="AL262" s="473"/>
      <c r="AM262" s="1164"/>
      <c r="AN262" s="473"/>
      <c r="AO262" s="473"/>
      <c r="AP262" s="1164"/>
      <c r="AQ262" s="473"/>
      <c r="AR262" s="473"/>
      <c r="AS262" s="1236"/>
      <c r="AT262" s="473"/>
      <c r="AU262" s="473"/>
      <c r="AV262" s="1164"/>
      <c r="AW262" s="1164"/>
      <c r="AX262" s="1236"/>
      <c r="AY262" s="473"/>
      <c r="AZ262" s="1236"/>
      <c r="BA262" s="473"/>
      <c r="BB262" s="473"/>
      <c r="BC262" s="1164"/>
      <c r="BD262" s="20"/>
      <c r="BE262" s="473"/>
      <c r="BF262" s="610"/>
      <c r="BG262" s="610"/>
      <c r="BH262" s="610"/>
      <c r="BI262" s="610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</row>
    <row r="263" spans="1:148" s="22" customFormat="1" x14ac:dyDescent="0.25">
      <c r="A263" s="20"/>
      <c r="B263" s="16"/>
      <c r="C263" s="473"/>
      <c r="D263" s="473"/>
      <c r="E263" s="1164"/>
      <c r="F263" s="473"/>
      <c r="G263" s="473"/>
      <c r="H263" s="1164"/>
      <c r="I263" s="473"/>
      <c r="J263" s="473"/>
      <c r="K263" s="1164"/>
      <c r="L263" s="473"/>
      <c r="M263" s="473"/>
      <c r="N263" s="1164"/>
      <c r="O263" s="473"/>
      <c r="P263" s="473"/>
      <c r="Q263" s="1164"/>
      <c r="R263" s="473"/>
      <c r="S263" s="473"/>
      <c r="T263" s="1164"/>
      <c r="U263" s="1164"/>
      <c r="V263" s="473"/>
      <c r="W263" s="473"/>
      <c r="X263" s="1164"/>
      <c r="Y263" s="473"/>
      <c r="Z263" s="473"/>
      <c r="AA263" s="1164"/>
      <c r="AB263" s="473"/>
      <c r="AC263" s="1164"/>
      <c r="AD263" s="473"/>
      <c r="AE263" s="1164"/>
      <c r="AF263" s="473"/>
      <c r="AG263" s="1164"/>
      <c r="AH263" s="473"/>
      <c r="AI263" s="473"/>
      <c r="AJ263" s="1164"/>
      <c r="AK263" s="473"/>
      <c r="AL263" s="473"/>
      <c r="AM263" s="1164"/>
      <c r="AN263" s="473"/>
      <c r="AO263" s="473"/>
      <c r="AP263" s="1164"/>
      <c r="AQ263" s="473"/>
      <c r="AR263" s="473"/>
      <c r="AS263" s="1236"/>
      <c r="AT263" s="473"/>
      <c r="AU263" s="473"/>
      <c r="AV263" s="1164"/>
      <c r="AW263" s="1164"/>
      <c r="AX263" s="1236"/>
      <c r="AY263" s="473"/>
      <c r="AZ263" s="1236"/>
      <c r="BA263" s="473"/>
      <c r="BB263" s="473"/>
      <c r="BC263" s="1164"/>
      <c r="BD263" s="20"/>
      <c r="BE263" s="473"/>
      <c r="BF263" s="610"/>
      <c r="BG263" s="610"/>
      <c r="BH263" s="610"/>
      <c r="BI263" s="610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</row>
    <row r="264" spans="1:148" s="22" customFormat="1" x14ac:dyDescent="0.25">
      <c r="A264" s="20"/>
      <c r="B264" s="16"/>
      <c r="C264" s="473"/>
      <c r="D264" s="473"/>
      <c r="E264" s="1164"/>
      <c r="F264" s="473"/>
      <c r="G264" s="473"/>
      <c r="H264" s="1164"/>
      <c r="I264" s="473"/>
      <c r="J264" s="473"/>
      <c r="K264" s="1164"/>
      <c r="L264" s="473"/>
      <c r="M264" s="473"/>
      <c r="N264" s="1164"/>
      <c r="O264" s="473"/>
      <c r="P264" s="473"/>
      <c r="Q264" s="1164"/>
      <c r="R264" s="473"/>
      <c r="S264" s="473"/>
      <c r="T264" s="1164"/>
      <c r="U264" s="1164"/>
      <c r="V264" s="473"/>
      <c r="W264" s="473"/>
      <c r="X264" s="1164"/>
      <c r="Y264" s="473"/>
      <c r="Z264" s="473"/>
      <c r="AA264" s="1164"/>
      <c r="AB264" s="473"/>
      <c r="AC264" s="1164"/>
      <c r="AD264" s="473"/>
      <c r="AE264" s="1164"/>
      <c r="AF264" s="473"/>
      <c r="AG264" s="1164"/>
      <c r="AH264" s="473"/>
      <c r="AI264" s="473"/>
      <c r="AJ264" s="1164"/>
      <c r="AK264" s="473"/>
      <c r="AL264" s="473"/>
      <c r="AM264" s="1164"/>
      <c r="AN264" s="473"/>
      <c r="AO264" s="473"/>
      <c r="AP264" s="1164"/>
      <c r="AQ264" s="473"/>
      <c r="AR264" s="473"/>
      <c r="AS264" s="1236"/>
      <c r="AT264" s="473"/>
      <c r="AU264" s="473"/>
      <c r="AV264" s="1164"/>
      <c r="AW264" s="1164"/>
      <c r="AX264" s="1236"/>
      <c r="AY264" s="473"/>
      <c r="AZ264" s="1236"/>
      <c r="BA264" s="473"/>
      <c r="BB264" s="473"/>
      <c r="BC264" s="1164"/>
      <c r="BD264" s="20"/>
      <c r="BE264" s="473"/>
      <c r="BF264" s="610"/>
      <c r="BG264" s="610"/>
      <c r="BH264" s="610"/>
      <c r="BI264" s="610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</row>
    <row r="265" spans="1:148" s="22" customFormat="1" x14ac:dyDescent="0.25">
      <c r="A265" s="20"/>
      <c r="B265" s="16"/>
      <c r="C265" s="473"/>
      <c r="D265" s="473"/>
      <c r="E265" s="1164"/>
      <c r="F265" s="473"/>
      <c r="G265" s="473"/>
      <c r="H265" s="1164"/>
      <c r="I265" s="473"/>
      <c r="J265" s="473"/>
      <c r="K265" s="1164"/>
      <c r="L265" s="473"/>
      <c r="M265" s="473"/>
      <c r="N265" s="1164"/>
      <c r="O265" s="473"/>
      <c r="P265" s="473"/>
      <c r="Q265" s="1164"/>
      <c r="R265" s="473"/>
      <c r="S265" s="473"/>
      <c r="T265" s="1164"/>
      <c r="U265" s="1164"/>
      <c r="V265" s="473"/>
      <c r="W265" s="473"/>
      <c r="X265" s="1164"/>
      <c r="Y265" s="473"/>
      <c r="Z265" s="473"/>
      <c r="AA265" s="1164"/>
      <c r="AB265" s="473"/>
      <c r="AC265" s="1164"/>
      <c r="AD265" s="473"/>
      <c r="AE265" s="1164"/>
      <c r="AF265" s="473"/>
      <c r="AG265" s="1164"/>
      <c r="AH265" s="473"/>
      <c r="AI265" s="473"/>
      <c r="AJ265" s="1164"/>
      <c r="AK265" s="473"/>
      <c r="AL265" s="473"/>
      <c r="AM265" s="1164"/>
      <c r="AN265" s="473"/>
      <c r="AO265" s="473"/>
      <c r="AP265" s="1164"/>
      <c r="AQ265" s="473"/>
      <c r="AR265" s="473"/>
      <c r="AS265" s="1236"/>
      <c r="AT265" s="473"/>
      <c r="AU265" s="473"/>
      <c r="AV265" s="1164"/>
      <c r="AW265" s="1164"/>
      <c r="AX265" s="1236"/>
      <c r="AY265" s="473"/>
      <c r="AZ265" s="1236"/>
      <c r="BA265" s="473"/>
      <c r="BB265" s="473"/>
      <c r="BC265" s="1164"/>
      <c r="BD265" s="20"/>
      <c r="BE265" s="473"/>
      <c r="BF265" s="610"/>
      <c r="BG265" s="610"/>
      <c r="BH265" s="610"/>
      <c r="BI265" s="610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</row>
    <row r="266" spans="1:148" s="22" customFormat="1" x14ac:dyDescent="0.25">
      <c r="A266" s="20"/>
      <c r="B266" s="16"/>
      <c r="C266" s="473"/>
      <c r="D266" s="473"/>
      <c r="E266" s="1164"/>
      <c r="F266" s="473"/>
      <c r="G266" s="473"/>
      <c r="H266" s="1164"/>
      <c r="I266" s="473"/>
      <c r="J266" s="473"/>
      <c r="K266" s="1164"/>
      <c r="L266" s="473"/>
      <c r="M266" s="473"/>
      <c r="N266" s="1164"/>
      <c r="O266" s="473"/>
      <c r="P266" s="473"/>
      <c r="Q266" s="1164"/>
      <c r="R266" s="473"/>
      <c r="S266" s="473"/>
      <c r="T266" s="1164"/>
      <c r="U266" s="1164"/>
      <c r="V266" s="473"/>
      <c r="W266" s="473"/>
      <c r="X266" s="1164"/>
      <c r="Y266" s="473"/>
      <c r="Z266" s="473"/>
      <c r="AA266" s="1164"/>
      <c r="AB266" s="473"/>
      <c r="AC266" s="1164"/>
      <c r="AD266" s="473"/>
      <c r="AE266" s="1164"/>
      <c r="AF266" s="473"/>
      <c r="AG266" s="1164"/>
      <c r="AH266" s="473"/>
      <c r="AI266" s="473"/>
      <c r="AJ266" s="1164"/>
      <c r="AK266" s="473"/>
      <c r="AL266" s="473"/>
      <c r="AM266" s="1164"/>
      <c r="AN266" s="473"/>
      <c r="AO266" s="473"/>
      <c r="AP266" s="1164"/>
      <c r="AQ266" s="473"/>
      <c r="AR266" s="473"/>
      <c r="AS266" s="1236"/>
      <c r="AT266" s="473"/>
      <c r="AU266" s="473"/>
      <c r="AV266" s="1164"/>
      <c r="AW266" s="1164"/>
      <c r="AX266" s="1236"/>
      <c r="AY266" s="473"/>
      <c r="AZ266" s="1236"/>
      <c r="BA266" s="473"/>
      <c r="BB266" s="473"/>
      <c r="BC266" s="1164"/>
      <c r="BD266" s="20"/>
      <c r="BE266" s="473"/>
      <c r="BF266" s="610"/>
      <c r="BG266" s="610"/>
      <c r="BH266" s="610"/>
      <c r="BI266" s="610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</row>
    <row r="267" spans="1:148" s="22" customFormat="1" x14ac:dyDescent="0.25">
      <c r="A267" s="20"/>
      <c r="B267" s="16"/>
      <c r="C267" s="473"/>
      <c r="D267" s="473"/>
      <c r="E267" s="1164"/>
      <c r="F267" s="473"/>
      <c r="G267" s="473"/>
      <c r="H267" s="1164"/>
      <c r="I267" s="473"/>
      <c r="J267" s="473"/>
      <c r="K267" s="1164"/>
      <c r="L267" s="473"/>
      <c r="M267" s="473"/>
      <c r="N267" s="1164"/>
      <c r="O267" s="473"/>
      <c r="P267" s="473"/>
      <c r="Q267" s="1164"/>
      <c r="R267" s="473"/>
      <c r="S267" s="473"/>
      <c r="T267" s="1164"/>
      <c r="U267" s="1164"/>
      <c r="V267" s="473"/>
      <c r="W267" s="473"/>
      <c r="X267" s="1164"/>
      <c r="Y267" s="473"/>
      <c r="Z267" s="473"/>
      <c r="AA267" s="1164"/>
      <c r="AB267" s="473"/>
      <c r="AC267" s="1164"/>
      <c r="AD267" s="473"/>
      <c r="AE267" s="1164"/>
      <c r="AF267" s="473"/>
      <c r="AG267" s="1164"/>
      <c r="AH267" s="473"/>
      <c r="AI267" s="473"/>
      <c r="AJ267" s="1164"/>
      <c r="AK267" s="473"/>
      <c r="AL267" s="473"/>
      <c r="AM267" s="1164"/>
      <c r="AN267" s="473"/>
      <c r="AO267" s="473"/>
      <c r="AP267" s="1164"/>
      <c r="AQ267" s="473"/>
      <c r="AR267" s="473"/>
      <c r="AS267" s="1236"/>
      <c r="AT267" s="473"/>
      <c r="AU267" s="473"/>
      <c r="AV267" s="1164"/>
      <c r="AW267" s="1164"/>
      <c r="AX267" s="1236"/>
      <c r="AY267" s="473"/>
      <c r="AZ267" s="1236"/>
      <c r="BA267" s="473"/>
      <c r="BB267" s="473"/>
      <c r="BC267" s="1164"/>
      <c r="BD267" s="20"/>
      <c r="BE267" s="473"/>
      <c r="BF267" s="610"/>
      <c r="BG267" s="610"/>
      <c r="BH267" s="610"/>
      <c r="BI267" s="610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</row>
    <row r="268" spans="1:148" s="22" customFormat="1" x14ac:dyDescent="0.25">
      <c r="A268" s="20"/>
      <c r="B268" s="16"/>
      <c r="C268" s="473"/>
      <c r="D268" s="473"/>
      <c r="E268" s="1164"/>
      <c r="F268" s="473"/>
      <c r="G268" s="473"/>
      <c r="H268" s="1164"/>
      <c r="I268" s="473"/>
      <c r="J268" s="473"/>
      <c r="K268" s="1164"/>
      <c r="L268" s="473"/>
      <c r="M268" s="473"/>
      <c r="N268" s="1164"/>
      <c r="O268" s="473"/>
      <c r="P268" s="473"/>
      <c r="Q268" s="1164"/>
      <c r="R268" s="473"/>
      <c r="S268" s="473"/>
      <c r="T268" s="1164"/>
      <c r="U268" s="1164"/>
      <c r="V268" s="473"/>
      <c r="W268" s="473"/>
      <c r="X268" s="1164"/>
      <c r="Y268" s="473"/>
      <c r="Z268" s="473"/>
      <c r="AA268" s="1164"/>
      <c r="AB268" s="473"/>
      <c r="AC268" s="1164"/>
      <c r="AD268" s="473"/>
      <c r="AE268" s="1164"/>
      <c r="AF268" s="473"/>
      <c r="AG268" s="1164"/>
      <c r="AH268" s="473"/>
      <c r="AI268" s="473"/>
      <c r="AJ268" s="1164"/>
      <c r="AK268" s="473"/>
      <c r="AL268" s="473"/>
      <c r="AM268" s="1164"/>
      <c r="AN268" s="473"/>
      <c r="AO268" s="473"/>
      <c r="AP268" s="1164"/>
      <c r="AQ268" s="473"/>
      <c r="AR268" s="473"/>
      <c r="AS268" s="1236"/>
      <c r="AT268" s="473"/>
      <c r="AU268" s="473"/>
      <c r="AV268" s="1164"/>
      <c r="AW268" s="1164"/>
      <c r="AX268" s="1236"/>
      <c r="AY268" s="473"/>
      <c r="AZ268" s="1236"/>
      <c r="BA268" s="473"/>
      <c r="BB268" s="473"/>
      <c r="BC268" s="1164"/>
      <c r="BD268" s="20"/>
      <c r="BE268" s="473"/>
      <c r="BF268" s="610"/>
      <c r="BG268" s="610"/>
      <c r="BH268" s="610"/>
      <c r="BI268" s="610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</row>
    <row r="269" spans="1:148" s="22" customFormat="1" x14ac:dyDescent="0.25">
      <c r="A269" s="20"/>
      <c r="B269" s="16"/>
      <c r="C269" s="473"/>
      <c r="D269" s="473"/>
      <c r="E269" s="1164"/>
      <c r="F269" s="473"/>
      <c r="G269" s="473"/>
      <c r="H269" s="1164"/>
      <c r="I269" s="473"/>
      <c r="J269" s="473"/>
      <c r="K269" s="1164"/>
      <c r="L269" s="473"/>
      <c r="M269" s="473"/>
      <c r="N269" s="1164"/>
      <c r="O269" s="473"/>
      <c r="P269" s="473"/>
      <c r="Q269" s="1164"/>
      <c r="R269" s="473"/>
      <c r="S269" s="473"/>
      <c r="T269" s="1164"/>
      <c r="U269" s="1164"/>
      <c r="V269" s="473"/>
      <c r="W269" s="473"/>
      <c r="X269" s="1164"/>
      <c r="Y269" s="473"/>
      <c r="Z269" s="473"/>
      <c r="AA269" s="1164"/>
      <c r="AB269" s="473"/>
      <c r="AC269" s="1164"/>
      <c r="AD269" s="473"/>
      <c r="AE269" s="1164"/>
      <c r="AF269" s="473"/>
      <c r="AG269" s="1164"/>
      <c r="AH269" s="473"/>
      <c r="AI269" s="473"/>
      <c r="AJ269" s="1164"/>
      <c r="AK269" s="473"/>
      <c r="AL269" s="473"/>
      <c r="AM269" s="1164"/>
      <c r="AN269" s="473"/>
      <c r="AO269" s="473"/>
      <c r="AP269" s="1164"/>
      <c r="AQ269" s="473"/>
      <c r="AR269" s="473"/>
      <c r="AS269" s="1236"/>
      <c r="AT269" s="473"/>
      <c r="AU269" s="473"/>
      <c r="AV269" s="1164"/>
      <c r="AW269" s="1164"/>
      <c r="AX269" s="1236"/>
      <c r="AY269" s="473"/>
      <c r="AZ269" s="1236"/>
      <c r="BA269" s="473"/>
      <c r="BB269" s="473"/>
      <c r="BC269" s="1164"/>
      <c r="BD269" s="20"/>
      <c r="BE269" s="473"/>
      <c r="BF269" s="610"/>
      <c r="BG269" s="610"/>
      <c r="BH269" s="610"/>
      <c r="BI269" s="610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</row>
    <row r="270" spans="1:148" s="22" customFormat="1" x14ac:dyDescent="0.25">
      <c r="A270" s="20"/>
      <c r="B270" s="16"/>
      <c r="C270" s="473"/>
      <c r="D270" s="473"/>
      <c r="E270" s="1164"/>
      <c r="F270" s="473"/>
      <c r="G270" s="473"/>
      <c r="H270" s="1164"/>
      <c r="I270" s="473"/>
      <c r="J270" s="473"/>
      <c r="K270" s="1164"/>
      <c r="L270" s="473"/>
      <c r="M270" s="473"/>
      <c r="N270" s="1164"/>
      <c r="O270" s="473"/>
      <c r="P270" s="473"/>
      <c r="Q270" s="1164"/>
      <c r="R270" s="473"/>
      <c r="S270" s="473"/>
      <c r="T270" s="1164"/>
      <c r="U270" s="1164"/>
      <c r="V270" s="473"/>
      <c r="W270" s="473"/>
      <c r="X270" s="1164"/>
      <c r="Y270" s="473"/>
      <c r="Z270" s="473"/>
      <c r="AA270" s="1164"/>
      <c r="AB270" s="473"/>
      <c r="AC270" s="1164"/>
      <c r="AD270" s="473"/>
      <c r="AE270" s="1164"/>
      <c r="AF270" s="473"/>
      <c r="AG270" s="1164"/>
      <c r="AH270" s="473"/>
      <c r="AI270" s="473"/>
      <c r="AJ270" s="1164"/>
      <c r="AK270" s="473"/>
      <c r="AL270" s="473"/>
      <c r="AM270" s="1164"/>
      <c r="AN270" s="473"/>
      <c r="AO270" s="473"/>
      <c r="AP270" s="1164"/>
      <c r="AQ270" s="473"/>
      <c r="AR270" s="473"/>
      <c r="AS270" s="1236"/>
      <c r="AT270" s="473"/>
      <c r="AU270" s="473"/>
      <c r="AV270" s="1164"/>
      <c r="AW270" s="1164"/>
      <c r="AX270" s="1236"/>
      <c r="AY270" s="473"/>
      <c r="AZ270" s="1236"/>
      <c r="BA270" s="473"/>
      <c r="BB270" s="473"/>
      <c r="BC270" s="1164"/>
      <c r="BD270" s="20"/>
      <c r="BE270" s="473"/>
      <c r="BF270" s="610"/>
      <c r="BG270" s="610"/>
      <c r="BH270" s="610"/>
      <c r="BI270" s="610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</row>
    <row r="271" spans="1:148" s="22" customFormat="1" x14ac:dyDescent="0.25">
      <c r="A271" s="20"/>
      <c r="B271" s="16"/>
      <c r="C271" s="473"/>
      <c r="D271" s="473"/>
      <c r="E271" s="1164"/>
      <c r="F271" s="473"/>
      <c r="G271" s="473"/>
      <c r="H271" s="1164"/>
      <c r="I271" s="473"/>
      <c r="J271" s="473"/>
      <c r="K271" s="1164"/>
      <c r="L271" s="473"/>
      <c r="M271" s="473"/>
      <c r="N271" s="1164"/>
      <c r="O271" s="473"/>
      <c r="P271" s="473"/>
      <c r="Q271" s="1164"/>
      <c r="R271" s="473"/>
      <c r="S271" s="473"/>
      <c r="T271" s="1164"/>
      <c r="U271" s="1164"/>
      <c r="V271" s="473"/>
      <c r="W271" s="473"/>
      <c r="X271" s="1164"/>
      <c r="Y271" s="473"/>
      <c r="Z271" s="473"/>
      <c r="AA271" s="1164"/>
      <c r="AB271" s="473"/>
      <c r="AC271" s="1164"/>
      <c r="AD271" s="473"/>
      <c r="AE271" s="1164"/>
      <c r="AF271" s="473"/>
      <c r="AG271" s="1164"/>
      <c r="AH271" s="473"/>
      <c r="AI271" s="473"/>
      <c r="AJ271" s="1164"/>
      <c r="AK271" s="473"/>
      <c r="AL271" s="473"/>
      <c r="AM271" s="1164"/>
      <c r="AN271" s="473"/>
      <c r="AO271" s="473"/>
      <c r="AP271" s="1164"/>
      <c r="AQ271" s="473"/>
      <c r="AR271" s="473"/>
      <c r="AS271" s="1236"/>
      <c r="AT271" s="473"/>
      <c r="AU271" s="473"/>
      <c r="AV271" s="1164"/>
      <c r="AW271" s="1164"/>
      <c r="AX271" s="1236"/>
      <c r="AY271" s="473"/>
      <c r="AZ271" s="1236"/>
      <c r="BA271" s="473"/>
      <c r="BB271" s="473"/>
      <c r="BC271" s="1164"/>
      <c r="BD271" s="20"/>
      <c r="BE271" s="473"/>
      <c r="BF271" s="610"/>
      <c r="BG271" s="610"/>
      <c r="BH271" s="610"/>
      <c r="BI271" s="610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</row>
    <row r="272" spans="1:148" s="22" customFormat="1" x14ac:dyDescent="0.25">
      <c r="A272" s="20"/>
      <c r="B272" s="16"/>
      <c r="C272" s="473"/>
      <c r="D272" s="473"/>
      <c r="E272" s="1164"/>
      <c r="F272" s="473"/>
      <c r="G272" s="473"/>
      <c r="H272" s="1164"/>
      <c r="I272" s="473"/>
      <c r="J272" s="473"/>
      <c r="K272" s="1164"/>
      <c r="L272" s="473"/>
      <c r="M272" s="473"/>
      <c r="N272" s="1164"/>
      <c r="O272" s="473"/>
      <c r="P272" s="473"/>
      <c r="Q272" s="1164"/>
      <c r="R272" s="473"/>
      <c r="S272" s="473"/>
      <c r="T272" s="1164"/>
      <c r="U272" s="1164"/>
      <c r="V272" s="473"/>
      <c r="W272" s="473"/>
      <c r="X272" s="1164"/>
      <c r="Y272" s="473"/>
      <c r="Z272" s="473"/>
      <c r="AA272" s="1164"/>
      <c r="AB272" s="473"/>
      <c r="AC272" s="1164"/>
      <c r="AD272" s="473"/>
      <c r="AE272" s="1164"/>
      <c r="AF272" s="473"/>
      <c r="AG272" s="1164"/>
      <c r="AH272" s="473"/>
      <c r="AI272" s="473"/>
      <c r="AJ272" s="1164"/>
      <c r="AK272" s="473"/>
      <c r="AL272" s="473"/>
      <c r="AM272" s="1164"/>
      <c r="AN272" s="473"/>
      <c r="AO272" s="473"/>
      <c r="AP272" s="1164"/>
      <c r="AQ272" s="473"/>
      <c r="AR272" s="473"/>
      <c r="AS272" s="1236"/>
      <c r="AT272" s="473"/>
      <c r="AU272" s="473"/>
      <c r="AV272" s="1164"/>
      <c r="AW272" s="1164"/>
      <c r="AX272" s="1236"/>
      <c r="AY272" s="473"/>
      <c r="AZ272" s="1236"/>
      <c r="BA272" s="473"/>
      <c r="BB272" s="473"/>
      <c r="BC272" s="1164"/>
      <c r="BD272" s="20"/>
      <c r="BE272" s="473"/>
      <c r="BF272" s="610"/>
      <c r="BG272" s="610"/>
      <c r="BH272" s="610"/>
      <c r="BI272" s="610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</row>
    <row r="273" spans="1:148" s="22" customFormat="1" x14ac:dyDescent="0.25">
      <c r="A273" s="20"/>
      <c r="B273" s="16"/>
      <c r="C273" s="473"/>
      <c r="D273" s="473"/>
      <c r="E273" s="1164"/>
      <c r="F273" s="473"/>
      <c r="G273" s="473"/>
      <c r="H273" s="1164"/>
      <c r="I273" s="473"/>
      <c r="J273" s="473"/>
      <c r="K273" s="1164"/>
      <c r="L273" s="473"/>
      <c r="M273" s="473"/>
      <c r="N273" s="1164"/>
      <c r="O273" s="473"/>
      <c r="P273" s="473"/>
      <c r="Q273" s="1164"/>
      <c r="R273" s="473"/>
      <c r="S273" s="473"/>
      <c r="T273" s="1164"/>
      <c r="U273" s="1164"/>
      <c r="V273" s="473"/>
      <c r="W273" s="473"/>
      <c r="X273" s="1164"/>
      <c r="Y273" s="473"/>
      <c r="Z273" s="473"/>
      <c r="AA273" s="1164"/>
      <c r="AB273" s="473"/>
      <c r="AC273" s="1164"/>
      <c r="AD273" s="473"/>
      <c r="AE273" s="1164"/>
      <c r="AF273" s="473"/>
      <c r="AG273" s="1164"/>
      <c r="AH273" s="473"/>
      <c r="AI273" s="473"/>
      <c r="AJ273" s="1164"/>
      <c r="AK273" s="473"/>
      <c r="AL273" s="473"/>
      <c r="AM273" s="1164"/>
      <c r="AN273" s="473"/>
      <c r="AO273" s="473"/>
      <c r="AP273" s="1164"/>
      <c r="AQ273" s="473"/>
      <c r="AR273" s="473"/>
      <c r="AS273" s="1236"/>
      <c r="AT273" s="473"/>
      <c r="AU273" s="473"/>
      <c r="AV273" s="1164"/>
      <c r="AW273" s="1164"/>
      <c r="AX273" s="1236"/>
      <c r="AY273" s="473"/>
      <c r="AZ273" s="1236"/>
      <c r="BA273" s="473"/>
      <c r="BB273" s="473"/>
      <c r="BC273" s="1164"/>
      <c r="BD273" s="20"/>
      <c r="BE273" s="473"/>
      <c r="BF273" s="610"/>
      <c r="BG273" s="610"/>
      <c r="BH273" s="610"/>
      <c r="BI273" s="610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</row>
    <row r="274" spans="1:148" s="22" customFormat="1" x14ac:dyDescent="0.25">
      <c r="A274" s="20"/>
      <c r="B274" s="16"/>
      <c r="C274" s="473"/>
      <c r="D274" s="473"/>
      <c r="E274" s="1164"/>
      <c r="F274" s="473"/>
      <c r="G274" s="473"/>
      <c r="H274" s="1164"/>
      <c r="I274" s="473"/>
      <c r="J274" s="473"/>
      <c r="K274" s="1164"/>
      <c r="L274" s="473"/>
      <c r="M274" s="473"/>
      <c r="N274" s="1164"/>
      <c r="O274" s="473"/>
      <c r="P274" s="473"/>
      <c r="Q274" s="1164"/>
      <c r="R274" s="473"/>
      <c r="S274" s="473"/>
      <c r="T274" s="1164"/>
      <c r="U274" s="1164"/>
      <c r="V274" s="473"/>
      <c r="W274" s="473"/>
      <c r="X274" s="1164"/>
      <c r="Y274" s="473"/>
      <c r="Z274" s="473"/>
      <c r="AA274" s="1164"/>
      <c r="AB274" s="473"/>
      <c r="AC274" s="1164"/>
      <c r="AD274" s="473"/>
      <c r="AE274" s="1164"/>
      <c r="AF274" s="473"/>
      <c r="AG274" s="1164"/>
      <c r="AH274" s="473"/>
      <c r="AI274" s="473"/>
      <c r="AJ274" s="1164"/>
      <c r="AK274" s="473"/>
      <c r="AL274" s="473"/>
      <c r="AM274" s="1164"/>
      <c r="AN274" s="473"/>
      <c r="AO274" s="473"/>
      <c r="AP274" s="1164"/>
      <c r="AQ274" s="473"/>
      <c r="AR274" s="473"/>
      <c r="AS274" s="1236"/>
      <c r="AT274" s="473"/>
      <c r="AU274" s="473"/>
      <c r="AV274" s="1164"/>
      <c r="AW274" s="1164"/>
      <c r="AX274" s="1236"/>
      <c r="AY274" s="473"/>
      <c r="AZ274" s="1236"/>
      <c r="BA274" s="473"/>
      <c r="BB274" s="473"/>
      <c r="BC274" s="1164"/>
      <c r="BD274" s="20"/>
      <c r="BE274" s="473"/>
      <c r="BF274" s="610"/>
      <c r="BG274" s="610"/>
      <c r="BH274" s="610"/>
      <c r="BI274" s="610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</row>
    <row r="275" spans="1:148" s="22" customFormat="1" x14ac:dyDescent="0.25">
      <c r="A275" s="20"/>
      <c r="B275" s="16"/>
      <c r="C275" s="473"/>
      <c r="D275" s="473"/>
      <c r="E275" s="1164"/>
      <c r="F275" s="473"/>
      <c r="G275" s="473"/>
      <c r="H275" s="1164"/>
      <c r="I275" s="473"/>
      <c r="J275" s="473"/>
      <c r="K275" s="1164"/>
      <c r="L275" s="473"/>
      <c r="M275" s="473"/>
      <c r="N275" s="1164"/>
      <c r="O275" s="473"/>
      <c r="P275" s="473"/>
      <c r="Q275" s="1164"/>
      <c r="R275" s="473"/>
      <c r="S275" s="473"/>
      <c r="T275" s="1164"/>
      <c r="U275" s="1164"/>
      <c r="V275" s="473"/>
      <c r="W275" s="473"/>
      <c r="X275" s="1164"/>
      <c r="Y275" s="473"/>
      <c r="Z275" s="473"/>
      <c r="AA275" s="1164"/>
      <c r="AB275" s="473"/>
      <c r="AC275" s="1164"/>
      <c r="AD275" s="473"/>
      <c r="AE275" s="1164"/>
      <c r="AF275" s="473"/>
      <c r="AG275" s="1164"/>
      <c r="AH275" s="473"/>
      <c r="AI275" s="473"/>
      <c r="AJ275" s="1164"/>
      <c r="AK275" s="473"/>
      <c r="AL275" s="473"/>
      <c r="AM275" s="1164"/>
      <c r="AN275" s="473"/>
      <c r="AO275" s="473"/>
      <c r="AP275" s="1164"/>
      <c r="AQ275" s="473"/>
      <c r="AR275" s="473"/>
      <c r="AS275" s="1236"/>
      <c r="AT275" s="473"/>
      <c r="AU275" s="473"/>
      <c r="AV275" s="1164"/>
      <c r="AW275" s="1164"/>
      <c r="AX275" s="1236"/>
      <c r="AY275" s="473"/>
      <c r="AZ275" s="1236"/>
      <c r="BA275" s="473"/>
      <c r="BB275" s="473"/>
      <c r="BC275" s="1164"/>
      <c r="BD275" s="20"/>
      <c r="BE275" s="473"/>
      <c r="BF275" s="610"/>
      <c r="BG275" s="610"/>
      <c r="BH275" s="610"/>
      <c r="BI275" s="610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</row>
    <row r="276" spans="1:148" s="22" customFormat="1" x14ac:dyDescent="0.25">
      <c r="A276" s="20"/>
      <c r="B276" s="16"/>
      <c r="C276" s="473"/>
      <c r="D276" s="473"/>
      <c r="E276" s="1164"/>
      <c r="F276" s="473"/>
      <c r="G276" s="473"/>
      <c r="H276" s="1164"/>
      <c r="I276" s="473"/>
      <c r="J276" s="473"/>
      <c r="K276" s="1164"/>
      <c r="L276" s="473"/>
      <c r="M276" s="473"/>
      <c r="N276" s="1164"/>
      <c r="O276" s="473"/>
      <c r="P276" s="473"/>
      <c r="Q276" s="1164"/>
      <c r="R276" s="473"/>
      <c r="S276" s="473"/>
      <c r="T276" s="1164"/>
      <c r="U276" s="1164"/>
      <c r="V276" s="473"/>
      <c r="W276" s="473"/>
      <c r="X276" s="1164"/>
      <c r="Y276" s="473"/>
      <c r="Z276" s="473"/>
      <c r="AA276" s="1164"/>
      <c r="AB276" s="473"/>
      <c r="AC276" s="1164"/>
      <c r="AD276" s="473"/>
      <c r="AE276" s="1164"/>
      <c r="AF276" s="473"/>
      <c r="AG276" s="1164"/>
      <c r="AH276" s="473"/>
      <c r="AI276" s="473"/>
      <c r="AJ276" s="1164"/>
      <c r="AK276" s="473"/>
      <c r="AL276" s="473"/>
      <c r="AM276" s="1164"/>
      <c r="AN276" s="473"/>
      <c r="AO276" s="473"/>
      <c r="AP276" s="1164"/>
      <c r="AQ276" s="473"/>
      <c r="AR276" s="473"/>
      <c r="AS276" s="1236"/>
      <c r="AT276" s="473"/>
      <c r="AU276" s="473"/>
      <c r="AV276" s="1164"/>
      <c r="AW276" s="1164"/>
      <c r="AX276" s="1236"/>
      <c r="AY276" s="473"/>
      <c r="AZ276" s="1236"/>
      <c r="BA276" s="473"/>
      <c r="BB276" s="473"/>
      <c r="BC276" s="1164"/>
      <c r="BD276" s="20"/>
      <c r="BE276" s="473"/>
      <c r="BF276" s="610"/>
      <c r="BG276" s="610"/>
      <c r="BH276" s="610"/>
      <c r="BI276" s="610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</row>
    <row r="277" spans="1:148" s="22" customFormat="1" x14ac:dyDescent="0.25">
      <c r="A277" s="20"/>
      <c r="B277" s="16"/>
      <c r="C277" s="473"/>
      <c r="D277" s="473"/>
      <c r="E277" s="1164"/>
      <c r="F277" s="473"/>
      <c r="G277" s="473"/>
      <c r="H277" s="1164"/>
      <c r="I277" s="473"/>
      <c r="J277" s="473"/>
      <c r="K277" s="1164"/>
      <c r="L277" s="473"/>
      <c r="M277" s="473"/>
      <c r="N277" s="1164"/>
      <c r="O277" s="473"/>
      <c r="P277" s="473"/>
      <c r="Q277" s="1164"/>
      <c r="R277" s="473"/>
      <c r="S277" s="473"/>
      <c r="T277" s="1164"/>
      <c r="U277" s="1164"/>
      <c r="V277" s="473"/>
      <c r="W277" s="473"/>
      <c r="X277" s="1164"/>
      <c r="Y277" s="473"/>
      <c r="Z277" s="473"/>
      <c r="AA277" s="1164"/>
      <c r="AB277" s="473"/>
      <c r="AC277" s="1164"/>
      <c r="AD277" s="473"/>
      <c r="AE277" s="1164"/>
      <c r="AF277" s="473"/>
      <c r="AG277" s="1164"/>
      <c r="AH277" s="473"/>
      <c r="AI277" s="473"/>
      <c r="AJ277" s="1164"/>
      <c r="AK277" s="473"/>
      <c r="AL277" s="473"/>
      <c r="AM277" s="1164"/>
      <c r="AN277" s="473"/>
      <c r="AO277" s="473"/>
      <c r="AP277" s="1164"/>
      <c r="AQ277" s="473"/>
      <c r="AR277" s="473"/>
      <c r="AS277" s="1236"/>
      <c r="AT277" s="473"/>
      <c r="AU277" s="473"/>
      <c r="AV277" s="1164"/>
      <c r="AW277" s="1164"/>
      <c r="AX277" s="1236"/>
      <c r="AY277" s="473"/>
      <c r="AZ277" s="1236"/>
      <c r="BA277" s="473"/>
      <c r="BB277" s="473"/>
      <c r="BC277" s="1164"/>
      <c r="BD277" s="20"/>
      <c r="BE277" s="473"/>
      <c r="BF277" s="610"/>
      <c r="BG277" s="610"/>
      <c r="BH277" s="610"/>
      <c r="BI277" s="610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</row>
    <row r="278" spans="1:148" s="22" customFormat="1" x14ac:dyDescent="0.25">
      <c r="A278" s="20"/>
      <c r="B278" s="16"/>
      <c r="C278" s="473"/>
      <c r="D278" s="473"/>
      <c r="E278" s="1164"/>
      <c r="F278" s="473"/>
      <c r="G278" s="473"/>
      <c r="H278" s="1164"/>
      <c r="I278" s="473"/>
      <c r="J278" s="473"/>
      <c r="K278" s="1164"/>
      <c r="L278" s="473"/>
      <c r="M278" s="473"/>
      <c r="N278" s="1164"/>
      <c r="O278" s="473"/>
      <c r="P278" s="473"/>
      <c r="Q278" s="1164"/>
      <c r="R278" s="473"/>
      <c r="S278" s="473"/>
      <c r="T278" s="1164"/>
      <c r="U278" s="1164"/>
      <c r="V278" s="473"/>
      <c r="W278" s="473"/>
      <c r="X278" s="1164"/>
      <c r="Y278" s="473"/>
      <c r="Z278" s="473"/>
      <c r="AA278" s="1164"/>
      <c r="AB278" s="473"/>
      <c r="AC278" s="1164"/>
      <c r="AD278" s="473"/>
      <c r="AE278" s="1164"/>
      <c r="AF278" s="473"/>
      <c r="AG278" s="1164"/>
      <c r="AH278" s="473"/>
      <c r="AI278" s="473"/>
      <c r="AJ278" s="1164"/>
      <c r="AK278" s="473"/>
      <c r="AL278" s="473"/>
      <c r="AM278" s="1164"/>
      <c r="AN278" s="473"/>
      <c r="AO278" s="473"/>
      <c r="AP278" s="1164"/>
      <c r="AQ278" s="473"/>
      <c r="AR278" s="473"/>
      <c r="AS278" s="1236"/>
      <c r="AT278" s="473"/>
      <c r="AU278" s="473"/>
      <c r="AV278" s="1164"/>
      <c r="AW278" s="1164"/>
      <c r="AX278" s="1236"/>
      <c r="AY278" s="473"/>
      <c r="AZ278" s="1236"/>
      <c r="BA278" s="473"/>
      <c r="BB278" s="473"/>
      <c r="BC278" s="1164"/>
      <c r="BD278" s="20"/>
      <c r="BE278" s="473"/>
      <c r="BF278" s="610"/>
      <c r="BG278" s="610"/>
      <c r="BH278" s="610"/>
      <c r="BI278" s="610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</row>
    <row r="279" spans="1:148" s="22" customFormat="1" x14ac:dyDescent="0.25">
      <c r="A279" s="20"/>
      <c r="B279" s="16"/>
      <c r="C279" s="473"/>
      <c r="D279" s="473"/>
      <c r="E279" s="1164"/>
      <c r="F279" s="473"/>
      <c r="G279" s="473"/>
      <c r="H279" s="1164"/>
      <c r="I279" s="473"/>
      <c r="J279" s="473"/>
      <c r="K279" s="1164"/>
      <c r="L279" s="473"/>
      <c r="M279" s="473"/>
      <c r="N279" s="1164"/>
      <c r="O279" s="473"/>
      <c r="P279" s="473"/>
      <c r="Q279" s="1164"/>
      <c r="R279" s="473"/>
      <c r="S279" s="473"/>
      <c r="T279" s="1164"/>
      <c r="U279" s="1164"/>
      <c r="V279" s="473"/>
      <c r="W279" s="473"/>
      <c r="X279" s="1164"/>
      <c r="Y279" s="473"/>
      <c r="Z279" s="473"/>
      <c r="AA279" s="1164"/>
      <c r="AB279" s="473"/>
      <c r="AC279" s="1164"/>
      <c r="AD279" s="473"/>
      <c r="AE279" s="1164"/>
      <c r="AF279" s="473"/>
      <c r="AG279" s="1164"/>
      <c r="AH279" s="473"/>
      <c r="AI279" s="473"/>
      <c r="AJ279" s="1164"/>
      <c r="AK279" s="473"/>
      <c r="AL279" s="473"/>
      <c r="AM279" s="1164"/>
      <c r="AN279" s="473"/>
      <c r="AO279" s="473"/>
      <c r="AP279" s="1164"/>
      <c r="AQ279" s="473"/>
      <c r="AR279" s="473"/>
      <c r="AS279" s="1236"/>
      <c r="AT279" s="473"/>
      <c r="AU279" s="473"/>
      <c r="AV279" s="1164"/>
      <c r="AW279" s="1164"/>
      <c r="AX279" s="1236"/>
      <c r="AY279" s="473"/>
      <c r="AZ279" s="1236"/>
      <c r="BA279" s="473"/>
      <c r="BB279" s="473"/>
      <c r="BC279" s="1164"/>
      <c r="BD279" s="20"/>
      <c r="BE279" s="473"/>
      <c r="BF279" s="610"/>
      <c r="BG279" s="610"/>
      <c r="BH279" s="610"/>
      <c r="BI279" s="610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</row>
    <row r="280" spans="1:148" s="22" customFormat="1" x14ac:dyDescent="0.25">
      <c r="A280" s="20"/>
      <c r="B280" s="16"/>
      <c r="C280" s="473"/>
      <c r="D280" s="473"/>
      <c r="E280" s="1164"/>
      <c r="F280" s="473"/>
      <c r="G280" s="473"/>
      <c r="H280" s="1164"/>
      <c r="I280" s="473"/>
      <c r="J280" s="473"/>
      <c r="K280" s="1164"/>
      <c r="L280" s="473"/>
      <c r="M280" s="473"/>
      <c r="N280" s="1164"/>
      <c r="O280" s="473"/>
      <c r="P280" s="473"/>
      <c r="Q280" s="1164"/>
      <c r="R280" s="473"/>
      <c r="S280" s="473"/>
      <c r="T280" s="1164"/>
      <c r="U280" s="1164"/>
      <c r="V280" s="473"/>
      <c r="W280" s="473"/>
      <c r="X280" s="1164"/>
      <c r="Y280" s="473"/>
      <c r="Z280" s="473"/>
      <c r="AA280" s="1164"/>
      <c r="AB280" s="473"/>
      <c r="AC280" s="1164"/>
      <c r="AD280" s="473"/>
      <c r="AE280" s="1164"/>
      <c r="AF280" s="473"/>
      <c r="AG280" s="1164"/>
      <c r="AH280" s="473"/>
      <c r="AI280" s="473"/>
      <c r="AJ280" s="1164"/>
      <c r="AK280" s="473"/>
      <c r="AL280" s="473"/>
      <c r="AM280" s="1164"/>
      <c r="AN280" s="473"/>
      <c r="AO280" s="473"/>
      <c r="AP280" s="1164"/>
      <c r="AQ280" s="473"/>
      <c r="AR280" s="473"/>
      <c r="AS280" s="1236"/>
      <c r="AT280" s="473"/>
      <c r="AU280" s="473"/>
      <c r="AV280" s="1164"/>
      <c r="AW280" s="1164"/>
      <c r="AX280" s="1236"/>
      <c r="AY280" s="473"/>
      <c r="AZ280" s="1236"/>
      <c r="BA280" s="473"/>
      <c r="BB280" s="473"/>
      <c r="BC280" s="1164"/>
      <c r="BD280" s="20"/>
      <c r="BE280" s="473"/>
      <c r="BF280" s="610"/>
      <c r="BG280" s="610"/>
      <c r="BH280" s="610"/>
      <c r="BI280" s="610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</row>
    <row r="281" spans="1:148" s="22" customFormat="1" x14ac:dyDescent="0.25">
      <c r="A281" s="20"/>
      <c r="B281" s="16"/>
      <c r="C281" s="473"/>
      <c r="D281" s="473"/>
      <c r="E281" s="1164"/>
      <c r="F281" s="473"/>
      <c r="G281" s="473"/>
      <c r="H281" s="1164"/>
      <c r="I281" s="473"/>
      <c r="J281" s="473"/>
      <c r="K281" s="1164"/>
      <c r="L281" s="473"/>
      <c r="M281" s="473"/>
      <c r="N281" s="1164"/>
      <c r="O281" s="473"/>
      <c r="P281" s="473"/>
      <c r="Q281" s="1164"/>
      <c r="R281" s="473"/>
      <c r="S281" s="473"/>
      <c r="T281" s="1164"/>
      <c r="U281" s="1164"/>
      <c r="V281" s="473"/>
      <c r="W281" s="473"/>
      <c r="X281" s="1164"/>
      <c r="Y281" s="473"/>
      <c r="Z281" s="473"/>
      <c r="AA281" s="1164"/>
      <c r="AB281" s="473"/>
      <c r="AC281" s="1164"/>
      <c r="AD281" s="473"/>
      <c r="AE281" s="1164"/>
      <c r="AF281" s="473"/>
      <c r="AG281" s="1164"/>
      <c r="AH281" s="473"/>
      <c r="AI281" s="473"/>
      <c r="AJ281" s="1164"/>
      <c r="AK281" s="473"/>
      <c r="AL281" s="473"/>
      <c r="AM281" s="1164"/>
      <c r="AN281" s="473"/>
      <c r="AO281" s="473"/>
      <c r="AP281" s="1164"/>
      <c r="AQ281" s="473"/>
      <c r="AR281" s="473"/>
      <c r="AS281" s="1236"/>
      <c r="AT281" s="473"/>
      <c r="AU281" s="473"/>
      <c r="AV281" s="1164"/>
      <c r="AW281" s="1164"/>
      <c r="AX281" s="1236"/>
      <c r="AY281" s="473"/>
      <c r="AZ281" s="1236"/>
      <c r="BA281" s="473"/>
      <c r="BB281" s="473"/>
      <c r="BC281" s="1164"/>
      <c r="BD281" s="20"/>
      <c r="BE281" s="473"/>
      <c r="BF281" s="610"/>
      <c r="BG281" s="610"/>
      <c r="BH281" s="610"/>
      <c r="BI281" s="610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</row>
    <row r="282" spans="1:148" s="22" customFormat="1" x14ac:dyDescent="0.25">
      <c r="A282" s="20"/>
      <c r="B282" s="16"/>
      <c r="C282" s="473"/>
      <c r="D282" s="473"/>
      <c r="E282" s="1164"/>
      <c r="F282" s="473"/>
      <c r="G282" s="473"/>
      <c r="H282" s="1164"/>
      <c r="I282" s="473"/>
      <c r="J282" s="473"/>
      <c r="K282" s="1164"/>
      <c r="L282" s="473"/>
      <c r="M282" s="473"/>
      <c r="N282" s="1164"/>
      <c r="O282" s="473"/>
      <c r="P282" s="473"/>
      <c r="Q282" s="1164"/>
      <c r="R282" s="473"/>
      <c r="S282" s="473"/>
      <c r="T282" s="1164"/>
      <c r="U282" s="1164"/>
      <c r="V282" s="473"/>
      <c r="W282" s="473"/>
      <c r="X282" s="1164"/>
      <c r="Y282" s="473"/>
      <c r="Z282" s="473"/>
      <c r="AA282" s="1164"/>
      <c r="AB282" s="473"/>
      <c r="AC282" s="1164"/>
      <c r="AD282" s="473"/>
      <c r="AE282" s="1164"/>
      <c r="AF282" s="473"/>
      <c r="AG282" s="1164"/>
      <c r="AH282" s="473"/>
      <c r="AI282" s="473"/>
      <c r="AJ282" s="1164"/>
      <c r="AK282" s="473"/>
      <c r="AL282" s="473"/>
      <c r="AM282" s="1164"/>
      <c r="AN282" s="473"/>
      <c r="AO282" s="473"/>
      <c r="AP282" s="1164"/>
      <c r="AQ282" s="473"/>
      <c r="AR282" s="473"/>
      <c r="AS282" s="1236"/>
      <c r="AT282" s="473"/>
      <c r="AU282" s="473"/>
      <c r="AV282" s="1164"/>
      <c r="AW282" s="1164"/>
      <c r="AX282" s="1236"/>
      <c r="AY282" s="473"/>
      <c r="AZ282" s="1236"/>
      <c r="BA282" s="473"/>
      <c r="BB282" s="473"/>
      <c r="BC282" s="1164"/>
      <c r="BD282" s="20"/>
      <c r="BE282" s="473"/>
      <c r="BF282" s="610"/>
      <c r="BG282" s="610"/>
      <c r="BH282" s="610"/>
      <c r="BI282" s="610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</row>
    <row r="283" spans="1:148" s="22" customFormat="1" x14ac:dyDescent="0.25">
      <c r="A283" s="20"/>
      <c r="B283" s="16"/>
      <c r="C283" s="473"/>
      <c r="D283" s="473"/>
      <c r="E283" s="1164"/>
      <c r="F283" s="473"/>
      <c r="G283" s="473"/>
      <c r="H283" s="1164"/>
      <c r="I283" s="473"/>
      <c r="J283" s="473"/>
      <c r="K283" s="1164"/>
      <c r="L283" s="473"/>
      <c r="M283" s="473"/>
      <c r="N283" s="1164"/>
      <c r="O283" s="473"/>
      <c r="P283" s="473"/>
      <c r="Q283" s="1164"/>
      <c r="R283" s="473"/>
      <c r="S283" s="473"/>
      <c r="T283" s="1164"/>
      <c r="U283" s="1164"/>
      <c r="V283" s="473"/>
      <c r="W283" s="473"/>
      <c r="X283" s="1164"/>
      <c r="Y283" s="473"/>
      <c r="Z283" s="473"/>
      <c r="AA283" s="1164"/>
      <c r="AB283" s="473"/>
      <c r="AC283" s="1164"/>
      <c r="AD283" s="473"/>
      <c r="AE283" s="1164"/>
      <c r="AF283" s="473"/>
      <c r="AG283" s="1164"/>
      <c r="AH283" s="473"/>
      <c r="AI283" s="473"/>
      <c r="AJ283" s="1164"/>
      <c r="AK283" s="473"/>
      <c r="AL283" s="473"/>
      <c r="AM283" s="1164"/>
      <c r="AN283" s="473"/>
      <c r="AO283" s="473"/>
      <c r="AP283" s="1164"/>
      <c r="AQ283" s="473"/>
      <c r="AR283" s="473"/>
      <c r="AS283" s="1236"/>
      <c r="AT283" s="473"/>
      <c r="AU283" s="473"/>
      <c r="AV283" s="1164"/>
      <c r="AW283" s="1164"/>
      <c r="AX283" s="1236"/>
      <c r="AY283" s="473"/>
      <c r="AZ283" s="1236"/>
      <c r="BA283" s="473"/>
      <c r="BB283" s="473"/>
      <c r="BC283" s="1164"/>
      <c r="BD283" s="20"/>
      <c r="BE283" s="473"/>
      <c r="BF283" s="610"/>
      <c r="BG283" s="610"/>
      <c r="BH283" s="610"/>
      <c r="BI283" s="610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</row>
    <row r="284" spans="1:148" s="22" customFormat="1" x14ac:dyDescent="0.25">
      <c r="A284" s="20"/>
      <c r="B284" s="16"/>
      <c r="C284" s="473"/>
      <c r="D284" s="473"/>
      <c r="E284" s="1164"/>
      <c r="F284" s="473"/>
      <c r="G284" s="473"/>
      <c r="H284" s="1164"/>
      <c r="I284" s="473"/>
      <c r="J284" s="473"/>
      <c r="K284" s="1164"/>
      <c r="L284" s="473"/>
      <c r="M284" s="473"/>
      <c r="N284" s="1164"/>
      <c r="O284" s="473"/>
      <c r="P284" s="473"/>
      <c r="Q284" s="1164"/>
      <c r="R284" s="473"/>
      <c r="S284" s="473"/>
      <c r="T284" s="1164"/>
      <c r="U284" s="1164"/>
      <c r="V284" s="473"/>
      <c r="W284" s="473"/>
      <c r="X284" s="1164"/>
      <c r="Y284" s="473"/>
      <c r="Z284" s="473"/>
      <c r="AA284" s="1164"/>
      <c r="AB284" s="473"/>
      <c r="AC284" s="1164"/>
      <c r="AD284" s="473"/>
      <c r="AE284" s="1164"/>
      <c r="AF284" s="473"/>
      <c r="AG284" s="1164"/>
      <c r="AH284" s="473"/>
      <c r="AI284" s="473"/>
      <c r="AJ284" s="1164"/>
      <c r="AK284" s="473"/>
      <c r="AL284" s="473"/>
      <c r="AM284" s="1164"/>
      <c r="AN284" s="473"/>
      <c r="AO284" s="473"/>
      <c r="AP284" s="1164"/>
      <c r="AQ284" s="473"/>
      <c r="AR284" s="473"/>
      <c r="AS284" s="1236"/>
      <c r="AT284" s="473"/>
      <c r="AU284" s="473"/>
      <c r="AV284" s="1164"/>
      <c r="AW284" s="1164"/>
      <c r="AX284" s="1236"/>
      <c r="AY284" s="473"/>
      <c r="AZ284" s="1236"/>
      <c r="BA284" s="473"/>
      <c r="BB284" s="473"/>
      <c r="BC284" s="1164"/>
      <c r="BD284" s="20"/>
      <c r="BE284" s="473"/>
      <c r="BF284" s="610"/>
      <c r="BG284" s="610"/>
      <c r="BH284" s="610"/>
      <c r="BI284" s="610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</row>
    <row r="285" spans="1:148" s="22" customFormat="1" x14ac:dyDescent="0.25">
      <c r="A285" s="20"/>
      <c r="B285" s="16"/>
      <c r="C285" s="473"/>
      <c r="D285" s="473"/>
      <c r="E285" s="1164"/>
      <c r="F285" s="473"/>
      <c r="G285" s="473"/>
      <c r="H285" s="1164"/>
      <c r="I285" s="473"/>
      <c r="J285" s="473"/>
      <c r="K285" s="1164"/>
      <c r="L285" s="473"/>
      <c r="M285" s="473"/>
      <c r="N285" s="1164"/>
      <c r="O285" s="473"/>
      <c r="P285" s="473"/>
      <c r="Q285" s="1164"/>
      <c r="R285" s="473"/>
      <c r="S285" s="473"/>
      <c r="T285" s="1164"/>
      <c r="U285" s="1164"/>
      <c r="V285" s="473"/>
      <c r="W285" s="473"/>
      <c r="X285" s="1164"/>
      <c r="Y285" s="473"/>
      <c r="Z285" s="473"/>
      <c r="AA285" s="1164"/>
      <c r="AB285" s="473"/>
      <c r="AC285" s="1164"/>
      <c r="AD285" s="473"/>
      <c r="AE285" s="1164"/>
      <c r="AF285" s="473"/>
      <c r="AG285" s="1164"/>
      <c r="AH285" s="473"/>
      <c r="AI285" s="473"/>
      <c r="AJ285" s="1164"/>
      <c r="AK285" s="473"/>
      <c r="AL285" s="473"/>
      <c r="AM285" s="1164"/>
      <c r="AN285" s="473"/>
      <c r="AO285" s="473"/>
      <c r="AP285" s="1164"/>
      <c r="AQ285" s="473"/>
      <c r="AR285" s="473"/>
      <c r="AS285" s="1236"/>
      <c r="AT285" s="473"/>
      <c r="AU285" s="473"/>
      <c r="AV285" s="1164"/>
      <c r="AW285" s="1164"/>
      <c r="AX285" s="1236"/>
      <c r="AY285" s="473"/>
      <c r="AZ285" s="1236"/>
      <c r="BA285" s="473"/>
      <c r="BB285" s="473"/>
      <c r="BC285" s="1164"/>
      <c r="BD285" s="20"/>
      <c r="BE285" s="473"/>
      <c r="BF285" s="610"/>
      <c r="BG285" s="610"/>
      <c r="BH285" s="610"/>
      <c r="BI285" s="610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</row>
    <row r="286" spans="1:148" s="22" customFormat="1" x14ac:dyDescent="0.25">
      <c r="A286" s="20"/>
      <c r="B286" s="16"/>
      <c r="C286" s="473"/>
      <c r="D286" s="473"/>
      <c r="E286" s="1164"/>
      <c r="F286" s="473"/>
      <c r="G286" s="473"/>
      <c r="H286" s="1164"/>
      <c r="I286" s="473"/>
      <c r="J286" s="473"/>
      <c r="K286" s="1164"/>
      <c r="L286" s="473"/>
      <c r="M286" s="473"/>
      <c r="N286" s="1164"/>
      <c r="O286" s="473"/>
      <c r="P286" s="473"/>
      <c r="Q286" s="1164"/>
      <c r="R286" s="473"/>
      <c r="S286" s="473"/>
      <c r="T286" s="1164"/>
      <c r="U286" s="1164"/>
      <c r="V286" s="473"/>
      <c r="W286" s="473"/>
      <c r="X286" s="1164"/>
      <c r="Y286" s="473"/>
      <c r="Z286" s="473"/>
      <c r="AA286" s="1164"/>
      <c r="AB286" s="473"/>
      <c r="AC286" s="1164"/>
      <c r="AD286" s="473"/>
      <c r="AE286" s="1164"/>
      <c r="AF286" s="473"/>
      <c r="AG286" s="1164"/>
      <c r="AH286" s="473"/>
      <c r="AI286" s="473"/>
      <c r="AJ286" s="1164"/>
      <c r="AK286" s="473"/>
      <c r="AL286" s="473"/>
      <c r="AM286" s="1164"/>
      <c r="AN286" s="473"/>
      <c r="AO286" s="473"/>
      <c r="AP286" s="1164"/>
      <c r="AQ286" s="473"/>
      <c r="AR286" s="473"/>
      <c r="AS286" s="1236"/>
      <c r="AT286" s="473"/>
      <c r="AU286" s="473"/>
      <c r="AV286" s="1164"/>
      <c r="AW286" s="1164"/>
      <c r="AX286" s="1236"/>
      <c r="AY286" s="473"/>
      <c r="AZ286" s="1236"/>
      <c r="BA286" s="473"/>
      <c r="BB286" s="473"/>
      <c r="BC286" s="1164"/>
      <c r="BD286" s="20"/>
      <c r="BE286" s="473"/>
      <c r="BF286" s="610"/>
      <c r="BG286" s="610"/>
      <c r="BH286" s="610"/>
      <c r="BI286" s="610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</row>
    <row r="287" spans="1:148" s="22" customFormat="1" x14ac:dyDescent="0.25">
      <c r="A287" s="20"/>
      <c r="B287" s="16"/>
      <c r="C287" s="473"/>
      <c r="D287" s="473"/>
      <c r="E287" s="1164"/>
      <c r="F287" s="473"/>
      <c r="G287" s="473"/>
      <c r="H287" s="1164"/>
      <c r="I287" s="473"/>
      <c r="J287" s="473"/>
      <c r="K287" s="1164"/>
      <c r="L287" s="473"/>
      <c r="M287" s="473"/>
      <c r="N287" s="1164"/>
      <c r="O287" s="473"/>
      <c r="P287" s="473"/>
      <c r="Q287" s="1164"/>
      <c r="R287" s="473"/>
      <c r="S287" s="473"/>
      <c r="T287" s="1164"/>
      <c r="U287" s="1164"/>
      <c r="V287" s="473"/>
      <c r="W287" s="473"/>
      <c r="X287" s="1164"/>
      <c r="Y287" s="473"/>
      <c r="Z287" s="473"/>
      <c r="AA287" s="1164"/>
      <c r="AB287" s="473"/>
      <c r="AC287" s="1164"/>
      <c r="AD287" s="473"/>
      <c r="AE287" s="1164"/>
      <c r="AF287" s="473"/>
      <c r="AG287" s="1164"/>
      <c r="AH287" s="473"/>
      <c r="AI287" s="473"/>
      <c r="AJ287" s="1164"/>
      <c r="AK287" s="473"/>
      <c r="AL287" s="473"/>
      <c r="AM287" s="1164"/>
      <c r="AN287" s="473"/>
      <c r="AO287" s="473"/>
      <c r="AP287" s="1164"/>
      <c r="AQ287" s="473"/>
      <c r="AR287" s="473"/>
      <c r="AS287" s="1236"/>
      <c r="AT287" s="473"/>
      <c r="AU287" s="473"/>
      <c r="AV287" s="1164"/>
      <c r="AW287" s="1164"/>
      <c r="AX287" s="1236"/>
      <c r="AY287" s="473"/>
      <c r="AZ287" s="1236"/>
      <c r="BA287" s="473"/>
      <c r="BB287" s="473"/>
      <c r="BC287" s="1164"/>
      <c r="BD287" s="20"/>
      <c r="BE287" s="473"/>
      <c r="BF287" s="610"/>
      <c r="BG287" s="610"/>
      <c r="BH287" s="610"/>
      <c r="BI287" s="610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</row>
    <row r="288" spans="1:148" s="22" customFormat="1" x14ac:dyDescent="0.25">
      <c r="A288" s="20"/>
      <c r="B288" s="16"/>
      <c r="C288" s="473"/>
      <c r="D288" s="473"/>
      <c r="E288" s="1164"/>
      <c r="F288" s="473"/>
      <c r="G288" s="473"/>
      <c r="H288" s="1164"/>
      <c r="I288" s="473"/>
      <c r="J288" s="473"/>
      <c r="K288" s="1164"/>
      <c r="L288" s="473"/>
      <c r="M288" s="473"/>
      <c r="N288" s="1164"/>
      <c r="O288" s="473"/>
      <c r="P288" s="473"/>
      <c r="Q288" s="1164"/>
      <c r="R288" s="473"/>
      <c r="S288" s="473"/>
      <c r="T288" s="1164"/>
      <c r="U288" s="1164"/>
      <c r="V288" s="473"/>
      <c r="W288" s="473"/>
      <c r="X288" s="1164"/>
      <c r="Y288" s="473"/>
      <c r="Z288" s="473"/>
      <c r="AA288" s="1164"/>
      <c r="AB288" s="473"/>
      <c r="AC288" s="1164"/>
      <c r="AD288" s="473"/>
      <c r="AE288" s="1164"/>
      <c r="AF288" s="473"/>
      <c r="AG288" s="1164"/>
      <c r="AH288" s="473"/>
      <c r="AI288" s="473"/>
      <c r="AJ288" s="1164"/>
      <c r="AK288" s="473"/>
      <c r="AL288" s="473"/>
      <c r="AM288" s="1164"/>
      <c r="AN288" s="473"/>
      <c r="AO288" s="473"/>
      <c r="AP288" s="1164"/>
      <c r="AQ288" s="473"/>
      <c r="AR288" s="473"/>
      <c r="AS288" s="1236"/>
      <c r="AT288" s="473"/>
      <c r="AU288" s="473"/>
      <c r="AV288" s="1164"/>
      <c r="AW288" s="1164"/>
      <c r="AX288" s="1236"/>
      <c r="AY288" s="473"/>
      <c r="AZ288" s="1236"/>
      <c r="BA288" s="473"/>
      <c r="BB288" s="473"/>
      <c r="BC288" s="1164"/>
      <c r="BD288" s="20"/>
      <c r="BE288" s="473"/>
      <c r="BF288" s="610"/>
      <c r="BG288" s="610"/>
      <c r="BH288" s="610"/>
      <c r="BI288" s="610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</row>
    <row r="289" spans="1:148" s="22" customFormat="1" x14ac:dyDescent="0.25">
      <c r="A289" s="20"/>
      <c r="B289" s="16"/>
      <c r="C289" s="473"/>
      <c r="D289" s="473"/>
      <c r="E289" s="1164"/>
      <c r="F289" s="473"/>
      <c r="G289" s="473"/>
      <c r="H289" s="1164"/>
      <c r="I289" s="473"/>
      <c r="J289" s="473"/>
      <c r="K289" s="1164"/>
      <c r="L289" s="473"/>
      <c r="M289" s="473"/>
      <c r="N289" s="1164"/>
      <c r="O289" s="473"/>
      <c r="P289" s="473"/>
      <c r="Q289" s="1164"/>
      <c r="R289" s="473"/>
      <c r="S289" s="473"/>
      <c r="T289" s="1164"/>
      <c r="U289" s="1164"/>
      <c r="V289" s="473"/>
      <c r="W289" s="473"/>
      <c r="X289" s="1164"/>
      <c r="Y289" s="473"/>
      <c r="Z289" s="473"/>
      <c r="AA289" s="1164"/>
      <c r="AB289" s="473"/>
      <c r="AC289" s="1164"/>
      <c r="AD289" s="473"/>
      <c r="AE289" s="1164"/>
      <c r="AF289" s="473"/>
      <c r="AG289" s="1164"/>
      <c r="AH289" s="473"/>
      <c r="AI289" s="473"/>
      <c r="AJ289" s="1164"/>
      <c r="AK289" s="473"/>
      <c r="AL289" s="473"/>
      <c r="AM289" s="1164"/>
      <c r="AN289" s="473"/>
      <c r="AO289" s="473"/>
      <c r="AP289" s="1164"/>
      <c r="AQ289" s="473"/>
      <c r="AR289" s="473"/>
      <c r="AS289" s="1236"/>
      <c r="AT289" s="473"/>
      <c r="AU289" s="473"/>
      <c r="AV289" s="1164"/>
      <c r="AW289" s="1164"/>
      <c r="AX289" s="1236"/>
      <c r="AY289" s="473"/>
      <c r="AZ289" s="1236"/>
      <c r="BA289" s="473"/>
      <c r="BB289" s="473"/>
      <c r="BC289" s="1164"/>
      <c r="BD289" s="20"/>
      <c r="BE289" s="473"/>
      <c r="BF289" s="610"/>
      <c r="BG289" s="610"/>
      <c r="BH289" s="610"/>
      <c r="BI289" s="610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</row>
    <row r="290" spans="1:148" s="22" customFormat="1" x14ac:dyDescent="0.25">
      <c r="A290" s="20"/>
      <c r="B290" s="16"/>
      <c r="C290" s="473"/>
      <c r="D290" s="473"/>
      <c r="E290" s="1164"/>
      <c r="F290" s="473"/>
      <c r="G290" s="473"/>
      <c r="H290" s="1164"/>
      <c r="I290" s="473"/>
      <c r="J290" s="473"/>
      <c r="K290" s="1164"/>
      <c r="L290" s="473"/>
      <c r="M290" s="473"/>
      <c r="N290" s="1164"/>
      <c r="O290" s="473"/>
      <c r="P290" s="473"/>
      <c r="Q290" s="1164"/>
      <c r="R290" s="473"/>
      <c r="S290" s="473"/>
      <c r="T290" s="1164"/>
      <c r="U290" s="1164"/>
      <c r="V290" s="473"/>
      <c r="W290" s="473"/>
      <c r="X290" s="1164"/>
      <c r="Y290" s="473"/>
      <c r="Z290" s="473"/>
      <c r="AA290" s="1164"/>
      <c r="AB290" s="473"/>
      <c r="AC290" s="1164"/>
      <c r="AD290" s="473"/>
      <c r="AE290" s="1164"/>
      <c r="AF290" s="473"/>
      <c r="AG290" s="1164"/>
      <c r="AH290" s="473"/>
      <c r="AI290" s="473"/>
      <c r="AJ290" s="1164"/>
      <c r="AK290" s="473"/>
      <c r="AL290" s="473"/>
      <c r="AM290" s="1164"/>
      <c r="AN290" s="473"/>
      <c r="AO290" s="473"/>
      <c r="AP290" s="1164"/>
      <c r="AQ290" s="473"/>
      <c r="AR290" s="473"/>
      <c r="AS290" s="1236"/>
      <c r="AT290" s="473"/>
      <c r="AU290" s="473"/>
      <c r="AV290" s="1164"/>
      <c r="AW290" s="1164"/>
      <c r="AX290" s="1236"/>
      <c r="AY290" s="473"/>
      <c r="AZ290" s="1236"/>
      <c r="BA290" s="473"/>
      <c r="BB290" s="473"/>
      <c r="BC290" s="1164"/>
      <c r="BD290" s="20"/>
      <c r="BE290" s="473"/>
      <c r="BF290" s="610"/>
      <c r="BG290" s="610"/>
      <c r="BH290" s="610"/>
      <c r="BI290" s="610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</row>
    <row r="291" spans="1:148" s="22" customFormat="1" x14ac:dyDescent="0.25">
      <c r="A291" s="20"/>
      <c r="B291" s="16"/>
      <c r="C291" s="473"/>
      <c r="D291" s="473"/>
      <c r="E291" s="1164"/>
      <c r="F291" s="473"/>
      <c r="G291" s="473"/>
      <c r="H291" s="1164"/>
      <c r="I291" s="473"/>
      <c r="J291" s="473"/>
      <c r="K291" s="1164"/>
      <c r="L291" s="473"/>
      <c r="M291" s="473"/>
      <c r="N291" s="1164"/>
      <c r="O291" s="473"/>
      <c r="P291" s="473"/>
      <c r="Q291" s="1164"/>
      <c r="R291" s="473"/>
      <c r="S291" s="473"/>
      <c r="T291" s="1164"/>
      <c r="U291" s="1164"/>
      <c r="V291" s="473"/>
      <c r="W291" s="473"/>
      <c r="X291" s="1164"/>
      <c r="Y291" s="473"/>
      <c r="Z291" s="473"/>
      <c r="AA291" s="1164"/>
      <c r="AB291" s="473"/>
      <c r="AC291" s="1164"/>
      <c r="AD291" s="473"/>
      <c r="AE291" s="1164"/>
      <c r="AF291" s="473"/>
      <c r="AG291" s="1164"/>
      <c r="AH291" s="473"/>
      <c r="AI291" s="473"/>
      <c r="AJ291" s="1164"/>
      <c r="AK291" s="473"/>
      <c r="AL291" s="473"/>
      <c r="AM291" s="1164"/>
      <c r="AN291" s="473"/>
      <c r="AO291" s="473"/>
      <c r="AP291" s="1164"/>
      <c r="AQ291" s="473"/>
      <c r="AR291" s="473"/>
      <c r="AS291" s="1236"/>
      <c r="AT291" s="473"/>
      <c r="AU291" s="473"/>
      <c r="AV291" s="1164"/>
      <c r="AW291" s="1164"/>
      <c r="AX291" s="1236"/>
      <c r="AY291" s="473"/>
      <c r="AZ291" s="1236"/>
      <c r="BA291" s="473"/>
      <c r="BB291" s="473"/>
      <c r="BC291" s="1164"/>
      <c r="BD291" s="20"/>
      <c r="BE291" s="473"/>
      <c r="BF291" s="610"/>
      <c r="BG291" s="610"/>
      <c r="BH291" s="610"/>
      <c r="BI291" s="610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</row>
    <row r="292" spans="1:148" s="22" customFormat="1" x14ac:dyDescent="0.25">
      <c r="A292" s="20"/>
      <c r="B292" s="16"/>
      <c r="C292" s="473"/>
      <c r="D292" s="473"/>
      <c r="E292" s="1164"/>
      <c r="F292" s="473"/>
      <c r="G292" s="473"/>
      <c r="H292" s="1164"/>
      <c r="I292" s="473"/>
      <c r="J292" s="473"/>
      <c r="K292" s="1164"/>
      <c r="L292" s="473"/>
      <c r="M292" s="473"/>
      <c r="N292" s="1164"/>
      <c r="O292" s="473"/>
      <c r="P292" s="473"/>
      <c r="Q292" s="1164"/>
      <c r="R292" s="473"/>
      <c r="S292" s="473"/>
      <c r="T292" s="1164"/>
      <c r="U292" s="1164"/>
      <c r="V292" s="473"/>
      <c r="W292" s="473"/>
      <c r="X292" s="1164"/>
      <c r="Y292" s="473"/>
      <c r="Z292" s="473"/>
      <c r="AA292" s="1164"/>
      <c r="AB292" s="473"/>
      <c r="AC292" s="1164"/>
      <c r="AD292" s="473"/>
      <c r="AE292" s="1164"/>
      <c r="AF292" s="473"/>
      <c r="AG292" s="1164"/>
      <c r="AH292" s="473"/>
      <c r="AI292" s="473"/>
      <c r="AJ292" s="1164"/>
      <c r="AK292" s="473"/>
      <c r="AL292" s="473"/>
      <c r="AM292" s="1164"/>
      <c r="AN292" s="473"/>
      <c r="AO292" s="473"/>
      <c r="AP292" s="1164"/>
      <c r="AQ292" s="473"/>
      <c r="AR292" s="473"/>
      <c r="AS292" s="1236"/>
      <c r="AT292" s="473"/>
      <c r="AU292" s="473"/>
      <c r="AV292" s="1164"/>
      <c r="AW292" s="1164"/>
      <c r="AX292" s="1236"/>
      <c r="AY292" s="473"/>
      <c r="AZ292" s="1236"/>
      <c r="BA292" s="473"/>
      <c r="BB292" s="473"/>
      <c r="BC292" s="1164"/>
      <c r="BD292" s="20"/>
      <c r="BE292" s="473"/>
      <c r="BF292" s="610"/>
      <c r="BG292" s="610"/>
      <c r="BH292" s="610"/>
      <c r="BI292" s="610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</row>
    <row r="293" spans="1:148" s="22" customFormat="1" x14ac:dyDescent="0.25">
      <c r="A293" s="20"/>
      <c r="B293" s="16"/>
      <c r="C293" s="473"/>
      <c r="D293" s="473"/>
      <c r="E293" s="1164"/>
      <c r="F293" s="473"/>
      <c r="G293" s="473"/>
      <c r="H293" s="1164"/>
      <c r="I293" s="473"/>
      <c r="J293" s="473"/>
      <c r="K293" s="1164"/>
      <c r="L293" s="473"/>
      <c r="M293" s="473"/>
      <c r="N293" s="1164"/>
      <c r="O293" s="473"/>
      <c r="P293" s="473"/>
      <c r="Q293" s="1164"/>
      <c r="R293" s="473"/>
      <c r="S293" s="473"/>
      <c r="T293" s="1164"/>
      <c r="U293" s="1164"/>
      <c r="V293" s="473"/>
      <c r="W293" s="473"/>
      <c r="X293" s="1164"/>
      <c r="Y293" s="473"/>
      <c r="Z293" s="473"/>
      <c r="AA293" s="1164"/>
      <c r="AB293" s="473"/>
      <c r="AC293" s="1164"/>
      <c r="AD293" s="473"/>
      <c r="AE293" s="1164"/>
      <c r="AF293" s="473"/>
      <c r="AG293" s="1164"/>
      <c r="AH293" s="473"/>
      <c r="AI293" s="473"/>
      <c r="AJ293" s="1164"/>
      <c r="AK293" s="473"/>
      <c r="AL293" s="473"/>
      <c r="AM293" s="1164"/>
      <c r="AN293" s="473"/>
      <c r="AO293" s="473"/>
      <c r="AP293" s="1164"/>
      <c r="AQ293" s="473"/>
      <c r="AR293" s="473"/>
      <c r="AS293" s="1236"/>
      <c r="AT293" s="473"/>
      <c r="AU293" s="473"/>
      <c r="AV293" s="1164"/>
      <c r="AW293" s="1164"/>
      <c r="AX293" s="1236"/>
      <c r="AY293" s="473"/>
      <c r="AZ293" s="1236"/>
      <c r="BA293" s="473"/>
      <c r="BB293" s="473"/>
      <c r="BC293" s="1164"/>
      <c r="BD293" s="20"/>
      <c r="BE293" s="473"/>
      <c r="BF293" s="610"/>
      <c r="BG293" s="610"/>
      <c r="BH293" s="610"/>
      <c r="BI293" s="610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</row>
    <row r="294" spans="1:148" s="22" customFormat="1" x14ac:dyDescent="0.25">
      <c r="A294" s="20"/>
      <c r="B294" s="16"/>
      <c r="C294" s="473"/>
      <c r="D294" s="473"/>
      <c r="E294" s="1164"/>
      <c r="F294" s="473"/>
      <c r="G294" s="473"/>
      <c r="H294" s="1164"/>
      <c r="I294" s="473"/>
      <c r="J294" s="473"/>
      <c r="K294" s="1164"/>
      <c r="L294" s="473"/>
      <c r="M294" s="473"/>
      <c r="N294" s="1164"/>
      <c r="O294" s="473"/>
      <c r="P294" s="473"/>
      <c r="Q294" s="1164"/>
      <c r="R294" s="473"/>
      <c r="S294" s="473"/>
      <c r="T294" s="1164"/>
      <c r="U294" s="1164"/>
      <c r="V294" s="473"/>
      <c r="W294" s="473"/>
      <c r="X294" s="1164"/>
      <c r="Y294" s="473"/>
      <c r="Z294" s="473"/>
      <c r="AA294" s="1164"/>
      <c r="AB294" s="473"/>
      <c r="AC294" s="1164"/>
      <c r="AD294" s="473"/>
      <c r="AE294" s="1164"/>
      <c r="AF294" s="473"/>
      <c r="AG294" s="1164"/>
      <c r="AH294" s="473"/>
      <c r="AI294" s="473"/>
      <c r="AJ294" s="1164"/>
      <c r="AK294" s="473"/>
      <c r="AL294" s="473"/>
      <c r="AM294" s="1164"/>
      <c r="AN294" s="473"/>
      <c r="AO294" s="473"/>
      <c r="AP294" s="1164"/>
      <c r="AQ294" s="473"/>
      <c r="AR294" s="473"/>
      <c r="AS294" s="1236"/>
      <c r="AT294" s="473"/>
      <c r="AU294" s="473"/>
      <c r="AV294" s="1164"/>
      <c r="AW294" s="1164"/>
      <c r="AX294" s="1236"/>
      <c r="AY294" s="473"/>
      <c r="AZ294" s="1236"/>
      <c r="BA294" s="473"/>
      <c r="BB294" s="473"/>
      <c r="BC294" s="1164"/>
      <c r="BD294" s="20"/>
      <c r="BE294" s="473"/>
      <c r="BF294" s="610"/>
      <c r="BG294" s="610"/>
      <c r="BH294" s="610"/>
      <c r="BI294" s="610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</row>
    <row r="295" spans="1:148" s="22" customFormat="1" x14ac:dyDescent="0.25">
      <c r="A295" s="20"/>
      <c r="B295" s="16"/>
      <c r="C295" s="473"/>
      <c r="D295" s="473"/>
      <c r="E295" s="1164"/>
      <c r="F295" s="473"/>
      <c r="G295" s="473"/>
      <c r="H295" s="1164"/>
      <c r="I295" s="473"/>
      <c r="J295" s="473"/>
      <c r="K295" s="1164"/>
      <c r="L295" s="473"/>
      <c r="M295" s="473"/>
      <c r="N295" s="1164"/>
      <c r="O295" s="473"/>
      <c r="P295" s="473"/>
      <c r="Q295" s="1164"/>
      <c r="R295" s="473"/>
      <c r="S295" s="473"/>
      <c r="T295" s="1164"/>
      <c r="U295" s="1164"/>
      <c r="V295" s="473"/>
      <c r="W295" s="473"/>
      <c r="X295" s="1164"/>
      <c r="Y295" s="473"/>
      <c r="Z295" s="473"/>
      <c r="AA295" s="1164"/>
      <c r="AB295" s="473"/>
      <c r="AC295" s="1164"/>
      <c r="AD295" s="473"/>
      <c r="AE295" s="1164"/>
      <c r="AF295" s="473"/>
      <c r="AG295" s="1164"/>
      <c r="AH295" s="473"/>
      <c r="AI295" s="473"/>
      <c r="AJ295" s="1164"/>
      <c r="AK295" s="473"/>
      <c r="AL295" s="473"/>
      <c r="AM295" s="1164"/>
      <c r="AN295" s="473"/>
      <c r="AO295" s="473"/>
      <c r="AP295" s="1164"/>
      <c r="AQ295" s="473"/>
      <c r="AR295" s="473"/>
      <c r="AS295" s="1236"/>
      <c r="AT295" s="473"/>
      <c r="AU295" s="473"/>
      <c r="AV295" s="1164"/>
      <c r="AW295" s="1164"/>
      <c r="AX295" s="1236"/>
      <c r="AY295" s="473"/>
      <c r="AZ295" s="1236"/>
      <c r="BA295" s="473"/>
      <c r="BB295" s="473"/>
      <c r="BC295" s="1164"/>
      <c r="BD295" s="20"/>
      <c r="BE295" s="473"/>
      <c r="BF295" s="610"/>
      <c r="BG295" s="610"/>
      <c r="BH295" s="610"/>
      <c r="BI295" s="610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</row>
    <row r="296" spans="1:148" s="22" customFormat="1" x14ac:dyDescent="0.25">
      <c r="A296" s="20"/>
      <c r="B296" s="16"/>
      <c r="C296" s="473"/>
      <c r="D296" s="473"/>
      <c r="E296" s="1164"/>
      <c r="F296" s="473"/>
      <c r="G296" s="473"/>
      <c r="H296" s="1164"/>
      <c r="I296" s="473"/>
      <c r="J296" s="473"/>
      <c r="K296" s="1164"/>
      <c r="L296" s="473"/>
      <c r="M296" s="473"/>
      <c r="N296" s="1164"/>
      <c r="O296" s="473"/>
      <c r="P296" s="473"/>
      <c r="Q296" s="1164"/>
      <c r="R296" s="473"/>
      <c r="S296" s="473"/>
      <c r="T296" s="1164"/>
      <c r="U296" s="1164"/>
      <c r="V296" s="473"/>
      <c r="W296" s="473"/>
      <c r="X296" s="1164"/>
      <c r="Y296" s="473"/>
      <c r="Z296" s="473"/>
      <c r="AA296" s="1164"/>
      <c r="AB296" s="473"/>
      <c r="AC296" s="1164"/>
      <c r="AD296" s="473"/>
      <c r="AE296" s="1164"/>
      <c r="AF296" s="473"/>
      <c r="AG296" s="1164"/>
      <c r="AH296" s="473"/>
      <c r="AI296" s="473"/>
      <c r="AJ296" s="1164"/>
      <c r="AK296" s="473"/>
      <c r="AL296" s="473"/>
      <c r="AM296" s="1164"/>
      <c r="AN296" s="473"/>
      <c r="AO296" s="473"/>
      <c r="AP296" s="1164"/>
      <c r="AQ296" s="473"/>
      <c r="AR296" s="473"/>
      <c r="AS296" s="1236"/>
      <c r="AT296" s="473"/>
      <c r="AU296" s="473"/>
      <c r="AV296" s="1164"/>
      <c r="AW296" s="1164"/>
      <c r="AX296" s="1236"/>
      <c r="AY296" s="473"/>
      <c r="AZ296" s="1236"/>
      <c r="BA296" s="473"/>
      <c r="BB296" s="473"/>
      <c r="BC296" s="1164"/>
      <c r="BD296" s="20"/>
      <c r="BE296" s="473"/>
      <c r="BF296" s="610"/>
      <c r="BG296" s="610"/>
      <c r="BH296" s="610"/>
      <c r="BI296" s="610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</row>
    <row r="297" spans="1:148" s="22" customFormat="1" x14ac:dyDescent="0.25">
      <c r="A297" s="20"/>
      <c r="B297" s="16"/>
      <c r="C297" s="473"/>
      <c r="D297" s="473"/>
      <c r="E297" s="1164"/>
      <c r="F297" s="473"/>
      <c r="G297" s="473"/>
      <c r="H297" s="1164"/>
      <c r="I297" s="473"/>
      <c r="J297" s="473"/>
      <c r="K297" s="1164"/>
      <c r="L297" s="473"/>
      <c r="M297" s="473"/>
      <c r="N297" s="1164"/>
      <c r="O297" s="473"/>
      <c r="P297" s="473"/>
      <c r="Q297" s="1164"/>
      <c r="R297" s="473"/>
      <c r="S297" s="473"/>
      <c r="T297" s="1164"/>
      <c r="U297" s="1164"/>
      <c r="V297" s="473"/>
      <c r="W297" s="473"/>
      <c r="X297" s="1164"/>
      <c r="Y297" s="473"/>
      <c r="Z297" s="473"/>
      <c r="AA297" s="1164"/>
      <c r="AB297" s="473"/>
      <c r="AC297" s="1164"/>
      <c r="AD297" s="473"/>
      <c r="AE297" s="1164"/>
      <c r="AF297" s="473"/>
      <c r="AG297" s="1164"/>
      <c r="AH297" s="473"/>
      <c r="AI297" s="473"/>
      <c r="AJ297" s="1164"/>
      <c r="AK297" s="473"/>
      <c r="AL297" s="473"/>
      <c r="AM297" s="1164"/>
      <c r="AN297" s="473"/>
      <c r="AO297" s="473"/>
      <c r="AP297" s="1164"/>
      <c r="AQ297" s="473"/>
      <c r="AR297" s="473"/>
      <c r="AS297" s="1236"/>
      <c r="AT297" s="473"/>
      <c r="AU297" s="473"/>
      <c r="AV297" s="1164"/>
      <c r="AW297" s="1164"/>
      <c r="AX297" s="1236"/>
      <c r="AY297" s="473"/>
      <c r="AZ297" s="1236"/>
      <c r="BA297" s="473"/>
      <c r="BB297" s="473"/>
      <c r="BC297" s="1164"/>
      <c r="BD297" s="20"/>
      <c r="BE297" s="473"/>
      <c r="BF297" s="610"/>
      <c r="BG297" s="610"/>
      <c r="BH297" s="610"/>
      <c r="BI297" s="610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</row>
    <row r="298" spans="1:148" s="22" customFormat="1" x14ac:dyDescent="0.25">
      <c r="A298" s="20"/>
      <c r="B298" s="16"/>
      <c r="C298" s="473"/>
      <c r="D298" s="473"/>
      <c r="E298" s="1164"/>
      <c r="F298" s="473"/>
      <c r="G298" s="473"/>
      <c r="H298" s="1164"/>
      <c r="I298" s="473"/>
      <c r="J298" s="473"/>
      <c r="K298" s="1164"/>
      <c r="L298" s="473"/>
      <c r="M298" s="473"/>
      <c r="N298" s="1164"/>
      <c r="O298" s="473"/>
      <c r="P298" s="473"/>
      <c r="Q298" s="1164"/>
      <c r="R298" s="473"/>
      <c r="S298" s="473"/>
      <c r="T298" s="1164"/>
      <c r="U298" s="1164"/>
      <c r="V298" s="473"/>
      <c r="W298" s="473"/>
      <c r="X298" s="1164"/>
      <c r="Y298" s="473"/>
      <c r="Z298" s="473"/>
      <c r="AA298" s="1164"/>
      <c r="AB298" s="473"/>
      <c r="AC298" s="1164"/>
      <c r="AD298" s="473"/>
      <c r="AE298" s="1164"/>
      <c r="AF298" s="473"/>
      <c r="AG298" s="1164"/>
      <c r="AH298" s="473"/>
      <c r="AI298" s="473"/>
      <c r="AJ298" s="1164"/>
      <c r="AK298" s="473"/>
      <c r="AL298" s="473"/>
      <c r="AM298" s="1164"/>
      <c r="AN298" s="473"/>
      <c r="AO298" s="473"/>
      <c r="AP298" s="1164"/>
      <c r="AQ298" s="473"/>
      <c r="AR298" s="473"/>
      <c r="AS298" s="1236"/>
      <c r="AT298" s="473"/>
      <c r="AU298" s="473"/>
      <c r="AV298" s="1164"/>
      <c r="AW298" s="1164"/>
      <c r="AX298" s="1236"/>
      <c r="AY298" s="473"/>
      <c r="AZ298" s="1236"/>
      <c r="BA298" s="473"/>
      <c r="BB298" s="473"/>
      <c r="BC298" s="1164"/>
      <c r="BD298" s="20"/>
      <c r="BE298" s="473"/>
      <c r="BF298" s="610"/>
      <c r="BG298" s="610"/>
      <c r="BH298" s="610"/>
      <c r="BI298" s="610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</row>
    <row r="299" spans="1:148" s="22" customFormat="1" x14ac:dyDescent="0.25">
      <c r="A299" s="20"/>
      <c r="B299" s="16"/>
      <c r="C299" s="473"/>
      <c r="D299" s="473"/>
      <c r="E299" s="1164"/>
      <c r="F299" s="473"/>
      <c r="G299" s="473"/>
      <c r="H299" s="1164"/>
      <c r="I299" s="473"/>
      <c r="J299" s="473"/>
      <c r="K299" s="1164"/>
      <c r="L299" s="473"/>
      <c r="M299" s="473"/>
      <c r="N299" s="1164"/>
      <c r="O299" s="473"/>
      <c r="P299" s="473"/>
      <c r="Q299" s="1164"/>
      <c r="R299" s="473"/>
      <c r="S299" s="473"/>
      <c r="T299" s="1164"/>
      <c r="U299" s="1164"/>
      <c r="V299" s="473"/>
      <c r="W299" s="473"/>
      <c r="X299" s="1164"/>
      <c r="Y299" s="473"/>
      <c r="Z299" s="473"/>
      <c r="AA299" s="1164"/>
      <c r="AB299" s="473"/>
      <c r="AC299" s="1164"/>
      <c r="AD299" s="473"/>
      <c r="AE299" s="1164"/>
      <c r="AF299" s="473"/>
      <c r="AG299" s="1164"/>
      <c r="AH299" s="473"/>
      <c r="AI299" s="473"/>
      <c r="AJ299" s="1164"/>
      <c r="AK299" s="473"/>
      <c r="AL299" s="473"/>
      <c r="AM299" s="1164"/>
      <c r="AN299" s="473"/>
      <c r="AO299" s="473"/>
      <c r="AP299" s="1164"/>
      <c r="AQ299" s="473"/>
      <c r="AR299" s="473"/>
      <c r="AS299" s="1236"/>
      <c r="AT299" s="473"/>
      <c r="AU299" s="473"/>
      <c r="AV299" s="1164"/>
      <c r="AW299" s="1164"/>
      <c r="AX299" s="1236"/>
      <c r="AY299" s="473"/>
      <c r="AZ299" s="1236"/>
      <c r="BA299" s="473"/>
      <c r="BB299" s="473"/>
      <c r="BC299" s="1164"/>
      <c r="BD299" s="20"/>
      <c r="BE299" s="473"/>
      <c r="BF299" s="610"/>
      <c r="BG299" s="610"/>
      <c r="BH299" s="610"/>
      <c r="BI299" s="610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</row>
    <row r="300" spans="1:148" s="22" customFormat="1" x14ac:dyDescent="0.25">
      <c r="A300" s="20"/>
      <c r="B300" s="16"/>
      <c r="C300" s="473"/>
      <c r="D300" s="473"/>
      <c r="E300" s="1164"/>
      <c r="F300" s="473"/>
      <c r="G300" s="473"/>
      <c r="H300" s="1164"/>
      <c r="I300" s="473"/>
      <c r="J300" s="473"/>
      <c r="K300" s="1164"/>
      <c r="L300" s="473"/>
      <c r="M300" s="473"/>
      <c r="N300" s="1164"/>
      <c r="O300" s="473"/>
      <c r="P300" s="473"/>
      <c r="Q300" s="1164"/>
      <c r="R300" s="473"/>
      <c r="S300" s="473"/>
      <c r="T300" s="1164"/>
      <c r="U300" s="1164"/>
      <c r="V300" s="473"/>
      <c r="W300" s="473"/>
      <c r="X300" s="1164"/>
      <c r="Y300" s="473"/>
      <c r="Z300" s="473"/>
      <c r="AA300" s="1164"/>
      <c r="AB300" s="473"/>
      <c r="AC300" s="1164"/>
      <c r="AD300" s="473"/>
      <c r="AE300" s="1164"/>
      <c r="AF300" s="473"/>
      <c r="AG300" s="1164"/>
      <c r="AH300" s="473"/>
      <c r="AI300" s="473"/>
      <c r="AJ300" s="1164"/>
      <c r="AK300" s="473"/>
      <c r="AL300" s="473"/>
      <c r="AM300" s="1164"/>
      <c r="AN300" s="473"/>
      <c r="AO300" s="473"/>
      <c r="AP300" s="1164"/>
      <c r="AQ300" s="473"/>
      <c r="AR300" s="473"/>
      <c r="AS300" s="1236"/>
      <c r="AT300" s="473"/>
      <c r="AU300" s="473"/>
      <c r="AV300" s="1164"/>
      <c r="AW300" s="1164"/>
      <c r="AX300" s="1236"/>
      <c r="AY300" s="473"/>
      <c r="AZ300" s="1236"/>
      <c r="BA300" s="473"/>
      <c r="BB300" s="473"/>
      <c r="BC300" s="1164"/>
      <c r="BD300" s="20"/>
      <c r="BE300" s="473"/>
      <c r="BF300" s="610"/>
      <c r="BG300" s="610"/>
      <c r="BH300" s="610"/>
      <c r="BI300" s="610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</row>
    <row r="301" spans="1:148" s="22" customFormat="1" x14ac:dyDescent="0.25">
      <c r="A301" s="20"/>
      <c r="B301" s="16"/>
      <c r="C301" s="473"/>
      <c r="D301" s="473"/>
      <c r="E301" s="1164"/>
      <c r="F301" s="473"/>
      <c r="G301" s="473"/>
      <c r="H301" s="1164"/>
      <c r="I301" s="473"/>
      <c r="J301" s="473"/>
      <c r="K301" s="1164"/>
      <c r="L301" s="473"/>
      <c r="M301" s="473"/>
      <c r="N301" s="1164"/>
      <c r="O301" s="473"/>
      <c r="P301" s="473"/>
      <c r="Q301" s="1164"/>
      <c r="R301" s="473"/>
      <c r="S301" s="473"/>
      <c r="T301" s="1164"/>
      <c r="U301" s="1164"/>
      <c r="V301" s="473"/>
      <c r="W301" s="473"/>
      <c r="X301" s="1164"/>
      <c r="Y301" s="473"/>
      <c r="Z301" s="473"/>
      <c r="AA301" s="1164"/>
      <c r="AB301" s="473"/>
      <c r="AC301" s="1164"/>
      <c r="AD301" s="473"/>
      <c r="AE301" s="1164"/>
      <c r="AF301" s="473"/>
      <c r="AG301" s="1164"/>
      <c r="AH301" s="473"/>
      <c r="AI301" s="473"/>
      <c r="AJ301" s="1164"/>
      <c r="AK301" s="473"/>
      <c r="AL301" s="473"/>
      <c r="AM301" s="1164"/>
      <c r="AN301" s="473"/>
      <c r="AO301" s="473"/>
      <c r="AP301" s="1164"/>
      <c r="AQ301" s="473"/>
      <c r="AR301" s="473"/>
      <c r="AS301" s="1236"/>
      <c r="AT301" s="473"/>
      <c r="AU301" s="473"/>
      <c r="AV301" s="1164"/>
      <c r="AW301" s="1164"/>
      <c r="AX301" s="1236"/>
      <c r="AY301" s="473"/>
      <c r="AZ301" s="1236"/>
      <c r="BA301" s="473"/>
      <c r="BB301" s="473"/>
      <c r="BC301" s="1164"/>
      <c r="BD301" s="20"/>
      <c r="BE301" s="473"/>
      <c r="BF301" s="610"/>
      <c r="BG301" s="610"/>
      <c r="BH301" s="610"/>
      <c r="BI301" s="610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</row>
    <row r="302" spans="1:148" s="22" customFormat="1" x14ac:dyDescent="0.25">
      <c r="A302" s="20"/>
      <c r="B302" s="16"/>
      <c r="C302" s="473"/>
      <c r="D302" s="473"/>
      <c r="E302" s="1164"/>
      <c r="F302" s="473"/>
      <c r="G302" s="473"/>
      <c r="H302" s="1164"/>
      <c r="I302" s="473"/>
      <c r="J302" s="473"/>
      <c r="K302" s="1164"/>
      <c r="L302" s="473"/>
      <c r="M302" s="473"/>
      <c r="N302" s="1164"/>
      <c r="O302" s="473"/>
      <c r="P302" s="473"/>
      <c r="Q302" s="1164"/>
      <c r="R302" s="473"/>
      <c r="S302" s="473"/>
      <c r="T302" s="1164"/>
      <c r="U302" s="1164"/>
      <c r="V302" s="473"/>
      <c r="W302" s="473"/>
      <c r="X302" s="1164"/>
      <c r="Y302" s="473"/>
      <c r="Z302" s="473"/>
      <c r="AA302" s="1164"/>
      <c r="AB302" s="473"/>
      <c r="AC302" s="1164"/>
      <c r="AD302" s="473"/>
      <c r="AE302" s="1164"/>
      <c r="AF302" s="473"/>
      <c r="AG302" s="1164"/>
      <c r="AH302" s="473"/>
      <c r="AI302" s="473"/>
      <c r="AJ302" s="1164"/>
      <c r="AK302" s="473"/>
      <c r="AL302" s="473"/>
      <c r="AM302" s="1164"/>
      <c r="AN302" s="473"/>
      <c r="AO302" s="473"/>
      <c r="AP302" s="1164"/>
      <c r="AQ302" s="473"/>
      <c r="AR302" s="473"/>
      <c r="AS302" s="1236"/>
      <c r="AT302" s="473"/>
      <c r="AU302" s="473"/>
      <c r="AV302" s="1164"/>
      <c r="AW302" s="1164"/>
      <c r="AX302" s="1236"/>
      <c r="AY302" s="473"/>
      <c r="AZ302" s="1236"/>
      <c r="BA302" s="473"/>
      <c r="BB302" s="473"/>
      <c r="BC302" s="1164"/>
      <c r="BD302" s="20"/>
      <c r="BE302" s="473"/>
      <c r="BF302" s="610"/>
      <c r="BG302" s="610"/>
      <c r="BH302" s="610"/>
      <c r="BI302" s="610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</row>
    <row r="303" spans="1:148" s="22" customFormat="1" x14ac:dyDescent="0.25">
      <c r="A303" s="20"/>
      <c r="B303" s="16"/>
      <c r="C303" s="473"/>
      <c r="D303" s="473"/>
      <c r="E303" s="1164"/>
      <c r="F303" s="473"/>
      <c r="G303" s="473"/>
      <c r="H303" s="1164"/>
      <c r="I303" s="473"/>
      <c r="J303" s="473"/>
      <c r="K303" s="1164"/>
      <c r="L303" s="473"/>
      <c r="M303" s="473"/>
      <c r="N303" s="1164"/>
      <c r="O303" s="473"/>
      <c r="P303" s="473"/>
      <c r="Q303" s="1164"/>
      <c r="R303" s="473"/>
      <c r="S303" s="473"/>
      <c r="T303" s="1164"/>
      <c r="U303" s="1164"/>
      <c r="V303" s="473"/>
      <c r="W303" s="473"/>
      <c r="X303" s="1164"/>
      <c r="Y303" s="473"/>
      <c r="Z303" s="473"/>
      <c r="AA303" s="1164"/>
      <c r="AB303" s="473"/>
      <c r="AC303" s="1164"/>
      <c r="AD303" s="473"/>
      <c r="AE303" s="1164"/>
      <c r="AF303" s="473"/>
      <c r="AG303" s="1164"/>
      <c r="AH303" s="473"/>
      <c r="AI303" s="473"/>
      <c r="AJ303" s="1164"/>
      <c r="AK303" s="473"/>
      <c r="AL303" s="473"/>
      <c r="AM303" s="1164"/>
      <c r="AN303" s="473"/>
      <c r="AO303" s="473"/>
      <c r="AP303" s="1164"/>
      <c r="AQ303" s="473"/>
      <c r="AR303" s="473"/>
      <c r="AS303" s="1236"/>
      <c r="AT303" s="473"/>
      <c r="AU303" s="473"/>
      <c r="AV303" s="1164"/>
      <c r="AW303" s="1164"/>
      <c r="AX303" s="1236"/>
      <c r="AY303" s="473"/>
      <c r="AZ303" s="1236"/>
      <c r="BA303" s="473"/>
      <c r="BB303" s="473"/>
      <c r="BC303" s="1164"/>
      <c r="BD303" s="20"/>
      <c r="BE303" s="473"/>
      <c r="BF303" s="610"/>
      <c r="BG303" s="610"/>
      <c r="BH303" s="610"/>
      <c r="BI303" s="610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</row>
    <row r="304" spans="1:148" s="22" customFormat="1" x14ac:dyDescent="0.25">
      <c r="A304" s="20"/>
      <c r="B304" s="16"/>
      <c r="C304" s="473"/>
      <c r="D304" s="473"/>
      <c r="E304" s="1164"/>
      <c r="F304" s="473"/>
      <c r="G304" s="473"/>
      <c r="H304" s="1164"/>
      <c r="I304" s="473"/>
      <c r="J304" s="473"/>
      <c r="K304" s="1164"/>
      <c r="L304" s="473"/>
      <c r="M304" s="473"/>
      <c r="N304" s="1164"/>
      <c r="O304" s="473"/>
      <c r="P304" s="473"/>
      <c r="Q304" s="1164"/>
      <c r="R304" s="473"/>
      <c r="S304" s="473"/>
      <c r="T304" s="1164"/>
      <c r="U304" s="1164"/>
      <c r="V304" s="473"/>
      <c r="W304" s="473"/>
      <c r="X304" s="1164"/>
      <c r="Y304" s="473"/>
      <c r="Z304" s="473"/>
      <c r="AA304" s="1164"/>
      <c r="AB304" s="473"/>
      <c r="AC304" s="1164"/>
      <c r="AD304" s="473"/>
      <c r="AE304" s="1164"/>
      <c r="AF304" s="473"/>
      <c r="AG304" s="1164"/>
      <c r="AH304" s="473"/>
      <c r="AI304" s="473"/>
      <c r="AJ304" s="1164"/>
      <c r="AK304" s="473"/>
      <c r="AL304" s="473"/>
      <c r="AM304" s="1164"/>
      <c r="AN304" s="473"/>
      <c r="AO304" s="473"/>
      <c r="AP304" s="1164"/>
      <c r="AQ304" s="473"/>
      <c r="AR304" s="473"/>
      <c r="AS304" s="1236"/>
      <c r="AT304" s="473"/>
      <c r="AU304" s="473"/>
      <c r="AV304" s="1164"/>
      <c r="AW304" s="1164"/>
      <c r="AX304" s="1236"/>
      <c r="AY304" s="473"/>
      <c r="AZ304" s="1236"/>
      <c r="BA304" s="473"/>
      <c r="BB304" s="473"/>
      <c r="BC304" s="1164"/>
      <c r="BD304" s="20"/>
      <c r="BE304" s="473"/>
      <c r="BF304" s="610"/>
      <c r="BG304" s="610"/>
      <c r="BH304" s="610"/>
      <c r="BI304" s="610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</row>
    <row r="305" spans="1:148" s="22" customFormat="1" x14ac:dyDescent="0.25">
      <c r="A305" s="20"/>
      <c r="B305" s="16"/>
      <c r="C305" s="473"/>
      <c r="D305" s="473"/>
      <c r="E305" s="1164"/>
      <c r="F305" s="473"/>
      <c r="G305" s="473"/>
      <c r="H305" s="1164"/>
      <c r="I305" s="473"/>
      <c r="J305" s="473"/>
      <c r="K305" s="1164"/>
      <c r="L305" s="473"/>
      <c r="M305" s="473"/>
      <c r="N305" s="1164"/>
      <c r="O305" s="473"/>
      <c r="P305" s="473"/>
      <c r="Q305" s="1164"/>
      <c r="R305" s="473"/>
      <c r="S305" s="473"/>
      <c r="T305" s="1164"/>
      <c r="U305" s="1164"/>
      <c r="V305" s="473"/>
      <c r="W305" s="473"/>
      <c r="X305" s="1164"/>
      <c r="Y305" s="473"/>
      <c r="Z305" s="473"/>
      <c r="AA305" s="1164"/>
      <c r="AB305" s="473"/>
      <c r="AC305" s="1164"/>
      <c r="AD305" s="473"/>
      <c r="AE305" s="1164"/>
      <c r="AF305" s="473"/>
      <c r="AG305" s="1164"/>
      <c r="AH305" s="473"/>
      <c r="AI305" s="473"/>
      <c r="AJ305" s="1164"/>
      <c r="AK305" s="473"/>
      <c r="AL305" s="473"/>
      <c r="AM305" s="1164"/>
      <c r="AN305" s="473"/>
      <c r="AO305" s="473"/>
      <c r="AP305" s="1164"/>
      <c r="AQ305" s="473"/>
      <c r="AR305" s="473"/>
      <c r="AS305" s="1236"/>
      <c r="AT305" s="473"/>
      <c r="AU305" s="473"/>
      <c r="AV305" s="1164"/>
      <c r="AW305" s="1164"/>
      <c r="AX305" s="1236"/>
      <c r="AY305" s="473"/>
      <c r="AZ305" s="1236"/>
      <c r="BA305" s="473"/>
      <c r="BB305" s="473"/>
      <c r="BC305" s="1164"/>
      <c r="BD305" s="20"/>
      <c r="BE305" s="473"/>
      <c r="BF305" s="610"/>
      <c r="BG305" s="610"/>
      <c r="BH305" s="610"/>
      <c r="BI305" s="610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</row>
    <row r="306" spans="1:148" s="22" customFormat="1" x14ac:dyDescent="0.25">
      <c r="A306" s="20"/>
      <c r="B306" s="16"/>
      <c r="C306" s="473"/>
      <c r="D306" s="473"/>
      <c r="E306" s="1164"/>
      <c r="F306" s="473"/>
      <c r="G306" s="473"/>
      <c r="H306" s="1164"/>
      <c r="I306" s="473"/>
      <c r="J306" s="473"/>
      <c r="K306" s="1164"/>
      <c r="L306" s="473"/>
      <c r="M306" s="473"/>
      <c r="N306" s="1164"/>
      <c r="O306" s="473"/>
      <c r="P306" s="473"/>
      <c r="Q306" s="1164"/>
      <c r="R306" s="473"/>
      <c r="S306" s="473"/>
      <c r="T306" s="1164"/>
      <c r="U306" s="1164"/>
      <c r="V306" s="473"/>
      <c r="W306" s="473"/>
      <c r="X306" s="1164"/>
      <c r="Y306" s="473"/>
      <c r="Z306" s="473"/>
      <c r="AA306" s="1164"/>
      <c r="AB306" s="473"/>
      <c r="AC306" s="1164"/>
      <c r="AD306" s="473"/>
      <c r="AE306" s="1164"/>
      <c r="AF306" s="473"/>
      <c r="AG306" s="1164"/>
      <c r="AH306" s="473"/>
      <c r="AI306" s="473"/>
      <c r="AJ306" s="1164"/>
      <c r="AK306" s="473"/>
      <c r="AL306" s="473"/>
      <c r="AM306" s="1164"/>
      <c r="AN306" s="473"/>
      <c r="AO306" s="473"/>
      <c r="AP306" s="1164"/>
      <c r="AQ306" s="473"/>
      <c r="AR306" s="473"/>
      <c r="AS306" s="1236"/>
      <c r="AT306" s="473"/>
      <c r="AU306" s="473"/>
      <c r="AV306" s="1164"/>
      <c r="AW306" s="1164"/>
      <c r="AX306" s="1236"/>
      <c r="AY306" s="473"/>
      <c r="AZ306" s="1236"/>
      <c r="BA306" s="473"/>
      <c r="BB306" s="473"/>
      <c r="BC306" s="1164"/>
      <c r="BD306" s="20"/>
      <c r="BE306" s="473"/>
      <c r="BF306" s="610"/>
      <c r="BG306" s="610"/>
      <c r="BH306" s="610"/>
      <c r="BI306" s="610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</row>
    <row r="307" spans="1:148" s="22" customFormat="1" x14ac:dyDescent="0.25">
      <c r="A307" s="20"/>
      <c r="B307" s="16"/>
      <c r="C307" s="473"/>
      <c r="D307" s="473"/>
      <c r="E307" s="1164"/>
      <c r="F307" s="473"/>
      <c r="G307" s="473"/>
      <c r="H307" s="1164"/>
      <c r="I307" s="473"/>
      <c r="J307" s="473"/>
      <c r="K307" s="1164"/>
      <c r="L307" s="473"/>
      <c r="M307" s="473"/>
      <c r="N307" s="1164"/>
      <c r="O307" s="473"/>
      <c r="P307" s="473"/>
      <c r="Q307" s="1164"/>
      <c r="R307" s="473"/>
      <c r="S307" s="473"/>
      <c r="T307" s="1164"/>
      <c r="U307" s="1164"/>
      <c r="V307" s="473"/>
      <c r="W307" s="473"/>
      <c r="X307" s="1164"/>
      <c r="Y307" s="473"/>
      <c r="Z307" s="473"/>
      <c r="AA307" s="1164"/>
      <c r="AB307" s="473"/>
      <c r="AC307" s="1164"/>
      <c r="AD307" s="473"/>
      <c r="AE307" s="1164"/>
      <c r="AF307" s="473"/>
      <c r="AG307" s="1164"/>
      <c r="AH307" s="473"/>
      <c r="AI307" s="473"/>
      <c r="AJ307" s="1164"/>
      <c r="AK307" s="473"/>
      <c r="AL307" s="473"/>
      <c r="AM307" s="1164"/>
      <c r="AN307" s="473"/>
      <c r="AO307" s="473"/>
      <c r="AP307" s="1164"/>
      <c r="AQ307" s="473"/>
      <c r="AR307" s="473"/>
      <c r="AS307" s="1236"/>
      <c r="AT307" s="473"/>
      <c r="AU307" s="473"/>
      <c r="AV307" s="1164"/>
      <c r="AW307" s="1164"/>
      <c r="AX307" s="1236"/>
      <c r="AY307" s="473"/>
      <c r="AZ307" s="1236"/>
      <c r="BA307" s="473"/>
      <c r="BB307" s="473"/>
      <c r="BC307" s="1164"/>
      <c r="BD307" s="20"/>
      <c r="BE307" s="473"/>
      <c r="BF307" s="610"/>
      <c r="BG307" s="610"/>
      <c r="BH307" s="610"/>
      <c r="BI307" s="610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</row>
    <row r="308" spans="1:148" s="22" customFormat="1" x14ac:dyDescent="0.25">
      <c r="A308" s="20"/>
      <c r="B308" s="16"/>
      <c r="C308" s="473"/>
      <c r="D308" s="473"/>
      <c r="E308" s="1164"/>
      <c r="F308" s="473"/>
      <c r="G308" s="473"/>
      <c r="H308" s="1164"/>
      <c r="I308" s="473"/>
      <c r="J308" s="473"/>
      <c r="K308" s="1164"/>
      <c r="L308" s="473"/>
      <c r="M308" s="473"/>
      <c r="N308" s="1164"/>
      <c r="O308" s="473"/>
      <c r="P308" s="473"/>
      <c r="Q308" s="1164"/>
      <c r="R308" s="473"/>
      <c r="S308" s="473"/>
      <c r="T308" s="1164"/>
      <c r="U308" s="1164"/>
      <c r="V308" s="473"/>
      <c r="W308" s="473"/>
      <c r="X308" s="1164"/>
      <c r="Y308" s="473"/>
      <c r="Z308" s="473"/>
      <c r="AA308" s="1164"/>
      <c r="AB308" s="473"/>
      <c r="AC308" s="1164"/>
      <c r="AD308" s="473"/>
      <c r="AE308" s="1164"/>
      <c r="AF308" s="473"/>
      <c r="AG308" s="1164"/>
      <c r="AH308" s="473"/>
      <c r="AI308" s="473"/>
      <c r="AJ308" s="1164"/>
      <c r="AK308" s="473"/>
      <c r="AL308" s="473"/>
      <c r="AM308" s="1164"/>
      <c r="AN308" s="473"/>
      <c r="AO308" s="473"/>
      <c r="AP308" s="1164"/>
      <c r="AQ308" s="473"/>
      <c r="AR308" s="473"/>
      <c r="AS308" s="1236"/>
      <c r="AT308" s="473"/>
      <c r="AU308" s="473"/>
      <c r="AV308" s="1164"/>
      <c r="AW308" s="1164"/>
      <c r="AX308" s="1236"/>
      <c r="AY308" s="473"/>
      <c r="AZ308" s="1236"/>
      <c r="BA308" s="473"/>
      <c r="BB308" s="473"/>
      <c r="BC308" s="1164"/>
      <c r="BD308" s="20"/>
      <c r="BE308" s="473"/>
      <c r="BF308" s="610"/>
      <c r="BG308" s="610"/>
      <c r="BH308" s="610"/>
      <c r="BI308" s="610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</row>
    <row r="309" spans="1:148" s="22" customFormat="1" x14ac:dyDescent="0.25">
      <c r="A309" s="20"/>
      <c r="B309" s="16"/>
      <c r="C309" s="473"/>
      <c r="D309" s="473"/>
      <c r="E309" s="1164"/>
      <c r="F309" s="473"/>
      <c r="G309" s="473"/>
      <c r="H309" s="1164"/>
      <c r="I309" s="473"/>
      <c r="J309" s="473"/>
      <c r="K309" s="1164"/>
      <c r="L309" s="473"/>
      <c r="M309" s="473"/>
      <c r="N309" s="1164"/>
      <c r="O309" s="473"/>
      <c r="P309" s="473"/>
      <c r="Q309" s="1164"/>
      <c r="R309" s="473"/>
      <c r="S309" s="473"/>
      <c r="T309" s="1164"/>
      <c r="U309" s="1164"/>
      <c r="V309" s="473"/>
      <c r="W309" s="473"/>
      <c r="X309" s="1164"/>
      <c r="Y309" s="473"/>
      <c r="Z309" s="473"/>
      <c r="AA309" s="1164"/>
      <c r="AB309" s="473"/>
      <c r="AC309" s="1164"/>
      <c r="AD309" s="473"/>
      <c r="AE309" s="1164"/>
      <c r="AF309" s="473"/>
      <c r="AG309" s="1164"/>
      <c r="AH309" s="473"/>
      <c r="AI309" s="473"/>
      <c r="AJ309" s="1164"/>
      <c r="AK309" s="473"/>
      <c r="AL309" s="473"/>
      <c r="AM309" s="1164"/>
      <c r="AN309" s="473"/>
      <c r="AO309" s="473"/>
      <c r="AP309" s="1164"/>
      <c r="AQ309" s="473"/>
      <c r="AR309" s="473"/>
      <c r="AS309" s="1236"/>
      <c r="AT309" s="473"/>
      <c r="AU309" s="473"/>
      <c r="AV309" s="1164"/>
      <c r="AW309" s="1164"/>
      <c r="AX309" s="1236"/>
      <c r="AY309" s="473"/>
      <c r="AZ309" s="1236"/>
      <c r="BA309" s="473"/>
      <c r="BB309" s="473"/>
      <c r="BC309" s="1164"/>
      <c r="BD309" s="20"/>
      <c r="BE309" s="473"/>
      <c r="BF309" s="610"/>
      <c r="BG309" s="610"/>
      <c r="BH309" s="610"/>
      <c r="BI309" s="610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</row>
    <row r="310" spans="1:148" s="22" customFormat="1" x14ac:dyDescent="0.25">
      <c r="A310" s="20"/>
      <c r="B310" s="16"/>
      <c r="C310" s="473"/>
      <c r="D310" s="473"/>
      <c r="E310" s="1164"/>
      <c r="F310" s="473"/>
      <c r="G310" s="473"/>
      <c r="H310" s="1164"/>
      <c r="I310" s="473"/>
      <c r="J310" s="473"/>
      <c r="K310" s="1164"/>
      <c r="L310" s="473"/>
      <c r="M310" s="473"/>
      <c r="N310" s="1164"/>
      <c r="O310" s="473"/>
      <c r="P310" s="473"/>
      <c r="Q310" s="1164"/>
      <c r="R310" s="473"/>
      <c r="S310" s="473"/>
      <c r="T310" s="1164"/>
      <c r="U310" s="1164"/>
      <c r="V310" s="473"/>
      <c r="W310" s="473"/>
      <c r="X310" s="1164"/>
      <c r="Y310" s="473"/>
      <c r="Z310" s="473"/>
      <c r="AA310" s="1164"/>
      <c r="AB310" s="473"/>
      <c r="AC310" s="1164"/>
      <c r="AD310" s="473"/>
      <c r="AE310" s="1164"/>
      <c r="AF310" s="473"/>
      <c r="AG310" s="1164"/>
      <c r="AH310" s="473"/>
      <c r="AI310" s="473"/>
      <c r="AJ310" s="1164"/>
      <c r="AK310" s="473"/>
      <c r="AL310" s="473"/>
      <c r="AM310" s="1164"/>
      <c r="AN310" s="473"/>
      <c r="AO310" s="473"/>
      <c r="AP310" s="1164"/>
      <c r="AQ310" s="473"/>
      <c r="AR310" s="473"/>
      <c r="AS310" s="1236"/>
      <c r="AT310" s="473"/>
      <c r="AU310" s="473"/>
      <c r="AV310" s="1164"/>
      <c r="AW310" s="1164"/>
      <c r="AX310" s="1236"/>
      <c r="AY310" s="473"/>
      <c r="AZ310" s="1236"/>
      <c r="BA310" s="473"/>
      <c r="BB310" s="473"/>
      <c r="BC310" s="1164"/>
      <c r="BD310" s="20"/>
      <c r="BE310" s="473"/>
      <c r="BF310" s="610"/>
      <c r="BG310" s="610"/>
      <c r="BH310" s="610"/>
      <c r="BI310" s="610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</row>
    <row r="311" spans="1:148" s="22" customFormat="1" x14ac:dyDescent="0.25">
      <c r="A311" s="20"/>
      <c r="B311" s="16"/>
      <c r="C311" s="473"/>
      <c r="D311" s="473"/>
      <c r="E311" s="1164"/>
      <c r="F311" s="473"/>
      <c r="G311" s="473"/>
      <c r="H311" s="1164"/>
      <c r="I311" s="473"/>
      <c r="J311" s="473"/>
      <c r="K311" s="1164"/>
      <c r="L311" s="473"/>
      <c r="M311" s="473"/>
      <c r="N311" s="1164"/>
      <c r="O311" s="473"/>
      <c r="P311" s="473"/>
      <c r="Q311" s="1164"/>
      <c r="R311" s="473"/>
      <c r="S311" s="473"/>
      <c r="T311" s="1164"/>
      <c r="U311" s="1164"/>
      <c r="V311" s="473"/>
      <c r="W311" s="473"/>
      <c r="X311" s="1164"/>
      <c r="Y311" s="473"/>
      <c r="Z311" s="473"/>
      <c r="AA311" s="1164"/>
      <c r="AB311" s="473"/>
      <c r="AC311" s="1164"/>
      <c r="AD311" s="473"/>
      <c r="AE311" s="1164"/>
      <c r="AF311" s="473"/>
      <c r="AG311" s="1164"/>
      <c r="AH311" s="473"/>
      <c r="AI311" s="473"/>
      <c r="AJ311" s="1164"/>
      <c r="AK311" s="473"/>
      <c r="AL311" s="473"/>
      <c r="AM311" s="1164"/>
      <c r="AN311" s="473"/>
      <c r="AO311" s="473"/>
      <c r="AP311" s="1164"/>
      <c r="AQ311" s="473"/>
      <c r="AR311" s="473"/>
      <c r="AS311" s="1236"/>
      <c r="AT311" s="473"/>
      <c r="AU311" s="473"/>
      <c r="AV311" s="1164"/>
      <c r="AW311" s="1164"/>
      <c r="AX311" s="1236"/>
      <c r="AY311" s="473"/>
      <c r="AZ311" s="1236"/>
      <c r="BA311" s="473"/>
      <c r="BB311" s="473"/>
      <c r="BC311" s="1164"/>
      <c r="BD311" s="20"/>
      <c r="BE311" s="473"/>
      <c r="BF311" s="610"/>
      <c r="BG311" s="610"/>
      <c r="BH311" s="610"/>
      <c r="BI311" s="610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</row>
    <row r="312" spans="1:148" s="22" customFormat="1" x14ac:dyDescent="0.25">
      <c r="A312" s="20"/>
      <c r="B312" s="16"/>
      <c r="C312" s="473"/>
      <c r="D312" s="473"/>
      <c r="E312" s="1164"/>
      <c r="F312" s="473"/>
      <c r="G312" s="473"/>
      <c r="H312" s="1164"/>
      <c r="I312" s="473"/>
      <c r="J312" s="473"/>
      <c r="K312" s="1164"/>
      <c r="L312" s="473"/>
      <c r="M312" s="473"/>
      <c r="N312" s="1164"/>
      <c r="O312" s="473"/>
      <c r="P312" s="473"/>
      <c r="Q312" s="1164"/>
      <c r="R312" s="473"/>
      <c r="S312" s="473"/>
      <c r="T312" s="1164"/>
      <c r="U312" s="1164"/>
      <c r="V312" s="473"/>
      <c r="W312" s="473"/>
      <c r="X312" s="1164"/>
      <c r="Y312" s="473"/>
      <c r="Z312" s="473"/>
      <c r="AA312" s="1164"/>
      <c r="AB312" s="473"/>
      <c r="AC312" s="1164"/>
      <c r="AD312" s="473"/>
      <c r="AE312" s="1164"/>
      <c r="AF312" s="473"/>
      <c r="AG312" s="1164"/>
      <c r="AH312" s="473"/>
      <c r="AI312" s="473"/>
      <c r="AJ312" s="1164"/>
      <c r="AK312" s="473"/>
      <c r="AL312" s="473"/>
      <c r="AM312" s="1164"/>
      <c r="AN312" s="473"/>
      <c r="AO312" s="473"/>
      <c r="AP312" s="1164"/>
      <c r="AQ312" s="473"/>
      <c r="AR312" s="473"/>
      <c r="AS312" s="1236"/>
      <c r="AT312" s="473"/>
      <c r="AU312" s="473"/>
      <c r="AV312" s="1164"/>
      <c r="AW312" s="1164"/>
      <c r="AX312" s="1236"/>
      <c r="AY312" s="473"/>
      <c r="AZ312" s="1236"/>
      <c r="BA312" s="473"/>
      <c r="BB312" s="473"/>
      <c r="BC312" s="1164"/>
      <c r="BD312" s="20"/>
      <c r="BE312" s="473"/>
      <c r="BF312" s="610"/>
      <c r="BG312" s="610"/>
      <c r="BH312" s="610"/>
      <c r="BI312" s="610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</row>
    <row r="313" spans="1:148" s="22" customFormat="1" x14ac:dyDescent="0.25">
      <c r="A313" s="20"/>
      <c r="B313" s="16"/>
      <c r="C313" s="473"/>
      <c r="D313" s="473"/>
      <c r="E313" s="1164"/>
      <c r="F313" s="473"/>
      <c r="G313" s="473"/>
      <c r="H313" s="1164"/>
      <c r="I313" s="473"/>
      <c r="J313" s="473"/>
      <c r="K313" s="1164"/>
      <c r="L313" s="473"/>
      <c r="M313" s="473"/>
      <c r="N313" s="1164"/>
      <c r="O313" s="473"/>
      <c r="P313" s="473"/>
      <c r="Q313" s="1164"/>
      <c r="R313" s="473"/>
      <c r="S313" s="473"/>
      <c r="T313" s="1164"/>
      <c r="U313" s="1164"/>
      <c r="V313" s="473"/>
      <c r="W313" s="473"/>
      <c r="X313" s="1164"/>
      <c r="Y313" s="473"/>
      <c r="Z313" s="473"/>
      <c r="AA313" s="1164"/>
      <c r="AB313" s="473"/>
      <c r="AC313" s="1164"/>
      <c r="AD313" s="473"/>
      <c r="AE313" s="1164"/>
      <c r="AF313" s="473"/>
      <c r="AG313" s="1164"/>
      <c r="AH313" s="473"/>
      <c r="AI313" s="473"/>
      <c r="AJ313" s="1164"/>
      <c r="AK313" s="473"/>
      <c r="AL313" s="473"/>
      <c r="AM313" s="1164"/>
      <c r="AN313" s="473"/>
      <c r="AO313" s="473"/>
      <c r="AP313" s="1164"/>
      <c r="AQ313" s="473"/>
      <c r="AR313" s="473"/>
      <c r="AS313" s="1236"/>
      <c r="AT313" s="473"/>
      <c r="AU313" s="473"/>
      <c r="AV313" s="1164"/>
      <c r="AW313" s="1164"/>
      <c r="AX313" s="1236"/>
      <c r="AY313" s="473"/>
      <c r="AZ313" s="1236"/>
      <c r="BA313" s="473"/>
      <c r="BB313" s="473"/>
      <c r="BC313" s="1164"/>
      <c r="BD313" s="20"/>
      <c r="BE313" s="473"/>
      <c r="BF313" s="610"/>
      <c r="BG313" s="610"/>
      <c r="BH313" s="610"/>
      <c r="BI313" s="610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</row>
    <row r="314" spans="1:148" s="22" customFormat="1" x14ac:dyDescent="0.25">
      <c r="A314" s="20"/>
      <c r="B314" s="16"/>
      <c r="C314" s="473"/>
      <c r="D314" s="473"/>
      <c r="E314" s="1164"/>
      <c r="F314" s="473"/>
      <c r="G314" s="473"/>
      <c r="H314" s="1164"/>
      <c r="I314" s="473"/>
      <c r="J314" s="473"/>
      <c r="K314" s="1164"/>
      <c r="L314" s="473"/>
      <c r="M314" s="473"/>
      <c r="N314" s="1164"/>
      <c r="O314" s="473"/>
      <c r="P314" s="473"/>
      <c r="Q314" s="1164"/>
      <c r="R314" s="473"/>
      <c r="S314" s="473"/>
      <c r="T314" s="1164"/>
      <c r="U314" s="1164"/>
      <c r="V314" s="473"/>
      <c r="W314" s="473"/>
      <c r="X314" s="1164"/>
      <c r="Y314" s="473"/>
      <c r="Z314" s="473"/>
      <c r="AA314" s="1164"/>
      <c r="AB314" s="473"/>
      <c r="AC314" s="1164"/>
      <c r="AD314" s="473"/>
      <c r="AE314" s="1164"/>
      <c r="AF314" s="473"/>
      <c r="AG314" s="1164"/>
      <c r="AH314" s="473"/>
      <c r="AI314" s="473"/>
      <c r="AJ314" s="1164"/>
      <c r="AK314" s="473"/>
      <c r="AL314" s="473"/>
      <c r="AM314" s="1164"/>
      <c r="AN314" s="473"/>
      <c r="AO314" s="473"/>
      <c r="AP314" s="1164"/>
      <c r="AQ314" s="473"/>
      <c r="AR314" s="473"/>
      <c r="AS314" s="1236"/>
      <c r="AT314" s="473"/>
      <c r="AU314" s="473"/>
      <c r="AV314" s="1164"/>
      <c r="AW314" s="1164"/>
      <c r="AX314" s="1236"/>
      <c r="AY314" s="473"/>
      <c r="AZ314" s="1236"/>
      <c r="BA314" s="473"/>
      <c r="BB314" s="473"/>
      <c r="BC314" s="1164"/>
      <c r="BD314" s="20"/>
      <c r="BE314" s="473"/>
      <c r="BF314" s="610"/>
      <c r="BG314" s="610"/>
      <c r="BH314" s="610"/>
      <c r="BI314" s="610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</row>
    <row r="315" spans="1:148" s="22" customFormat="1" x14ac:dyDescent="0.25">
      <c r="A315" s="20"/>
      <c r="B315" s="16"/>
      <c r="C315" s="473"/>
      <c r="D315" s="473"/>
      <c r="E315" s="1164"/>
      <c r="F315" s="473"/>
      <c r="G315" s="473"/>
      <c r="H315" s="1164"/>
      <c r="I315" s="473"/>
      <c r="J315" s="473"/>
      <c r="K315" s="1164"/>
      <c r="L315" s="473"/>
      <c r="M315" s="473"/>
      <c r="N315" s="1164"/>
      <c r="O315" s="473"/>
      <c r="P315" s="473"/>
      <c r="Q315" s="1164"/>
      <c r="R315" s="473"/>
      <c r="S315" s="473"/>
      <c r="T315" s="1164"/>
      <c r="U315" s="1164"/>
      <c r="V315" s="473"/>
      <c r="W315" s="473"/>
      <c r="X315" s="1164"/>
      <c r="Y315" s="473"/>
      <c r="Z315" s="473"/>
      <c r="AA315" s="1164"/>
      <c r="AB315" s="473"/>
      <c r="AC315" s="1164"/>
      <c r="AD315" s="473"/>
      <c r="AE315" s="1164"/>
      <c r="AF315" s="473"/>
      <c r="AG315" s="1164"/>
      <c r="AH315" s="473"/>
      <c r="AI315" s="473"/>
      <c r="AJ315" s="1164"/>
      <c r="AK315" s="473"/>
      <c r="AL315" s="473"/>
      <c r="AM315" s="1164"/>
      <c r="AN315" s="473"/>
      <c r="AO315" s="473"/>
      <c r="AP315" s="1164"/>
      <c r="AQ315" s="473"/>
      <c r="AR315" s="473"/>
      <c r="AS315" s="1236"/>
      <c r="AT315" s="473"/>
      <c r="AU315" s="473"/>
      <c r="AV315" s="1164"/>
      <c r="AW315" s="1164"/>
      <c r="AX315" s="1236"/>
      <c r="AY315" s="473"/>
      <c r="AZ315" s="1236"/>
      <c r="BA315" s="473"/>
      <c r="BB315" s="473"/>
      <c r="BC315" s="1164"/>
      <c r="BD315" s="20"/>
      <c r="BE315" s="473"/>
      <c r="BF315" s="610"/>
      <c r="BG315" s="610"/>
      <c r="BH315" s="610"/>
      <c r="BI315" s="610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</row>
    <row r="316" spans="1:148" s="22" customFormat="1" x14ac:dyDescent="0.25">
      <c r="A316" s="20"/>
      <c r="B316" s="16"/>
      <c r="C316" s="473"/>
      <c r="D316" s="473"/>
      <c r="E316" s="1164"/>
      <c r="F316" s="473"/>
      <c r="G316" s="473"/>
      <c r="H316" s="1164"/>
      <c r="I316" s="473"/>
      <c r="J316" s="473"/>
      <c r="K316" s="1164"/>
      <c r="L316" s="473"/>
      <c r="M316" s="473"/>
      <c r="N316" s="1164"/>
      <c r="O316" s="473"/>
      <c r="P316" s="473"/>
      <c r="Q316" s="1164"/>
      <c r="R316" s="473"/>
      <c r="S316" s="473"/>
      <c r="T316" s="1164"/>
      <c r="U316" s="1164"/>
      <c r="V316" s="473"/>
      <c r="W316" s="473"/>
      <c r="X316" s="1164"/>
      <c r="Y316" s="473"/>
      <c r="Z316" s="473"/>
      <c r="AA316" s="1164"/>
      <c r="AB316" s="473"/>
      <c r="AC316" s="1164"/>
      <c r="AD316" s="473"/>
      <c r="AE316" s="1164"/>
      <c r="AF316" s="473"/>
      <c r="AG316" s="1164"/>
      <c r="AH316" s="473"/>
      <c r="AI316" s="473"/>
      <c r="AJ316" s="1164"/>
      <c r="AK316" s="473"/>
      <c r="AL316" s="473"/>
      <c r="AM316" s="1164"/>
      <c r="AN316" s="473"/>
      <c r="AO316" s="473"/>
      <c r="AP316" s="1164"/>
      <c r="AQ316" s="473"/>
      <c r="AR316" s="473"/>
      <c r="AS316" s="1236"/>
      <c r="AT316" s="473"/>
      <c r="AU316" s="473"/>
      <c r="AV316" s="1164"/>
      <c r="AW316" s="1164"/>
      <c r="AX316" s="1236"/>
      <c r="AY316" s="473"/>
      <c r="AZ316" s="1236"/>
      <c r="BA316" s="473"/>
      <c r="BB316" s="473"/>
      <c r="BC316" s="1164"/>
      <c r="BD316" s="20"/>
      <c r="BE316" s="473"/>
      <c r="BF316" s="610"/>
      <c r="BG316" s="610"/>
      <c r="BH316" s="610"/>
      <c r="BI316" s="610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</row>
    <row r="317" spans="1:148" s="22" customFormat="1" x14ac:dyDescent="0.25">
      <c r="A317" s="20"/>
      <c r="B317" s="16"/>
      <c r="C317" s="473"/>
      <c r="D317" s="473"/>
      <c r="E317" s="1164"/>
      <c r="F317" s="473"/>
      <c r="G317" s="473"/>
      <c r="H317" s="1164"/>
      <c r="I317" s="473"/>
      <c r="J317" s="473"/>
      <c r="K317" s="1164"/>
      <c r="L317" s="473"/>
      <c r="M317" s="473"/>
      <c r="N317" s="1164"/>
      <c r="O317" s="473"/>
      <c r="P317" s="473"/>
      <c r="Q317" s="1164"/>
      <c r="R317" s="473"/>
      <c r="S317" s="473"/>
      <c r="T317" s="1164"/>
      <c r="U317" s="1164"/>
      <c r="V317" s="473"/>
      <c r="W317" s="473"/>
      <c r="X317" s="1164"/>
      <c r="Y317" s="473"/>
      <c r="Z317" s="473"/>
      <c r="AA317" s="1164"/>
      <c r="AB317" s="473"/>
      <c r="AC317" s="1164"/>
      <c r="AD317" s="473"/>
      <c r="AE317" s="1164"/>
      <c r="AF317" s="473"/>
      <c r="AG317" s="1164"/>
      <c r="AH317" s="473"/>
      <c r="AI317" s="473"/>
      <c r="AJ317" s="1164"/>
      <c r="AK317" s="473"/>
      <c r="AL317" s="473"/>
      <c r="AM317" s="1164"/>
      <c r="AN317" s="473"/>
      <c r="AO317" s="473"/>
      <c r="AP317" s="1164"/>
      <c r="AQ317" s="473"/>
      <c r="AR317" s="473"/>
      <c r="AS317" s="1236"/>
      <c r="AT317" s="473"/>
      <c r="AU317" s="473"/>
      <c r="AV317" s="1164"/>
      <c r="AW317" s="1164"/>
      <c r="AX317" s="1236"/>
      <c r="AY317" s="473"/>
      <c r="AZ317" s="1236"/>
      <c r="BA317" s="473"/>
      <c r="BB317" s="473"/>
      <c r="BC317" s="1164"/>
      <c r="BD317" s="20"/>
      <c r="BE317" s="473"/>
      <c r="BF317" s="610"/>
      <c r="BG317" s="610"/>
      <c r="BH317" s="610"/>
      <c r="BI317" s="610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</row>
    <row r="318" spans="1:148" s="22" customFormat="1" x14ac:dyDescent="0.25">
      <c r="A318" s="20"/>
      <c r="B318" s="16"/>
      <c r="C318" s="473"/>
      <c r="D318" s="473"/>
      <c r="E318" s="1164"/>
      <c r="F318" s="473"/>
      <c r="G318" s="473"/>
      <c r="H318" s="1164"/>
      <c r="I318" s="473"/>
      <c r="J318" s="473"/>
      <c r="K318" s="1164"/>
      <c r="L318" s="473"/>
      <c r="M318" s="473"/>
      <c r="N318" s="1164"/>
      <c r="O318" s="473"/>
      <c r="P318" s="473"/>
      <c r="Q318" s="1164"/>
      <c r="R318" s="473"/>
      <c r="S318" s="473"/>
      <c r="T318" s="1164"/>
      <c r="U318" s="1164"/>
      <c r="V318" s="473"/>
      <c r="W318" s="473"/>
      <c r="X318" s="1164"/>
      <c r="Y318" s="473"/>
      <c r="Z318" s="473"/>
      <c r="AA318" s="1164"/>
      <c r="AB318" s="473"/>
      <c r="AC318" s="1164"/>
      <c r="AD318" s="473"/>
      <c r="AE318" s="1164"/>
      <c r="AF318" s="473"/>
      <c r="AG318" s="1164"/>
      <c r="AH318" s="473"/>
      <c r="AI318" s="473"/>
      <c r="AJ318" s="1164"/>
      <c r="AK318" s="473"/>
      <c r="AL318" s="473"/>
      <c r="AM318" s="1164"/>
      <c r="AN318" s="473"/>
      <c r="AO318" s="473"/>
      <c r="AP318" s="1164"/>
      <c r="AQ318" s="473"/>
      <c r="AR318" s="473"/>
      <c r="AS318" s="1236"/>
      <c r="AT318" s="473"/>
      <c r="AU318" s="473"/>
      <c r="AV318" s="1164"/>
      <c r="AW318" s="1164"/>
      <c r="AX318" s="1236"/>
      <c r="AY318" s="473"/>
      <c r="AZ318" s="1236"/>
      <c r="BA318" s="473"/>
      <c r="BB318" s="473"/>
      <c r="BC318" s="1164"/>
      <c r="BD318" s="20"/>
      <c r="BE318" s="473"/>
      <c r="BF318" s="610"/>
      <c r="BG318" s="610"/>
      <c r="BH318" s="610"/>
      <c r="BI318" s="610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</row>
    <row r="319" spans="1:148" s="22" customFormat="1" x14ac:dyDescent="0.25">
      <c r="A319" s="20"/>
      <c r="B319" s="16"/>
      <c r="C319" s="473"/>
      <c r="D319" s="473"/>
      <c r="E319" s="1164"/>
      <c r="F319" s="473"/>
      <c r="G319" s="473"/>
      <c r="H319" s="1164"/>
      <c r="I319" s="473"/>
      <c r="J319" s="473"/>
      <c r="K319" s="1164"/>
      <c r="L319" s="473"/>
      <c r="M319" s="473"/>
      <c r="N319" s="1164"/>
      <c r="O319" s="473"/>
      <c r="P319" s="473"/>
      <c r="Q319" s="1164"/>
      <c r="R319" s="473"/>
      <c r="S319" s="473"/>
      <c r="T319" s="1164"/>
      <c r="U319" s="1164"/>
      <c r="V319" s="473"/>
      <c r="W319" s="473"/>
      <c r="X319" s="1164"/>
      <c r="Y319" s="473"/>
      <c r="Z319" s="473"/>
      <c r="AA319" s="1164"/>
      <c r="AB319" s="473"/>
      <c r="AC319" s="1164"/>
      <c r="AD319" s="473"/>
      <c r="AE319" s="1164"/>
      <c r="AF319" s="473"/>
      <c r="AG319" s="1164"/>
      <c r="AH319" s="473"/>
      <c r="AI319" s="473"/>
      <c r="AJ319" s="1164"/>
      <c r="AK319" s="473"/>
      <c r="AL319" s="473"/>
      <c r="AM319" s="1164"/>
      <c r="AN319" s="473"/>
      <c r="AO319" s="473"/>
      <c r="AP319" s="1164"/>
      <c r="AQ319" s="473"/>
      <c r="AR319" s="473"/>
      <c r="AS319" s="1236"/>
      <c r="AT319" s="473"/>
      <c r="AU319" s="473"/>
      <c r="AV319" s="1164"/>
      <c r="AW319" s="1164"/>
      <c r="AX319" s="1236"/>
      <c r="AY319" s="473"/>
      <c r="AZ319" s="1236"/>
      <c r="BA319" s="473"/>
      <c r="BB319" s="473"/>
      <c r="BC319" s="1164"/>
      <c r="BD319" s="20"/>
      <c r="BE319" s="473"/>
      <c r="BF319" s="610"/>
      <c r="BG319" s="610"/>
      <c r="BH319" s="610"/>
      <c r="BI319" s="610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</row>
    <row r="320" spans="1:148" s="22" customFormat="1" x14ac:dyDescent="0.25">
      <c r="A320" s="20"/>
      <c r="B320" s="16"/>
      <c r="C320" s="473"/>
      <c r="D320" s="473"/>
      <c r="E320" s="1164"/>
      <c r="F320" s="473"/>
      <c r="G320" s="473"/>
      <c r="H320" s="1164"/>
      <c r="I320" s="473"/>
      <c r="J320" s="473"/>
      <c r="K320" s="1164"/>
      <c r="L320" s="473"/>
      <c r="M320" s="473"/>
      <c r="N320" s="1164"/>
      <c r="O320" s="473"/>
      <c r="P320" s="473"/>
      <c r="Q320" s="1164"/>
      <c r="R320" s="473"/>
      <c r="S320" s="473"/>
      <c r="T320" s="1164"/>
      <c r="U320" s="1164"/>
      <c r="V320" s="473"/>
      <c r="W320" s="473"/>
      <c r="X320" s="1164"/>
      <c r="Y320" s="473"/>
      <c r="Z320" s="473"/>
      <c r="AA320" s="1164"/>
      <c r="AB320" s="473"/>
      <c r="AC320" s="1164"/>
      <c r="AD320" s="473"/>
      <c r="AE320" s="1164"/>
      <c r="AF320" s="473"/>
      <c r="AG320" s="1164"/>
      <c r="AH320" s="473"/>
      <c r="AI320" s="473"/>
      <c r="AJ320" s="1164"/>
      <c r="AK320" s="473"/>
      <c r="AL320" s="473"/>
      <c r="AM320" s="1164"/>
      <c r="AN320" s="473"/>
      <c r="AO320" s="473"/>
      <c r="AP320" s="1164"/>
      <c r="AQ320" s="473"/>
      <c r="AR320" s="473"/>
      <c r="AS320" s="1236"/>
      <c r="AT320" s="473"/>
      <c r="AU320" s="473"/>
      <c r="AV320" s="1164"/>
      <c r="AW320" s="1164"/>
      <c r="AX320" s="1236"/>
      <c r="AY320" s="473"/>
      <c r="AZ320" s="1236"/>
      <c r="BA320" s="473"/>
      <c r="BB320" s="473"/>
      <c r="BC320" s="1164"/>
      <c r="BD320" s="20"/>
      <c r="BE320" s="473"/>
      <c r="BF320" s="610"/>
      <c r="BG320" s="610"/>
      <c r="BH320" s="610"/>
      <c r="BI320" s="610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</row>
    <row r="321" spans="1:148" s="22" customFormat="1" x14ac:dyDescent="0.25">
      <c r="A321" s="20"/>
      <c r="B321" s="16"/>
      <c r="C321" s="473"/>
      <c r="D321" s="473"/>
      <c r="E321" s="1164"/>
      <c r="F321" s="473"/>
      <c r="G321" s="473"/>
      <c r="H321" s="1164"/>
      <c r="I321" s="473"/>
      <c r="J321" s="473"/>
      <c r="K321" s="1164"/>
      <c r="L321" s="473"/>
      <c r="M321" s="473"/>
      <c r="N321" s="1164"/>
      <c r="O321" s="473"/>
      <c r="P321" s="473"/>
      <c r="Q321" s="1164"/>
      <c r="R321" s="473"/>
      <c r="S321" s="473"/>
      <c r="T321" s="1164"/>
      <c r="U321" s="1164"/>
      <c r="V321" s="473"/>
      <c r="W321" s="473"/>
      <c r="X321" s="1164"/>
      <c r="Y321" s="473"/>
      <c r="Z321" s="473"/>
      <c r="AA321" s="1164"/>
      <c r="AB321" s="473"/>
      <c r="AC321" s="1164"/>
      <c r="AD321" s="473"/>
      <c r="AE321" s="1164"/>
      <c r="AF321" s="473"/>
      <c r="AG321" s="1164"/>
      <c r="AH321" s="473"/>
      <c r="AI321" s="473"/>
      <c r="AJ321" s="1164"/>
      <c r="AK321" s="473"/>
      <c r="AL321" s="473"/>
      <c r="AM321" s="1164"/>
      <c r="AN321" s="473"/>
      <c r="AO321" s="473"/>
      <c r="AP321" s="1164"/>
      <c r="AQ321" s="473"/>
      <c r="AR321" s="473"/>
      <c r="AS321" s="1236"/>
      <c r="AT321" s="473"/>
      <c r="AU321" s="473"/>
      <c r="AV321" s="1164"/>
      <c r="AW321" s="1164"/>
      <c r="AX321" s="1236"/>
      <c r="AY321" s="473"/>
      <c r="AZ321" s="1236"/>
      <c r="BA321" s="473"/>
      <c r="BB321" s="473"/>
      <c r="BC321" s="1164"/>
      <c r="BD321" s="20"/>
      <c r="BE321" s="473"/>
      <c r="BF321" s="610"/>
      <c r="BG321" s="610"/>
      <c r="BH321" s="610"/>
      <c r="BI321" s="610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</row>
    <row r="322" spans="1:148" s="22" customFormat="1" x14ac:dyDescent="0.25">
      <c r="A322" s="20"/>
      <c r="B322" s="16"/>
      <c r="C322" s="473"/>
      <c r="D322" s="473"/>
      <c r="E322" s="1164"/>
      <c r="F322" s="473"/>
      <c r="G322" s="473"/>
      <c r="H322" s="1164"/>
      <c r="I322" s="473"/>
      <c r="J322" s="473"/>
      <c r="K322" s="1164"/>
      <c r="L322" s="473"/>
      <c r="M322" s="473"/>
      <c r="N322" s="1164"/>
      <c r="O322" s="473"/>
      <c r="P322" s="473"/>
      <c r="Q322" s="1164"/>
      <c r="R322" s="473"/>
      <c r="S322" s="473"/>
      <c r="T322" s="1164"/>
      <c r="U322" s="1164"/>
      <c r="V322" s="473"/>
      <c r="W322" s="473"/>
      <c r="X322" s="1164"/>
      <c r="Y322" s="473"/>
      <c r="Z322" s="473"/>
      <c r="AA322" s="1164"/>
      <c r="AB322" s="473"/>
      <c r="AC322" s="1164"/>
      <c r="AD322" s="473"/>
      <c r="AE322" s="1164"/>
      <c r="AF322" s="473"/>
      <c r="AG322" s="1164"/>
      <c r="AH322" s="473"/>
      <c r="AI322" s="473"/>
      <c r="AJ322" s="1164"/>
      <c r="AK322" s="473"/>
      <c r="AL322" s="473"/>
      <c r="AM322" s="1164"/>
      <c r="AN322" s="473"/>
      <c r="AO322" s="473"/>
      <c r="AP322" s="1164"/>
      <c r="AQ322" s="473"/>
      <c r="AR322" s="473"/>
      <c r="AS322" s="1236"/>
      <c r="AT322" s="473"/>
      <c r="AU322" s="473"/>
      <c r="AV322" s="1164"/>
      <c r="AW322" s="1164"/>
      <c r="AX322" s="1236"/>
      <c r="AY322" s="473"/>
      <c r="AZ322" s="1236"/>
      <c r="BA322" s="473"/>
      <c r="BB322" s="473"/>
      <c r="BC322" s="1164"/>
      <c r="BD322" s="20"/>
      <c r="BE322" s="473"/>
      <c r="BF322" s="610"/>
      <c r="BG322" s="610"/>
      <c r="BH322" s="610"/>
      <c r="BI322" s="610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</row>
    <row r="323" spans="1:148" s="22" customFormat="1" x14ac:dyDescent="0.25">
      <c r="A323" s="20"/>
      <c r="B323" s="16"/>
      <c r="C323" s="473"/>
      <c r="D323" s="473"/>
      <c r="E323" s="1164"/>
      <c r="F323" s="473"/>
      <c r="G323" s="473"/>
      <c r="H323" s="1164"/>
      <c r="I323" s="473"/>
      <c r="J323" s="473"/>
      <c r="K323" s="1164"/>
      <c r="L323" s="473"/>
      <c r="M323" s="473"/>
      <c r="N323" s="1164"/>
      <c r="O323" s="473"/>
      <c r="P323" s="473"/>
      <c r="Q323" s="1164"/>
      <c r="R323" s="473"/>
      <c r="S323" s="473"/>
      <c r="T323" s="1164"/>
      <c r="U323" s="1164"/>
      <c r="V323" s="473"/>
      <c r="W323" s="473"/>
      <c r="X323" s="1164"/>
      <c r="Y323" s="473"/>
      <c r="Z323" s="473"/>
      <c r="AA323" s="1164"/>
      <c r="AB323" s="473"/>
      <c r="AC323" s="1164"/>
      <c r="AD323" s="473"/>
      <c r="AE323" s="1164"/>
      <c r="AF323" s="473"/>
      <c r="AG323" s="1164"/>
      <c r="AH323" s="473"/>
      <c r="AI323" s="473"/>
      <c r="AJ323" s="1164"/>
      <c r="AK323" s="473"/>
      <c r="AL323" s="473"/>
      <c r="AM323" s="1164"/>
      <c r="AN323" s="473"/>
      <c r="AO323" s="473"/>
      <c r="AP323" s="1164"/>
      <c r="AQ323" s="473"/>
      <c r="AR323" s="473"/>
      <c r="AS323" s="1236"/>
      <c r="AT323" s="473"/>
      <c r="AU323" s="473"/>
      <c r="AV323" s="1164"/>
      <c r="AW323" s="1164"/>
      <c r="AX323" s="1236"/>
      <c r="AY323" s="473"/>
      <c r="AZ323" s="1236"/>
      <c r="BA323" s="473"/>
      <c r="BB323" s="473"/>
      <c r="BC323" s="1164"/>
      <c r="BD323" s="20"/>
      <c r="BE323" s="473"/>
      <c r="BF323" s="610"/>
      <c r="BG323" s="610"/>
      <c r="BH323" s="610"/>
      <c r="BI323" s="610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</row>
    <row r="324" spans="1:148" s="22" customFormat="1" x14ac:dyDescent="0.25">
      <c r="A324" s="20"/>
      <c r="B324" s="16"/>
      <c r="C324" s="473"/>
      <c r="D324" s="473"/>
      <c r="E324" s="1164"/>
      <c r="F324" s="473"/>
      <c r="G324" s="473"/>
      <c r="H324" s="1164"/>
      <c r="I324" s="473"/>
      <c r="J324" s="473"/>
      <c r="K324" s="1164"/>
      <c r="L324" s="473"/>
      <c r="M324" s="473"/>
      <c r="N324" s="1164"/>
      <c r="O324" s="473"/>
      <c r="P324" s="473"/>
      <c r="Q324" s="1164"/>
      <c r="R324" s="473"/>
      <c r="S324" s="473"/>
      <c r="T324" s="1164"/>
      <c r="U324" s="1164"/>
      <c r="V324" s="473"/>
      <c r="W324" s="473"/>
      <c r="X324" s="1164"/>
      <c r="Y324" s="473"/>
      <c r="Z324" s="473"/>
      <c r="AA324" s="1164"/>
      <c r="AB324" s="473"/>
      <c r="AC324" s="1164"/>
      <c r="AD324" s="473"/>
      <c r="AE324" s="1164"/>
      <c r="AF324" s="473"/>
      <c r="AG324" s="1164"/>
      <c r="AH324" s="473"/>
      <c r="AI324" s="473"/>
      <c r="AJ324" s="1164"/>
      <c r="AK324" s="473"/>
      <c r="AL324" s="473"/>
      <c r="AM324" s="1164"/>
      <c r="AN324" s="473"/>
      <c r="AO324" s="473"/>
      <c r="AP324" s="1164"/>
      <c r="AQ324" s="473"/>
      <c r="AR324" s="473"/>
      <c r="AS324" s="1236"/>
      <c r="AT324" s="473"/>
      <c r="AU324" s="473"/>
      <c r="AV324" s="1164"/>
      <c r="AW324" s="1164"/>
      <c r="AX324" s="1236"/>
      <c r="AY324" s="473"/>
      <c r="AZ324" s="1236"/>
      <c r="BA324" s="473"/>
      <c r="BB324" s="473"/>
      <c r="BC324" s="1164"/>
      <c r="BD324" s="20"/>
      <c r="BE324" s="473"/>
      <c r="BF324" s="610"/>
      <c r="BG324" s="610"/>
      <c r="BH324" s="610"/>
      <c r="BI324" s="610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</row>
    <row r="325" spans="1:148" s="22" customFormat="1" x14ac:dyDescent="0.25">
      <c r="A325" s="20"/>
      <c r="B325" s="16"/>
      <c r="C325" s="473"/>
      <c r="D325" s="473"/>
      <c r="E325" s="1164"/>
      <c r="F325" s="473"/>
      <c r="G325" s="473"/>
      <c r="H325" s="1164"/>
      <c r="I325" s="473"/>
      <c r="J325" s="473"/>
      <c r="K325" s="1164"/>
      <c r="L325" s="473"/>
      <c r="M325" s="473"/>
      <c r="N325" s="1164"/>
      <c r="O325" s="473"/>
      <c r="P325" s="473"/>
      <c r="Q325" s="1164"/>
      <c r="R325" s="473"/>
      <c r="S325" s="473"/>
      <c r="T325" s="1164"/>
      <c r="U325" s="1164"/>
      <c r="V325" s="473"/>
      <c r="W325" s="473"/>
      <c r="X325" s="1164"/>
      <c r="Y325" s="473"/>
      <c r="Z325" s="473"/>
      <c r="AA325" s="1164"/>
      <c r="AB325" s="473"/>
      <c r="AC325" s="1164"/>
      <c r="AD325" s="473"/>
      <c r="AE325" s="1164"/>
      <c r="AF325" s="473"/>
      <c r="AG325" s="1164"/>
      <c r="AH325" s="473"/>
      <c r="AI325" s="473"/>
      <c r="AJ325" s="1164"/>
      <c r="AK325" s="473"/>
      <c r="AL325" s="473"/>
      <c r="AM325" s="1164"/>
      <c r="AN325" s="473"/>
      <c r="AO325" s="473"/>
      <c r="AP325" s="1164"/>
      <c r="AQ325" s="473"/>
      <c r="AR325" s="473"/>
      <c r="AS325" s="1236"/>
      <c r="AT325" s="473"/>
      <c r="AU325" s="473"/>
      <c r="AV325" s="1164"/>
      <c r="AW325" s="1164"/>
      <c r="AX325" s="1236"/>
      <c r="AY325" s="473"/>
      <c r="AZ325" s="1236"/>
      <c r="BA325" s="473"/>
      <c r="BB325" s="473"/>
      <c r="BC325" s="1164"/>
      <c r="BD325" s="20"/>
      <c r="BE325" s="473"/>
      <c r="BF325" s="610"/>
      <c r="BG325" s="610"/>
      <c r="BH325" s="610"/>
      <c r="BI325" s="610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</row>
    <row r="326" spans="1:148" s="22" customFormat="1" x14ac:dyDescent="0.25">
      <c r="A326" s="20"/>
      <c r="B326" s="16"/>
      <c r="C326" s="473"/>
      <c r="D326" s="473"/>
      <c r="E326" s="1164"/>
      <c r="F326" s="473"/>
      <c r="G326" s="473"/>
      <c r="H326" s="1164"/>
      <c r="I326" s="473"/>
      <c r="J326" s="473"/>
      <c r="K326" s="1164"/>
      <c r="L326" s="473"/>
      <c r="M326" s="473"/>
      <c r="N326" s="1164"/>
      <c r="O326" s="473"/>
      <c r="P326" s="473"/>
      <c r="Q326" s="1164"/>
      <c r="R326" s="473"/>
      <c r="S326" s="473"/>
      <c r="T326" s="1164"/>
      <c r="U326" s="1164"/>
      <c r="V326" s="473"/>
      <c r="W326" s="473"/>
      <c r="X326" s="1164"/>
      <c r="Y326" s="473"/>
      <c r="Z326" s="473"/>
      <c r="AA326" s="1164"/>
      <c r="AB326" s="473"/>
      <c r="AC326" s="1164"/>
      <c r="AD326" s="473"/>
      <c r="AE326" s="1164"/>
      <c r="AF326" s="473"/>
      <c r="AG326" s="1164"/>
      <c r="AH326" s="473"/>
      <c r="AI326" s="473"/>
      <c r="AJ326" s="1164"/>
      <c r="AK326" s="473"/>
      <c r="AL326" s="473"/>
      <c r="AM326" s="1164"/>
      <c r="AN326" s="473"/>
      <c r="AO326" s="473"/>
      <c r="AP326" s="1164"/>
      <c r="AQ326" s="473"/>
      <c r="AR326" s="473"/>
      <c r="AS326" s="1236"/>
      <c r="AT326" s="473"/>
      <c r="AU326" s="473"/>
      <c r="AV326" s="1164"/>
      <c r="AW326" s="1164"/>
      <c r="AX326" s="1236"/>
      <c r="AY326" s="473"/>
      <c r="AZ326" s="1236"/>
      <c r="BA326" s="473"/>
      <c r="BB326" s="473"/>
      <c r="BC326" s="1164"/>
      <c r="BD326" s="20"/>
      <c r="BE326" s="473"/>
      <c r="BF326" s="610"/>
      <c r="BG326" s="610"/>
      <c r="BH326" s="610"/>
      <c r="BI326" s="610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</row>
    <row r="327" spans="1:148" s="22" customFormat="1" x14ac:dyDescent="0.25">
      <c r="A327" s="20"/>
      <c r="B327" s="16"/>
      <c r="C327" s="473"/>
      <c r="D327" s="473"/>
      <c r="E327" s="1164"/>
      <c r="F327" s="473"/>
      <c r="G327" s="473"/>
      <c r="H327" s="1164"/>
      <c r="I327" s="473"/>
      <c r="J327" s="473"/>
      <c r="K327" s="1164"/>
      <c r="L327" s="473"/>
      <c r="M327" s="473"/>
      <c r="N327" s="1164"/>
      <c r="O327" s="473"/>
      <c r="P327" s="473"/>
      <c r="Q327" s="1164"/>
      <c r="R327" s="473"/>
      <c r="S327" s="473"/>
      <c r="T327" s="1164"/>
      <c r="U327" s="1164"/>
      <c r="V327" s="473"/>
      <c r="W327" s="473"/>
      <c r="X327" s="1164"/>
      <c r="Y327" s="473"/>
      <c r="Z327" s="473"/>
      <c r="AA327" s="1164"/>
      <c r="AB327" s="473"/>
      <c r="AC327" s="1164"/>
      <c r="AD327" s="473"/>
      <c r="AE327" s="1164"/>
      <c r="AF327" s="473"/>
      <c r="AG327" s="1164"/>
      <c r="AH327" s="473"/>
      <c r="AI327" s="473"/>
      <c r="AJ327" s="1164"/>
      <c r="AK327" s="473"/>
      <c r="AL327" s="473"/>
      <c r="AM327" s="1164"/>
      <c r="AN327" s="473"/>
      <c r="AO327" s="473"/>
      <c r="AP327" s="1164"/>
      <c r="AQ327" s="473"/>
      <c r="AR327" s="473"/>
      <c r="AS327" s="1236"/>
      <c r="AT327" s="473"/>
      <c r="AU327" s="473"/>
      <c r="AV327" s="1164"/>
      <c r="AW327" s="1164"/>
      <c r="AX327" s="1236"/>
      <c r="AY327" s="473"/>
      <c r="AZ327" s="1236"/>
      <c r="BA327" s="473"/>
      <c r="BB327" s="473"/>
      <c r="BC327" s="1164"/>
      <c r="BD327" s="20"/>
      <c r="BE327" s="473"/>
      <c r="BF327" s="610"/>
      <c r="BG327" s="610"/>
      <c r="BH327" s="610"/>
      <c r="BI327" s="610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</row>
    <row r="328" spans="1:148" s="22" customFormat="1" x14ac:dyDescent="0.25">
      <c r="A328" s="20"/>
      <c r="B328" s="16"/>
      <c r="C328" s="473"/>
      <c r="D328" s="473"/>
      <c r="E328" s="1164"/>
      <c r="F328" s="473"/>
      <c r="G328" s="473"/>
      <c r="H328" s="1164"/>
      <c r="I328" s="473"/>
      <c r="J328" s="473"/>
      <c r="K328" s="1164"/>
      <c r="L328" s="473"/>
      <c r="M328" s="473"/>
      <c r="N328" s="1164"/>
      <c r="O328" s="473"/>
      <c r="P328" s="473"/>
      <c r="Q328" s="1164"/>
      <c r="R328" s="473"/>
      <c r="S328" s="473"/>
      <c r="T328" s="1164"/>
      <c r="U328" s="1164"/>
      <c r="V328" s="473"/>
      <c r="W328" s="473"/>
      <c r="X328" s="1164"/>
      <c r="Y328" s="473"/>
      <c r="Z328" s="473"/>
      <c r="AA328" s="1164"/>
      <c r="AB328" s="473"/>
      <c r="AC328" s="1164"/>
      <c r="AD328" s="473"/>
      <c r="AE328" s="1164"/>
      <c r="AF328" s="473"/>
      <c r="AG328" s="1164"/>
      <c r="AH328" s="473"/>
      <c r="AI328" s="473"/>
      <c r="AJ328" s="1164"/>
      <c r="AK328" s="473"/>
      <c r="AL328" s="473"/>
      <c r="AM328" s="1164"/>
      <c r="AN328" s="473"/>
      <c r="AO328" s="473"/>
      <c r="AP328" s="1164"/>
      <c r="AQ328" s="473"/>
      <c r="AR328" s="473"/>
      <c r="AS328" s="1236"/>
      <c r="AT328" s="473"/>
      <c r="AU328" s="473"/>
      <c r="AV328" s="1164"/>
      <c r="AW328" s="1164"/>
      <c r="AX328" s="1236"/>
      <c r="AY328" s="473"/>
      <c r="AZ328" s="1236"/>
      <c r="BA328" s="473"/>
      <c r="BB328" s="473"/>
      <c r="BC328" s="1164"/>
      <c r="BD328" s="20"/>
      <c r="BE328" s="473"/>
      <c r="BF328" s="610"/>
      <c r="BG328" s="610"/>
      <c r="BH328" s="610"/>
      <c r="BI328" s="610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</row>
    <row r="329" spans="1:148" s="22" customFormat="1" x14ac:dyDescent="0.25">
      <c r="A329" s="20"/>
      <c r="B329" s="16"/>
      <c r="C329" s="473"/>
      <c r="D329" s="473"/>
      <c r="E329" s="1164"/>
      <c r="F329" s="473"/>
      <c r="G329" s="473"/>
      <c r="H329" s="1164"/>
      <c r="I329" s="473"/>
      <c r="J329" s="473"/>
      <c r="K329" s="1164"/>
      <c r="L329" s="473"/>
      <c r="M329" s="473"/>
      <c r="N329" s="1164"/>
      <c r="O329" s="473"/>
      <c r="P329" s="473"/>
      <c r="Q329" s="1164"/>
      <c r="R329" s="473"/>
      <c r="S329" s="473"/>
      <c r="T329" s="1164"/>
      <c r="U329" s="1164"/>
      <c r="V329" s="473"/>
      <c r="W329" s="473"/>
      <c r="X329" s="1164"/>
      <c r="Y329" s="473"/>
      <c r="Z329" s="473"/>
      <c r="AA329" s="1164"/>
      <c r="AB329" s="473"/>
      <c r="AC329" s="1164"/>
      <c r="AD329" s="473"/>
      <c r="AE329" s="1164"/>
      <c r="AF329" s="473"/>
      <c r="AG329" s="1164"/>
      <c r="AH329" s="473"/>
      <c r="AI329" s="473"/>
      <c r="AJ329" s="1164"/>
      <c r="AK329" s="473"/>
      <c r="AL329" s="473"/>
      <c r="AM329" s="1164"/>
      <c r="AN329" s="473"/>
      <c r="AO329" s="473"/>
      <c r="AP329" s="1164"/>
      <c r="AQ329" s="473"/>
      <c r="AR329" s="473"/>
      <c r="AS329" s="1236"/>
      <c r="AT329" s="473"/>
      <c r="AU329" s="473"/>
      <c r="AV329" s="1164"/>
      <c r="AW329" s="1164"/>
      <c r="AX329" s="1236"/>
      <c r="AY329" s="473"/>
      <c r="AZ329" s="1236"/>
      <c r="BA329" s="473"/>
      <c r="BB329" s="473"/>
      <c r="BC329" s="1164"/>
      <c r="BD329" s="20"/>
      <c r="BE329" s="473"/>
      <c r="BF329" s="610"/>
      <c r="BG329" s="610"/>
      <c r="BH329" s="610"/>
      <c r="BI329" s="610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</row>
    <row r="330" spans="1:148" s="22" customFormat="1" x14ac:dyDescent="0.25">
      <c r="A330" s="20"/>
      <c r="B330" s="16"/>
      <c r="C330" s="473"/>
      <c r="D330" s="473"/>
      <c r="E330" s="1164"/>
      <c r="F330" s="473"/>
      <c r="G330" s="473"/>
      <c r="H330" s="1164"/>
      <c r="I330" s="473"/>
      <c r="J330" s="473"/>
      <c r="K330" s="1164"/>
      <c r="L330" s="473"/>
      <c r="M330" s="473"/>
      <c r="N330" s="1164"/>
      <c r="O330" s="473"/>
      <c r="P330" s="473"/>
      <c r="Q330" s="1164"/>
      <c r="R330" s="473"/>
      <c r="S330" s="473"/>
      <c r="T330" s="1164"/>
      <c r="U330" s="1164"/>
      <c r="V330" s="473"/>
      <c r="W330" s="473"/>
      <c r="X330" s="1164"/>
      <c r="Y330" s="473"/>
      <c r="Z330" s="473"/>
      <c r="AA330" s="1164"/>
      <c r="AB330" s="473"/>
      <c r="AC330" s="1164"/>
      <c r="AD330" s="473"/>
      <c r="AE330" s="1164"/>
      <c r="AF330" s="473"/>
      <c r="AG330" s="1164"/>
      <c r="AH330" s="473"/>
      <c r="AI330" s="473"/>
      <c r="AJ330" s="1164"/>
      <c r="AK330" s="473"/>
      <c r="AL330" s="473"/>
      <c r="AM330" s="1164"/>
      <c r="AN330" s="473"/>
      <c r="AO330" s="473"/>
      <c r="AP330" s="1164"/>
      <c r="AQ330" s="473"/>
      <c r="AR330" s="473"/>
      <c r="AS330" s="1236"/>
      <c r="AT330" s="473"/>
      <c r="AU330" s="473"/>
      <c r="AV330" s="1164"/>
      <c r="AW330" s="1164"/>
      <c r="AX330" s="1236"/>
      <c r="AY330" s="473"/>
      <c r="AZ330" s="1236"/>
      <c r="BA330" s="473"/>
      <c r="BB330" s="473"/>
      <c r="BC330" s="1164"/>
      <c r="BD330" s="20"/>
      <c r="BE330" s="473"/>
      <c r="BF330" s="610"/>
      <c r="BG330" s="610"/>
      <c r="BH330" s="610"/>
      <c r="BI330" s="610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</row>
    <row r="331" spans="1:148" s="22" customFormat="1" x14ac:dyDescent="0.25">
      <c r="A331" s="20"/>
      <c r="B331" s="16"/>
      <c r="C331" s="473"/>
      <c r="D331" s="473"/>
      <c r="E331" s="1164"/>
      <c r="F331" s="473"/>
      <c r="G331" s="473"/>
      <c r="H331" s="1164"/>
      <c r="I331" s="473"/>
      <c r="J331" s="473"/>
      <c r="K331" s="1164"/>
      <c r="L331" s="473"/>
      <c r="M331" s="473"/>
      <c r="N331" s="1164"/>
      <c r="O331" s="473"/>
      <c r="P331" s="473"/>
      <c r="Q331" s="1164"/>
      <c r="R331" s="473"/>
      <c r="S331" s="473"/>
      <c r="T331" s="1164"/>
      <c r="U331" s="1164"/>
      <c r="V331" s="473"/>
      <c r="W331" s="473"/>
      <c r="X331" s="1164"/>
      <c r="Y331" s="473"/>
      <c r="Z331" s="473"/>
      <c r="AA331" s="1164"/>
      <c r="AB331" s="473"/>
      <c r="AC331" s="1164"/>
      <c r="AD331" s="473"/>
      <c r="AE331" s="1164"/>
      <c r="AF331" s="473"/>
      <c r="AG331" s="1164"/>
      <c r="AH331" s="473"/>
      <c r="AI331" s="473"/>
      <c r="AJ331" s="1164"/>
      <c r="AK331" s="473"/>
      <c r="AL331" s="473"/>
      <c r="AM331" s="1164"/>
      <c r="AN331" s="473"/>
      <c r="AO331" s="473"/>
      <c r="AP331" s="1164"/>
      <c r="AQ331" s="473"/>
      <c r="AR331" s="473"/>
      <c r="AS331" s="1236"/>
      <c r="AT331" s="473"/>
      <c r="AU331" s="473"/>
      <c r="AV331" s="1164"/>
      <c r="AW331" s="1164"/>
      <c r="AX331" s="1236"/>
      <c r="AY331" s="473"/>
      <c r="AZ331" s="1236"/>
      <c r="BA331" s="473"/>
      <c r="BB331" s="473"/>
      <c r="BC331" s="1164"/>
      <c r="BD331" s="20"/>
      <c r="BE331" s="473"/>
      <c r="BF331" s="610"/>
      <c r="BG331" s="610"/>
      <c r="BH331" s="610"/>
      <c r="BI331" s="610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</row>
    <row r="332" spans="1:148" s="22" customFormat="1" x14ac:dyDescent="0.25">
      <c r="A332" s="20"/>
      <c r="B332" s="16"/>
      <c r="C332" s="473"/>
      <c r="D332" s="473"/>
      <c r="E332" s="1164"/>
      <c r="F332" s="473"/>
      <c r="G332" s="473"/>
      <c r="H332" s="1164"/>
      <c r="I332" s="473"/>
      <c r="J332" s="473"/>
      <c r="K332" s="1164"/>
      <c r="L332" s="473"/>
      <c r="M332" s="473"/>
      <c r="N332" s="1164"/>
      <c r="O332" s="473"/>
      <c r="P332" s="473"/>
      <c r="Q332" s="1164"/>
      <c r="R332" s="473"/>
      <c r="S332" s="473"/>
      <c r="T332" s="1164"/>
      <c r="U332" s="1164"/>
      <c r="V332" s="473"/>
      <c r="W332" s="473"/>
      <c r="X332" s="1164"/>
      <c r="Y332" s="473"/>
      <c r="Z332" s="473"/>
      <c r="AA332" s="1164"/>
      <c r="AB332" s="473"/>
      <c r="AC332" s="1164"/>
      <c r="AD332" s="473"/>
      <c r="AE332" s="1164"/>
      <c r="AF332" s="473"/>
      <c r="AG332" s="1164"/>
      <c r="AH332" s="473"/>
      <c r="AI332" s="473"/>
      <c r="AJ332" s="1164"/>
      <c r="AK332" s="473"/>
      <c r="AL332" s="473"/>
      <c r="AM332" s="1164"/>
      <c r="AN332" s="473"/>
      <c r="AO332" s="473"/>
      <c r="AP332" s="1164"/>
      <c r="AQ332" s="473"/>
      <c r="AR332" s="473"/>
      <c r="AS332" s="1236"/>
      <c r="AT332" s="473"/>
      <c r="AU332" s="473"/>
      <c r="AV332" s="1164"/>
      <c r="AW332" s="1164"/>
      <c r="AX332" s="1236"/>
      <c r="AY332" s="473"/>
      <c r="AZ332" s="1236"/>
      <c r="BA332" s="473"/>
      <c r="BB332" s="473"/>
      <c r="BC332" s="1164"/>
      <c r="BD332" s="20"/>
      <c r="BE332" s="473"/>
      <c r="BF332" s="610"/>
      <c r="BG332" s="610"/>
      <c r="BH332" s="610"/>
      <c r="BI332" s="610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</row>
    <row r="333" spans="1:148" s="22" customFormat="1" x14ac:dyDescent="0.25">
      <c r="A333" s="20"/>
      <c r="B333" s="16"/>
      <c r="C333" s="473"/>
      <c r="D333" s="473"/>
      <c r="E333" s="1164"/>
      <c r="F333" s="473"/>
      <c r="G333" s="473"/>
      <c r="H333" s="1164"/>
      <c r="I333" s="473"/>
      <c r="J333" s="473"/>
      <c r="K333" s="1164"/>
      <c r="L333" s="473"/>
      <c r="M333" s="473"/>
      <c r="N333" s="1164"/>
      <c r="O333" s="473"/>
      <c r="P333" s="473"/>
      <c r="Q333" s="1164"/>
      <c r="R333" s="473"/>
      <c r="S333" s="473"/>
      <c r="T333" s="1164"/>
      <c r="U333" s="1164"/>
      <c r="V333" s="473"/>
      <c r="W333" s="473"/>
      <c r="X333" s="1164"/>
      <c r="Y333" s="473"/>
      <c r="Z333" s="473"/>
      <c r="AA333" s="1164"/>
      <c r="AB333" s="473"/>
      <c r="AC333" s="1164"/>
      <c r="AD333" s="473"/>
      <c r="AE333" s="1164"/>
      <c r="AF333" s="473"/>
      <c r="AG333" s="1164"/>
      <c r="AH333" s="473"/>
      <c r="AI333" s="473"/>
      <c r="AJ333" s="1164"/>
      <c r="AK333" s="473"/>
      <c r="AL333" s="473"/>
      <c r="AM333" s="1164"/>
      <c r="AN333" s="473"/>
      <c r="AO333" s="473"/>
      <c r="AP333" s="1164"/>
      <c r="AQ333" s="473"/>
      <c r="AR333" s="473"/>
      <c r="AS333" s="1236"/>
      <c r="AT333" s="473"/>
      <c r="AU333" s="473"/>
      <c r="AV333" s="1164"/>
      <c r="AW333" s="1164"/>
      <c r="AX333" s="1236"/>
      <c r="AY333" s="473"/>
      <c r="AZ333" s="1236"/>
      <c r="BA333" s="473"/>
      <c r="BB333" s="473"/>
      <c r="BC333" s="1164"/>
      <c r="BD333" s="20"/>
      <c r="BE333" s="473"/>
      <c r="BF333" s="610"/>
      <c r="BG333" s="610"/>
      <c r="BH333" s="610"/>
      <c r="BI333" s="610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</row>
    <row r="334" spans="1:148" s="22" customFormat="1" x14ac:dyDescent="0.25">
      <c r="A334" s="20"/>
      <c r="B334" s="16"/>
      <c r="C334" s="473"/>
      <c r="D334" s="473"/>
      <c r="E334" s="1164"/>
      <c r="F334" s="473"/>
      <c r="G334" s="473"/>
      <c r="H334" s="1164"/>
      <c r="I334" s="473"/>
      <c r="J334" s="473"/>
      <c r="K334" s="1164"/>
      <c r="L334" s="473"/>
      <c r="M334" s="473"/>
      <c r="N334" s="1164"/>
      <c r="O334" s="473"/>
      <c r="P334" s="473"/>
      <c r="Q334" s="1164"/>
      <c r="R334" s="473"/>
      <c r="S334" s="473"/>
      <c r="T334" s="1164"/>
      <c r="U334" s="1164"/>
      <c r="V334" s="473"/>
      <c r="W334" s="473"/>
      <c r="X334" s="1164"/>
      <c r="Y334" s="473"/>
      <c r="Z334" s="473"/>
      <c r="AA334" s="1164"/>
      <c r="AB334" s="473"/>
      <c r="AC334" s="1164"/>
      <c r="AD334" s="473"/>
      <c r="AE334" s="1164"/>
      <c r="AF334" s="473"/>
      <c r="AG334" s="1164"/>
      <c r="AH334" s="473"/>
      <c r="AI334" s="473"/>
      <c r="AJ334" s="1164"/>
      <c r="AK334" s="473"/>
      <c r="AL334" s="473"/>
      <c r="AM334" s="1164"/>
      <c r="AN334" s="473"/>
      <c r="AO334" s="473"/>
      <c r="AP334" s="1164"/>
      <c r="AQ334" s="473"/>
      <c r="AR334" s="473"/>
      <c r="AS334" s="1236"/>
      <c r="AT334" s="473"/>
      <c r="AU334" s="473"/>
      <c r="AV334" s="1164"/>
      <c r="AW334" s="1164"/>
      <c r="AX334" s="1236"/>
      <c r="AY334" s="473"/>
      <c r="AZ334" s="1236"/>
      <c r="BA334" s="473"/>
      <c r="BB334" s="473"/>
      <c r="BC334" s="1164"/>
      <c r="BD334" s="20"/>
      <c r="BE334" s="473"/>
      <c r="BF334" s="610"/>
      <c r="BG334" s="610"/>
      <c r="BH334" s="610"/>
      <c r="BI334" s="610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</row>
    <row r="335" spans="1:148" s="22" customFormat="1" x14ac:dyDescent="0.25">
      <c r="A335" s="20"/>
      <c r="B335" s="16"/>
      <c r="C335" s="473"/>
      <c r="D335" s="473"/>
      <c r="E335" s="1164"/>
      <c r="F335" s="473"/>
      <c r="G335" s="473"/>
      <c r="H335" s="1164"/>
      <c r="I335" s="473"/>
      <c r="J335" s="473"/>
      <c r="K335" s="1164"/>
      <c r="L335" s="473"/>
      <c r="M335" s="473"/>
      <c r="N335" s="1164"/>
      <c r="O335" s="473"/>
      <c r="P335" s="473"/>
      <c r="Q335" s="1164"/>
      <c r="R335" s="473"/>
      <c r="S335" s="473"/>
      <c r="T335" s="1164"/>
      <c r="U335" s="1164"/>
      <c r="V335" s="473"/>
      <c r="W335" s="473"/>
      <c r="X335" s="1164"/>
      <c r="Y335" s="473"/>
      <c r="Z335" s="473"/>
      <c r="AA335" s="1164"/>
      <c r="AB335" s="473"/>
      <c r="AC335" s="1164"/>
      <c r="AD335" s="473"/>
      <c r="AE335" s="1164"/>
      <c r="AF335" s="473"/>
      <c r="AG335" s="1164"/>
      <c r="AH335" s="473"/>
      <c r="AI335" s="473"/>
      <c r="AJ335" s="1164"/>
      <c r="AK335" s="473"/>
      <c r="AL335" s="473"/>
      <c r="AM335" s="1164"/>
      <c r="AN335" s="473"/>
      <c r="AO335" s="473"/>
      <c r="AP335" s="1164"/>
      <c r="AQ335" s="473"/>
      <c r="AR335" s="473"/>
      <c r="AS335" s="1236"/>
      <c r="AT335" s="473"/>
      <c r="AU335" s="473"/>
      <c r="AV335" s="1164"/>
      <c r="AW335" s="1164"/>
      <c r="AX335" s="1236"/>
      <c r="AY335" s="473"/>
      <c r="AZ335" s="1236"/>
      <c r="BA335" s="473"/>
      <c r="BB335" s="473"/>
      <c r="BC335" s="1164"/>
      <c r="BD335" s="20"/>
      <c r="BE335" s="473"/>
      <c r="BF335" s="610"/>
      <c r="BG335" s="610"/>
      <c r="BH335" s="610"/>
      <c r="BI335" s="610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</row>
    <row r="336" spans="1:148" s="22" customFormat="1" x14ac:dyDescent="0.25">
      <c r="A336" s="20"/>
      <c r="B336" s="16"/>
      <c r="C336" s="473"/>
      <c r="D336" s="473"/>
      <c r="E336" s="1164"/>
      <c r="F336" s="473"/>
      <c r="G336" s="473"/>
      <c r="H336" s="1164"/>
      <c r="I336" s="473"/>
      <c r="J336" s="473"/>
      <c r="K336" s="1164"/>
      <c r="L336" s="473"/>
      <c r="M336" s="473"/>
      <c r="N336" s="1164"/>
      <c r="O336" s="473"/>
      <c r="P336" s="473"/>
      <c r="Q336" s="1164"/>
      <c r="R336" s="473"/>
      <c r="S336" s="473"/>
      <c r="T336" s="1164"/>
      <c r="U336" s="1164"/>
      <c r="V336" s="473"/>
      <c r="W336" s="473"/>
      <c r="X336" s="1164"/>
      <c r="Y336" s="473"/>
      <c r="Z336" s="473"/>
      <c r="AA336" s="1164"/>
      <c r="AB336" s="473"/>
      <c r="AC336" s="1164"/>
      <c r="AD336" s="473"/>
      <c r="AE336" s="1164"/>
      <c r="AF336" s="473"/>
      <c r="AG336" s="1164"/>
      <c r="AH336" s="473"/>
      <c r="AI336" s="473"/>
      <c r="AJ336" s="1164"/>
      <c r="AK336" s="473"/>
      <c r="AL336" s="473"/>
      <c r="AM336" s="1164"/>
      <c r="AN336" s="473"/>
      <c r="AO336" s="473"/>
      <c r="AP336" s="1164"/>
      <c r="AQ336" s="473"/>
      <c r="AR336" s="473"/>
      <c r="AS336" s="1236"/>
      <c r="AT336" s="473"/>
      <c r="AU336" s="473"/>
      <c r="AV336" s="1164"/>
      <c r="AW336" s="1164"/>
      <c r="AX336" s="1236"/>
      <c r="AY336" s="473"/>
      <c r="AZ336" s="1236"/>
      <c r="BA336" s="473"/>
      <c r="BB336" s="473"/>
      <c r="BC336" s="1164"/>
      <c r="BD336" s="20"/>
      <c r="BE336" s="473"/>
      <c r="BF336" s="610"/>
      <c r="BG336" s="610"/>
      <c r="BH336" s="610"/>
      <c r="BI336" s="610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</row>
    <row r="337" spans="1:148" s="22" customFormat="1" x14ac:dyDescent="0.25">
      <c r="A337" s="20"/>
      <c r="B337" s="16"/>
      <c r="C337" s="473"/>
      <c r="D337" s="473"/>
      <c r="E337" s="1164"/>
      <c r="F337" s="473"/>
      <c r="G337" s="473"/>
      <c r="H337" s="1164"/>
      <c r="I337" s="473"/>
      <c r="J337" s="473"/>
      <c r="K337" s="1164"/>
      <c r="L337" s="473"/>
      <c r="M337" s="473"/>
      <c r="N337" s="1164"/>
      <c r="O337" s="473"/>
      <c r="P337" s="473"/>
      <c r="Q337" s="1164"/>
      <c r="R337" s="473"/>
      <c r="S337" s="473"/>
      <c r="T337" s="1164"/>
      <c r="U337" s="1164"/>
      <c r="V337" s="473"/>
      <c r="W337" s="473"/>
      <c r="X337" s="1164"/>
      <c r="Y337" s="473"/>
      <c r="Z337" s="473"/>
      <c r="AA337" s="1164"/>
      <c r="AB337" s="473"/>
      <c r="AC337" s="1164"/>
      <c r="AD337" s="473"/>
      <c r="AE337" s="1164"/>
      <c r="AF337" s="473"/>
      <c r="AG337" s="1164"/>
      <c r="AH337" s="473"/>
      <c r="AI337" s="473"/>
      <c r="AJ337" s="1164"/>
      <c r="AK337" s="473"/>
      <c r="AL337" s="473"/>
      <c r="AM337" s="1164"/>
      <c r="AN337" s="473"/>
      <c r="AO337" s="473"/>
      <c r="AP337" s="1164"/>
      <c r="AQ337" s="473"/>
      <c r="AR337" s="473"/>
      <c r="AS337" s="1236"/>
      <c r="AT337" s="473"/>
      <c r="AU337" s="473"/>
      <c r="AV337" s="1164"/>
      <c r="AW337" s="1164"/>
      <c r="AX337" s="1236"/>
      <c r="AY337" s="473"/>
      <c r="AZ337" s="1236"/>
      <c r="BA337" s="473"/>
      <c r="BB337" s="473"/>
      <c r="BC337" s="1164"/>
      <c r="BD337" s="20"/>
      <c r="BE337" s="473"/>
      <c r="BF337" s="610"/>
      <c r="BG337" s="610"/>
      <c r="BH337" s="610"/>
      <c r="BI337" s="610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</row>
    <row r="338" spans="1:148" s="22" customFormat="1" x14ac:dyDescent="0.25">
      <c r="A338" s="20"/>
      <c r="B338" s="16"/>
      <c r="C338" s="473"/>
      <c r="D338" s="473"/>
      <c r="E338" s="1164"/>
      <c r="F338" s="473"/>
      <c r="G338" s="473"/>
      <c r="H338" s="1164"/>
      <c r="I338" s="473"/>
      <c r="J338" s="473"/>
      <c r="K338" s="1164"/>
      <c r="L338" s="473"/>
      <c r="M338" s="473"/>
      <c r="N338" s="1164"/>
      <c r="O338" s="473"/>
      <c r="P338" s="473"/>
      <c r="Q338" s="1164"/>
      <c r="R338" s="473"/>
      <c r="S338" s="473"/>
      <c r="T338" s="1164"/>
      <c r="U338" s="1164"/>
      <c r="V338" s="473"/>
      <c r="W338" s="473"/>
      <c r="X338" s="1164"/>
      <c r="Y338" s="473"/>
      <c r="Z338" s="473"/>
      <c r="AA338" s="1164"/>
      <c r="AB338" s="473"/>
      <c r="AC338" s="1164"/>
      <c r="AD338" s="473"/>
      <c r="AE338" s="1164"/>
      <c r="AF338" s="473"/>
      <c r="AG338" s="1164"/>
      <c r="AH338" s="473"/>
      <c r="AI338" s="473"/>
      <c r="AJ338" s="1164"/>
      <c r="AK338" s="473"/>
      <c r="AL338" s="473"/>
      <c r="AM338" s="1164"/>
      <c r="AN338" s="473"/>
      <c r="AO338" s="473"/>
      <c r="AP338" s="1164"/>
      <c r="AQ338" s="473"/>
      <c r="AR338" s="473"/>
      <c r="AS338" s="1236"/>
      <c r="AT338" s="473"/>
      <c r="AU338" s="473"/>
      <c r="AV338" s="1164"/>
      <c r="AW338" s="1164"/>
      <c r="AX338" s="1236"/>
      <c r="AY338" s="473"/>
      <c r="AZ338" s="1236"/>
      <c r="BA338" s="473"/>
      <c r="BB338" s="473"/>
      <c r="BC338" s="1164"/>
      <c r="BD338" s="20"/>
      <c r="BE338" s="473"/>
      <c r="BF338" s="610"/>
      <c r="BG338" s="610"/>
      <c r="BH338" s="610"/>
      <c r="BI338" s="610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</row>
    <row r="339" spans="1:148" s="22" customFormat="1" x14ac:dyDescent="0.25">
      <c r="A339" s="20"/>
      <c r="B339" s="16"/>
      <c r="C339" s="473"/>
      <c r="D339" s="473"/>
      <c r="E339" s="1164"/>
      <c r="F339" s="473"/>
      <c r="G339" s="473"/>
      <c r="H339" s="1164"/>
      <c r="I339" s="473"/>
      <c r="J339" s="473"/>
      <c r="K339" s="1164"/>
      <c r="L339" s="473"/>
      <c r="M339" s="473"/>
      <c r="N339" s="1164"/>
      <c r="O339" s="473"/>
      <c r="P339" s="473"/>
      <c r="Q339" s="1164"/>
      <c r="R339" s="473"/>
      <c r="S339" s="473"/>
      <c r="T339" s="1164"/>
      <c r="U339" s="1164"/>
      <c r="V339" s="473"/>
      <c r="W339" s="473"/>
      <c r="X339" s="1164"/>
      <c r="Y339" s="473"/>
      <c r="Z339" s="473"/>
      <c r="AA339" s="1164"/>
      <c r="AB339" s="473"/>
      <c r="AC339" s="1164"/>
      <c r="AD339" s="473"/>
      <c r="AE339" s="1164"/>
      <c r="AF339" s="473"/>
      <c r="AG339" s="1164"/>
      <c r="AH339" s="473"/>
      <c r="AI339" s="473"/>
      <c r="AJ339" s="1164"/>
      <c r="AK339" s="473"/>
      <c r="AL339" s="473"/>
      <c r="AM339" s="1164"/>
      <c r="AN339" s="473"/>
      <c r="AO339" s="473"/>
      <c r="AP339" s="1164"/>
      <c r="AQ339" s="473"/>
      <c r="AR339" s="473"/>
      <c r="AS339" s="1236"/>
      <c r="AT339" s="473"/>
      <c r="AU339" s="473"/>
      <c r="AV339" s="1164"/>
      <c r="AW339" s="1164"/>
      <c r="AX339" s="1236"/>
      <c r="AY339" s="473"/>
      <c r="AZ339" s="1236"/>
      <c r="BA339" s="473"/>
      <c r="BB339" s="473"/>
      <c r="BC339" s="1164"/>
      <c r="BD339" s="20"/>
      <c r="BE339" s="473"/>
      <c r="BF339" s="610"/>
      <c r="BG339" s="610"/>
      <c r="BH339" s="610"/>
      <c r="BI339" s="610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</row>
    <row r="340" spans="1:148" s="22" customFormat="1" x14ac:dyDescent="0.25">
      <c r="A340" s="20"/>
      <c r="B340" s="16"/>
      <c r="C340" s="473"/>
      <c r="D340" s="473"/>
      <c r="E340" s="1164"/>
      <c r="F340" s="473"/>
      <c r="G340" s="473"/>
      <c r="H340" s="1164"/>
      <c r="I340" s="473"/>
      <c r="J340" s="473"/>
      <c r="K340" s="1164"/>
      <c r="L340" s="473"/>
      <c r="M340" s="473"/>
      <c r="N340" s="1164"/>
      <c r="O340" s="473"/>
      <c r="P340" s="473"/>
      <c r="Q340" s="1164"/>
      <c r="R340" s="473"/>
      <c r="S340" s="473"/>
      <c r="T340" s="1164"/>
      <c r="U340" s="1164"/>
      <c r="V340" s="473"/>
      <c r="W340" s="473"/>
      <c r="X340" s="1164"/>
      <c r="Y340" s="473"/>
      <c r="Z340" s="473"/>
      <c r="AA340" s="1164"/>
      <c r="AB340" s="473"/>
      <c r="AC340" s="1164"/>
      <c r="AD340" s="473"/>
      <c r="AE340" s="1164"/>
      <c r="AF340" s="473"/>
      <c r="AG340" s="1164"/>
      <c r="AH340" s="473"/>
      <c r="AI340" s="473"/>
      <c r="AJ340" s="1164"/>
      <c r="AK340" s="473"/>
      <c r="AL340" s="473"/>
      <c r="AM340" s="1164"/>
      <c r="AN340" s="473"/>
      <c r="AO340" s="473"/>
      <c r="AP340" s="1164"/>
      <c r="AQ340" s="473"/>
      <c r="AR340" s="473"/>
      <c r="AS340" s="1236"/>
      <c r="AT340" s="473"/>
      <c r="AU340" s="473"/>
      <c r="AV340" s="1164"/>
      <c r="AW340" s="1164"/>
      <c r="AX340" s="1236"/>
      <c r="AY340" s="473"/>
      <c r="AZ340" s="1236"/>
      <c r="BA340" s="473"/>
      <c r="BB340" s="473"/>
      <c r="BC340" s="1164"/>
      <c r="BD340" s="20"/>
      <c r="BE340" s="473"/>
      <c r="BF340" s="610"/>
      <c r="BG340" s="610"/>
      <c r="BH340" s="610"/>
      <c r="BI340" s="610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</row>
    <row r="341" spans="1:148" s="22" customFormat="1" x14ac:dyDescent="0.25">
      <c r="A341" s="20"/>
      <c r="B341" s="16"/>
      <c r="C341" s="473"/>
      <c r="D341" s="473"/>
      <c r="E341" s="1164"/>
      <c r="F341" s="473"/>
      <c r="G341" s="473"/>
      <c r="H341" s="1164"/>
      <c r="I341" s="473"/>
      <c r="J341" s="473"/>
      <c r="K341" s="1164"/>
      <c r="L341" s="473"/>
      <c r="M341" s="473"/>
      <c r="N341" s="1164"/>
      <c r="O341" s="473"/>
      <c r="P341" s="473"/>
      <c r="Q341" s="1164"/>
      <c r="R341" s="473"/>
      <c r="S341" s="473"/>
      <c r="T341" s="1164"/>
      <c r="U341" s="1164"/>
      <c r="V341" s="473"/>
      <c r="W341" s="473"/>
      <c r="X341" s="1164"/>
      <c r="Y341" s="473"/>
      <c r="Z341" s="473"/>
      <c r="AA341" s="1164"/>
      <c r="AB341" s="473"/>
      <c r="AC341" s="1164"/>
      <c r="AD341" s="473"/>
      <c r="AE341" s="1164"/>
      <c r="AF341" s="473"/>
      <c r="AG341" s="1164"/>
      <c r="AH341" s="473"/>
      <c r="AI341" s="473"/>
      <c r="AJ341" s="1164"/>
      <c r="AK341" s="473"/>
      <c r="AL341" s="473"/>
      <c r="AM341" s="1164"/>
      <c r="AN341" s="473"/>
      <c r="AO341" s="473"/>
      <c r="AP341" s="1164"/>
      <c r="AQ341" s="473"/>
      <c r="AR341" s="473"/>
      <c r="AS341" s="1236"/>
      <c r="AT341" s="473"/>
      <c r="AU341" s="473"/>
      <c r="AV341" s="1164"/>
      <c r="AW341" s="1164"/>
      <c r="AX341" s="1236"/>
      <c r="AY341" s="473"/>
      <c r="AZ341" s="1236"/>
      <c r="BA341" s="473"/>
      <c r="BB341" s="473"/>
      <c r="BC341" s="1164"/>
      <c r="BD341" s="20"/>
      <c r="BE341" s="473"/>
      <c r="BF341" s="610"/>
      <c r="BG341" s="610"/>
      <c r="BH341" s="610"/>
      <c r="BI341" s="610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</row>
    <row r="342" spans="1:148" s="22" customFormat="1" x14ac:dyDescent="0.25">
      <c r="A342" s="20"/>
      <c r="B342" s="16"/>
      <c r="C342" s="473"/>
      <c r="D342" s="473"/>
      <c r="E342" s="1164"/>
      <c r="F342" s="473"/>
      <c r="G342" s="473"/>
      <c r="H342" s="1164"/>
      <c r="I342" s="473"/>
      <c r="J342" s="473"/>
      <c r="K342" s="1164"/>
      <c r="L342" s="473"/>
      <c r="M342" s="473"/>
      <c r="N342" s="1164"/>
      <c r="O342" s="473"/>
      <c r="P342" s="473"/>
      <c r="Q342" s="1164"/>
      <c r="R342" s="473"/>
      <c r="S342" s="473"/>
      <c r="T342" s="1164"/>
      <c r="U342" s="1164"/>
      <c r="V342" s="473"/>
      <c r="W342" s="473"/>
      <c r="X342" s="1164"/>
      <c r="Y342" s="473"/>
      <c r="Z342" s="473"/>
      <c r="AA342" s="1164"/>
      <c r="AB342" s="473"/>
      <c r="AC342" s="1164"/>
      <c r="AD342" s="473"/>
      <c r="AE342" s="1164"/>
      <c r="AF342" s="473"/>
      <c r="AG342" s="1164"/>
      <c r="AH342" s="473"/>
      <c r="AI342" s="473"/>
      <c r="AJ342" s="1164"/>
      <c r="AK342" s="473"/>
      <c r="AL342" s="473"/>
      <c r="AM342" s="1164"/>
      <c r="AN342" s="473"/>
      <c r="AO342" s="473"/>
      <c r="AP342" s="1164"/>
      <c r="AQ342" s="473"/>
      <c r="AR342" s="473"/>
      <c r="AS342" s="1236"/>
      <c r="AT342" s="473"/>
      <c r="AU342" s="473"/>
      <c r="AV342" s="1164"/>
      <c r="AW342" s="1164"/>
      <c r="AX342" s="1236"/>
      <c r="AY342" s="473"/>
      <c r="AZ342" s="1236"/>
      <c r="BA342" s="473"/>
      <c r="BB342" s="473"/>
      <c r="BC342" s="1164"/>
      <c r="BD342" s="20"/>
      <c r="BE342" s="473"/>
      <c r="BF342" s="610"/>
      <c r="BG342" s="610"/>
      <c r="BH342" s="610"/>
      <c r="BI342" s="610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</row>
    <row r="343" spans="1:148" s="22" customFormat="1" x14ac:dyDescent="0.25">
      <c r="A343" s="20"/>
      <c r="B343" s="16"/>
      <c r="C343" s="473"/>
      <c r="D343" s="473"/>
      <c r="E343" s="1164"/>
      <c r="F343" s="473"/>
      <c r="G343" s="473"/>
      <c r="H343" s="1164"/>
      <c r="I343" s="473"/>
      <c r="J343" s="473"/>
      <c r="K343" s="1164"/>
      <c r="L343" s="473"/>
      <c r="M343" s="473"/>
      <c r="N343" s="1164"/>
      <c r="O343" s="473"/>
      <c r="P343" s="473"/>
      <c r="Q343" s="1164"/>
      <c r="R343" s="473"/>
      <c r="S343" s="473"/>
      <c r="T343" s="1164"/>
      <c r="U343" s="1164"/>
      <c r="V343" s="473"/>
      <c r="W343" s="473"/>
      <c r="X343" s="1164"/>
      <c r="Y343" s="473"/>
      <c r="Z343" s="473"/>
      <c r="AA343" s="1164"/>
      <c r="AB343" s="473"/>
      <c r="AC343" s="1164"/>
      <c r="AD343" s="473"/>
      <c r="AE343" s="1164"/>
      <c r="AF343" s="473"/>
      <c r="AG343" s="1164"/>
      <c r="AH343" s="473"/>
      <c r="AI343" s="473"/>
      <c r="AJ343" s="1164"/>
      <c r="AK343" s="473"/>
      <c r="AL343" s="473"/>
      <c r="AM343" s="1164"/>
      <c r="AN343" s="473"/>
      <c r="AO343" s="473"/>
      <c r="AP343" s="1164"/>
      <c r="AQ343" s="473"/>
      <c r="AR343" s="473"/>
      <c r="AS343" s="1236"/>
      <c r="AT343" s="473"/>
      <c r="AU343" s="473"/>
      <c r="AV343" s="1164"/>
      <c r="AW343" s="1164"/>
      <c r="AX343" s="1236"/>
      <c r="AY343" s="473"/>
      <c r="AZ343" s="1236"/>
      <c r="BA343" s="473"/>
      <c r="BB343" s="473"/>
      <c r="BC343" s="1164"/>
      <c r="BD343" s="20"/>
      <c r="BE343" s="473"/>
      <c r="BF343" s="610"/>
      <c r="BG343" s="610"/>
      <c r="BH343" s="610"/>
      <c r="BI343" s="610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</row>
    <row r="344" spans="1:148" s="22" customFormat="1" x14ac:dyDescent="0.25">
      <c r="A344" s="20"/>
      <c r="B344" s="16"/>
      <c r="C344" s="473"/>
      <c r="D344" s="473"/>
      <c r="E344" s="1164"/>
      <c r="F344" s="473"/>
      <c r="G344" s="473"/>
      <c r="H344" s="1164"/>
      <c r="I344" s="473"/>
      <c r="J344" s="473"/>
      <c r="K344" s="1164"/>
      <c r="L344" s="473"/>
      <c r="M344" s="473"/>
      <c r="N344" s="1164"/>
      <c r="O344" s="473"/>
      <c r="P344" s="473"/>
      <c r="Q344" s="1164"/>
      <c r="R344" s="473"/>
      <c r="S344" s="473"/>
      <c r="T344" s="1164"/>
      <c r="U344" s="1164"/>
      <c r="V344" s="473"/>
      <c r="W344" s="473"/>
      <c r="X344" s="1164"/>
      <c r="Y344" s="473"/>
      <c r="Z344" s="473"/>
      <c r="AA344" s="1164"/>
      <c r="AB344" s="473"/>
      <c r="AC344" s="1164"/>
      <c r="AD344" s="473"/>
      <c r="AE344" s="1164"/>
      <c r="AF344" s="473"/>
      <c r="AG344" s="1164"/>
      <c r="AH344" s="473"/>
      <c r="AI344" s="473"/>
      <c r="AJ344" s="1164"/>
      <c r="AK344" s="473"/>
      <c r="AL344" s="473"/>
      <c r="AM344" s="1164"/>
      <c r="AN344" s="473"/>
      <c r="AO344" s="473"/>
      <c r="AP344" s="1164"/>
      <c r="AQ344" s="473"/>
      <c r="AR344" s="473"/>
      <c r="AS344" s="1236"/>
      <c r="AT344" s="473"/>
      <c r="AU344" s="473"/>
      <c r="AV344" s="1164"/>
      <c r="AW344" s="1164"/>
      <c r="AX344" s="1236"/>
      <c r="AY344" s="473"/>
      <c r="AZ344" s="1236"/>
      <c r="BA344" s="473"/>
      <c r="BB344" s="473"/>
      <c r="BC344" s="1164"/>
      <c r="BD344" s="20"/>
      <c r="BE344" s="473"/>
      <c r="BF344" s="610"/>
      <c r="BG344" s="610"/>
      <c r="BH344" s="610"/>
      <c r="BI344" s="610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</row>
    <row r="345" spans="1:148" s="22" customFormat="1" x14ac:dyDescent="0.25">
      <c r="A345" s="20"/>
      <c r="B345" s="16"/>
      <c r="C345" s="473"/>
      <c r="D345" s="473"/>
      <c r="E345" s="1164"/>
      <c r="F345" s="473"/>
      <c r="G345" s="473"/>
      <c r="H345" s="1164"/>
      <c r="I345" s="473"/>
      <c r="J345" s="473"/>
      <c r="K345" s="1164"/>
      <c r="L345" s="473"/>
      <c r="M345" s="473"/>
      <c r="N345" s="1164"/>
      <c r="O345" s="473"/>
      <c r="P345" s="473"/>
      <c r="Q345" s="1164"/>
      <c r="R345" s="473"/>
      <c r="S345" s="473"/>
      <c r="T345" s="1164"/>
      <c r="U345" s="1164"/>
      <c r="V345" s="473"/>
      <c r="W345" s="473"/>
      <c r="X345" s="1164"/>
      <c r="Y345" s="473"/>
      <c r="Z345" s="473"/>
      <c r="AA345" s="1164"/>
      <c r="AB345" s="473"/>
      <c r="AC345" s="1164"/>
      <c r="AD345" s="473"/>
      <c r="AE345" s="1164"/>
      <c r="AF345" s="473"/>
      <c r="AG345" s="1164"/>
      <c r="AH345" s="473"/>
      <c r="AI345" s="473"/>
      <c r="AJ345" s="1164"/>
      <c r="AK345" s="473"/>
      <c r="AL345" s="473"/>
      <c r="AM345" s="1164"/>
      <c r="AN345" s="473"/>
      <c r="AO345" s="473"/>
      <c r="AP345" s="1164"/>
      <c r="AQ345" s="473"/>
      <c r="AR345" s="473"/>
      <c r="AS345" s="1236"/>
      <c r="AT345" s="473"/>
      <c r="AU345" s="473"/>
      <c r="AV345" s="1164"/>
      <c r="AW345" s="1164"/>
      <c r="AX345" s="1236"/>
      <c r="AY345" s="473"/>
      <c r="AZ345" s="1236"/>
      <c r="BA345" s="473"/>
      <c r="BB345" s="473"/>
      <c r="BC345" s="1164"/>
      <c r="BD345" s="20"/>
      <c r="BE345" s="473"/>
      <c r="BF345" s="610"/>
      <c r="BG345" s="610"/>
      <c r="BH345" s="610"/>
      <c r="BI345" s="610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</row>
    <row r="346" spans="1:148" s="22" customFormat="1" x14ac:dyDescent="0.25">
      <c r="A346" s="20"/>
      <c r="B346" s="16"/>
      <c r="C346" s="473"/>
      <c r="D346" s="473"/>
      <c r="E346" s="1164"/>
      <c r="F346" s="473"/>
      <c r="G346" s="473"/>
      <c r="H346" s="1164"/>
      <c r="I346" s="473"/>
      <c r="J346" s="473"/>
      <c r="K346" s="1164"/>
      <c r="L346" s="473"/>
      <c r="M346" s="473"/>
      <c r="N346" s="1164"/>
      <c r="O346" s="473"/>
      <c r="P346" s="473"/>
      <c r="Q346" s="1164"/>
      <c r="R346" s="473"/>
      <c r="S346" s="473"/>
      <c r="T346" s="1164"/>
      <c r="U346" s="1164"/>
      <c r="V346" s="473"/>
      <c r="W346" s="473"/>
      <c r="X346" s="1164"/>
      <c r="Y346" s="473"/>
      <c r="Z346" s="473"/>
      <c r="AA346" s="1164"/>
      <c r="AB346" s="473"/>
      <c r="AC346" s="1164"/>
      <c r="AD346" s="473"/>
      <c r="AE346" s="1164"/>
      <c r="AF346" s="473"/>
      <c r="AG346" s="1164"/>
      <c r="AH346" s="473"/>
      <c r="AI346" s="473"/>
      <c r="AJ346" s="1164"/>
      <c r="AK346" s="473"/>
      <c r="AL346" s="473"/>
      <c r="AM346" s="1164"/>
      <c r="AN346" s="473"/>
      <c r="AO346" s="473"/>
      <c r="AP346" s="1164"/>
      <c r="AQ346" s="473"/>
      <c r="AR346" s="473"/>
      <c r="AS346" s="1236"/>
      <c r="AT346" s="473"/>
      <c r="AU346" s="473"/>
      <c r="AV346" s="1164"/>
      <c r="AW346" s="1164"/>
      <c r="AX346" s="1236"/>
      <c r="AY346" s="473"/>
      <c r="AZ346" s="1236"/>
      <c r="BA346" s="473"/>
      <c r="BB346" s="473"/>
      <c r="BC346" s="1164"/>
      <c r="BD346" s="20"/>
      <c r="BE346" s="473"/>
      <c r="BF346" s="610"/>
      <c r="BG346" s="610"/>
      <c r="BH346" s="610"/>
      <c r="BI346" s="610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</row>
    <row r="347" spans="1:148" s="22" customFormat="1" x14ac:dyDescent="0.25">
      <c r="A347" s="20"/>
      <c r="B347" s="16"/>
      <c r="C347" s="473"/>
      <c r="D347" s="473"/>
      <c r="E347" s="1164"/>
      <c r="F347" s="473"/>
      <c r="G347" s="473"/>
      <c r="H347" s="1164"/>
      <c r="I347" s="473"/>
      <c r="J347" s="473"/>
      <c r="K347" s="1164"/>
      <c r="L347" s="473"/>
      <c r="M347" s="473"/>
      <c r="N347" s="1164"/>
      <c r="O347" s="473"/>
      <c r="P347" s="473"/>
      <c r="Q347" s="1164"/>
      <c r="R347" s="473"/>
      <c r="S347" s="473"/>
      <c r="T347" s="1164"/>
      <c r="U347" s="1164"/>
      <c r="V347" s="473"/>
      <c r="W347" s="473"/>
      <c r="X347" s="1164"/>
      <c r="Y347" s="473"/>
      <c r="Z347" s="473"/>
      <c r="AA347" s="1164"/>
      <c r="AB347" s="473"/>
      <c r="AC347" s="1164"/>
      <c r="AD347" s="473"/>
      <c r="AE347" s="1164"/>
      <c r="AF347" s="473"/>
      <c r="AG347" s="1164"/>
      <c r="AH347" s="473"/>
      <c r="AI347" s="473"/>
      <c r="AJ347" s="1164"/>
      <c r="AK347" s="473"/>
      <c r="AL347" s="473"/>
      <c r="AM347" s="1164"/>
      <c r="AN347" s="473"/>
      <c r="AO347" s="473"/>
      <c r="AP347" s="1164"/>
      <c r="AQ347" s="473"/>
      <c r="AR347" s="473"/>
      <c r="AS347" s="1236"/>
      <c r="AT347" s="473"/>
      <c r="AU347" s="473"/>
      <c r="AV347" s="1164"/>
      <c r="AW347" s="1164"/>
      <c r="AX347" s="1236"/>
      <c r="AY347" s="473"/>
      <c r="AZ347" s="1236"/>
      <c r="BA347" s="473"/>
      <c r="BB347" s="473"/>
      <c r="BC347" s="1164"/>
      <c r="BD347" s="20"/>
      <c r="BE347" s="473"/>
      <c r="BF347" s="610"/>
      <c r="BG347" s="610"/>
      <c r="BH347" s="610"/>
      <c r="BI347" s="610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</row>
    <row r="348" spans="1:148" s="22" customFormat="1" x14ac:dyDescent="0.25">
      <c r="A348" s="20"/>
      <c r="B348" s="16"/>
      <c r="C348" s="473"/>
      <c r="D348" s="473"/>
      <c r="E348" s="1164"/>
      <c r="F348" s="473"/>
      <c r="G348" s="473"/>
      <c r="H348" s="1164"/>
      <c r="I348" s="473"/>
      <c r="J348" s="473"/>
      <c r="K348" s="1164"/>
      <c r="L348" s="473"/>
      <c r="M348" s="473"/>
      <c r="N348" s="1164"/>
      <c r="O348" s="473"/>
      <c r="P348" s="473"/>
      <c r="Q348" s="1164"/>
      <c r="R348" s="473"/>
      <c r="S348" s="473"/>
      <c r="T348" s="1164"/>
      <c r="U348" s="1164"/>
      <c r="V348" s="473"/>
      <c r="W348" s="473"/>
      <c r="X348" s="1164"/>
      <c r="Y348" s="473"/>
      <c r="Z348" s="473"/>
      <c r="AA348" s="1164"/>
      <c r="AB348" s="473"/>
      <c r="AC348" s="1164"/>
      <c r="AD348" s="473"/>
      <c r="AE348" s="1164"/>
      <c r="AF348" s="473"/>
      <c r="AG348" s="1164"/>
      <c r="AH348" s="473"/>
      <c r="AI348" s="473"/>
      <c r="AJ348" s="1164"/>
      <c r="AK348" s="473"/>
      <c r="AL348" s="473"/>
      <c r="AM348" s="1164"/>
      <c r="AN348" s="473"/>
      <c r="AO348" s="473"/>
      <c r="AP348" s="1164"/>
      <c r="AQ348" s="473"/>
      <c r="AR348" s="473"/>
      <c r="AS348" s="1236"/>
      <c r="AT348" s="473"/>
      <c r="AU348" s="473"/>
      <c r="AV348" s="1164"/>
      <c r="AW348" s="1164"/>
      <c r="AX348" s="1236"/>
      <c r="AY348" s="473"/>
      <c r="AZ348" s="1236"/>
      <c r="BA348" s="473"/>
      <c r="BB348" s="473"/>
      <c r="BC348" s="1164"/>
      <c r="BD348" s="20"/>
      <c r="BE348" s="473"/>
      <c r="BF348" s="610"/>
      <c r="BG348" s="610"/>
      <c r="BH348" s="610"/>
      <c r="BI348" s="610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</row>
    <row r="349" spans="1:148" s="22" customFormat="1" x14ac:dyDescent="0.25">
      <c r="A349" s="20"/>
      <c r="B349" s="16"/>
      <c r="C349" s="473"/>
      <c r="D349" s="473"/>
      <c r="E349" s="1164"/>
      <c r="F349" s="473"/>
      <c r="G349" s="473"/>
      <c r="H349" s="1164"/>
      <c r="I349" s="473"/>
      <c r="J349" s="473"/>
      <c r="K349" s="1164"/>
      <c r="L349" s="473"/>
      <c r="M349" s="473"/>
      <c r="N349" s="1164"/>
      <c r="O349" s="473"/>
      <c r="P349" s="473"/>
      <c r="Q349" s="1164"/>
      <c r="R349" s="473"/>
      <c r="S349" s="473"/>
      <c r="T349" s="1164"/>
      <c r="U349" s="1164"/>
      <c r="V349" s="473"/>
      <c r="W349" s="473"/>
      <c r="X349" s="1164"/>
      <c r="Y349" s="473"/>
      <c r="Z349" s="473"/>
      <c r="AA349" s="1164"/>
      <c r="AB349" s="473"/>
      <c r="AC349" s="1164"/>
      <c r="AD349" s="473"/>
      <c r="AE349" s="1164"/>
      <c r="AF349" s="473"/>
      <c r="AG349" s="1164"/>
      <c r="AH349" s="473"/>
      <c r="AI349" s="473"/>
      <c r="AJ349" s="1164"/>
      <c r="AK349" s="473"/>
      <c r="AL349" s="473"/>
      <c r="AM349" s="1164"/>
      <c r="AN349" s="473"/>
      <c r="AO349" s="473"/>
      <c r="AP349" s="1164"/>
      <c r="AQ349" s="473"/>
      <c r="AR349" s="473"/>
      <c r="AS349" s="1236"/>
      <c r="AT349" s="473"/>
      <c r="AU349" s="473"/>
      <c r="AV349" s="1164"/>
      <c r="AW349" s="1164"/>
      <c r="AX349" s="1236"/>
      <c r="AY349" s="473"/>
      <c r="AZ349" s="1236"/>
      <c r="BA349" s="473"/>
      <c r="BB349" s="473"/>
      <c r="BC349" s="1164"/>
      <c r="BD349" s="20"/>
      <c r="BE349" s="473"/>
      <c r="BF349" s="610"/>
      <c r="BG349" s="610"/>
      <c r="BH349" s="610"/>
      <c r="BI349" s="610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</row>
    <row r="350" spans="1:148" s="22" customFormat="1" x14ac:dyDescent="0.25">
      <c r="A350" s="20"/>
      <c r="B350" s="16"/>
      <c r="C350" s="473"/>
      <c r="D350" s="473"/>
      <c r="E350" s="1164"/>
      <c r="F350" s="473"/>
      <c r="G350" s="473"/>
      <c r="H350" s="1164"/>
      <c r="I350" s="473"/>
      <c r="J350" s="473"/>
      <c r="K350" s="1164"/>
      <c r="L350" s="473"/>
      <c r="M350" s="473"/>
      <c r="N350" s="1164"/>
      <c r="O350" s="473"/>
      <c r="P350" s="473"/>
      <c r="Q350" s="1164"/>
      <c r="R350" s="473"/>
      <c r="S350" s="473"/>
      <c r="T350" s="1164"/>
      <c r="U350" s="1164"/>
      <c r="V350" s="473"/>
      <c r="W350" s="473"/>
      <c r="X350" s="1164"/>
      <c r="Y350" s="473"/>
      <c r="Z350" s="473"/>
      <c r="AA350" s="1164"/>
      <c r="AB350" s="473"/>
      <c r="AC350" s="1164"/>
      <c r="AD350" s="473"/>
      <c r="AE350" s="1164"/>
      <c r="AF350" s="473"/>
      <c r="AG350" s="1164"/>
      <c r="AH350" s="473"/>
      <c r="AI350" s="473"/>
      <c r="AJ350" s="1164"/>
      <c r="AK350" s="473"/>
      <c r="AL350" s="473"/>
      <c r="AM350" s="1164"/>
      <c r="AN350" s="473"/>
      <c r="AO350" s="473"/>
      <c r="AP350" s="1164"/>
      <c r="AQ350" s="473"/>
      <c r="AR350" s="473"/>
      <c r="AS350" s="1236"/>
      <c r="AT350" s="473"/>
      <c r="AU350" s="473"/>
      <c r="AV350" s="1164"/>
      <c r="AW350" s="1164"/>
      <c r="AX350" s="1236"/>
      <c r="AY350" s="473"/>
      <c r="AZ350" s="1236"/>
      <c r="BA350" s="473"/>
      <c r="BB350" s="473"/>
      <c r="BC350" s="1164"/>
      <c r="BD350" s="20"/>
      <c r="BE350" s="473"/>
      <c r="BF350" s="610"/>
      <c r="BG350" s="610"/>
      <c r="BH350" s="610"/>
      <c r="BI350" s="610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</row>
    <row r="351" spans="1:148" s="22" customFormat="1" x14ac:dyDescent="0.25">
      <c r="A351" s="20"/>
      <c r="B351" s="16"/>
      <c r="C351" s="473"/>
      <c r="D351" s="473"/>
      <c r="E351" s="1164"/>
      <c r="F351" s="473"/>
      <c r="G351" s="473"/>
      <c r="H351" s="1164"/>
      <c r="I351" s="473"/>
      <c r="J351" s="473"/>
      <c r="K351" s="1164"/>
      <c r="L351" s="473"/>
      <c r="M351" s="473"/>
      <c r="N351" s="1164"/>
      <c r="O351" s="473"/>
      <c r="P351" s="473"/>
      <c r="Q351" s="1164"/>
      <c r="R351" s="473"/>
      <c r="S351" s="473"/>
      <c r="T351" s="1164"/>
      <c r="U351" s="1164"/>
      <c r="V351" s="473"/>
      <c r="W351" s="473"/>
      <c r="X351" s="1164"/>
      <c r="Y351" s="473"/>
      <c r="Z351" s="473"/>
      <c r="AA351" s="1164"/>
      <c r="AB351" s="473"/>
      <c r="AC351" s="1164"/>
      <c r="AD351" s="473"/>
      <c r="AE351" s="1164"/>
      <c r="AF351" s="473"/>
      <c r="AG351" s="1164"/>
      <c r="AH351" s="473"/>
      <c r="AI351" s="473"/>
      <c r="AJ351" s="1164"/>
      <c r="AK351" s="473"/>
      <c r="AL351" s="473"/>
      <c r="AM351" s="1164"/>
      <c r="AN351" s="473"/>
      <c r="AO351" s="473"/>
      <c r="AP351" s="1164"/>
      <c r="AQ351" s="473"/>
      <c r="AR351" s="473"/>
      <c r="AS351" s="1236"/>
      <c r="AT351" s="473"/>
      <c r="AU351" s="473"/>
      <c r="AV351" s="1164"/>
      <c r="AW351" s="1164"/>
      <c r="AX351" s="1236"/>
      <c r="AY351" s="473"/>
      <c r="AZ351" s="1236"/>
      <c r="BA351" s="473"/>
      <c r="BB351" s="473"/>
      <c r="BC351" s="1164"/>
      <c r="BD351" s="20"/>
      <c r="BE351" s="473"/>
      <c r="BF351" s="610"/>
      <c r="BG351" s="610"/>
      <c r="BH351" s="610"/>
      <c r="BI351" s="610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</row>
    <row r="352" spans="1:148" s="22" customFormat="1" x14ac:dyDescent="0.25">
      <c r="A352" s="20"/>
      <c r="B352" s="16"/>
      <c r="C352" s="473"/>
      <c r="D352" s="473"/>
      <c r="E352" s="1164"/>
      <c r="F352" s="473"/>
      <c r="G352" s="473"/>
      <c r="H352" s="1164"/>
      <c r="I352" s="473"/>
      <c r="J352" s="473"/>
      <c r="K352" s="1164"/>
      <c r="L352" s="473"/>
      <c r="M352" s="473"/>
      <c r="N352" s="1164"/>
      <c r="O352" s="473"/>
      <c r="P352" s="473"/>
      <c r="Q352" s="1164"/>
      <c r="R352" s="473"/>
      <c r="S352" s="473"/>
      <c r="T352" s="1164"/>
      <c r="U352" s="1164"/>
      <c r="V352" s="473"/>
      <c r="W352" s="473"/>
      <c r="X352" s="1164"/>
      <c r="Y352" s="473"/>
      <c r="Z352" s="473"/>
      <c r="AA352" s="1164"/>
      <c r="AB352" s="473"/>
      <c r="AC352" s="1164"/>
      <c r="AD352" s="473"/>
      <c r="AE352" s="1164"/>
      <c r="AF352" s="473"/>
      <c r="AG352" s="1164"/>
      <c r="AH352" s="473"/>
      <c r="AI352" s="473"/>
      <c r="AJ352" s="1164"/>
      <c r="AK352" s="473"/>
      <c r="AL352" s="473"/>
      <c r="AM352" s="1164"/>
      <c r="AN352" s="473"/>
      <c r="AO352" s="473"/>
      <c r="AP352" s="1164"/>
      <c r="AQ352" s="473"/>
      <c r="AR352" s="473"/>
      <c r="AS352" s="1236"/>
      <c r="AT352" s="473"/>
      <c r="AU352" s="473"/>
      <c r="AV352" s="1164"/>
      <c r="AW352" s="1164"/>
      <c r="AX352" s="1236"/>
      <c r="AY352" s="473"/>
      <c r="AZ352" s="1236"/>
      <c r="BA352" s="473"/>
      <c r="BB352" s="473"/>
      <c r="BC352" s="1164"/>
      <c r="BD352" s="20"/>
      <c r="BE352" s="473"/>
      <c r="BF352" s="610"/>
      <c r="BG352" s="610"/>
      <c r="BH352" s="610"/>
      <c r="BI352" s="610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</row>
    <row r="353" spans="1:148" s="22" customFormat="1" x14ac:dyDescent="0.25">
      <c r="A353" s="20"/>
      <c r="B353" s="16"/>
      <c r="C353" s="473"/>
      <c r="D353" s="473"/>
      <c r="E353" s="1164"/>
      <c r="F353" s="473"/>
      <c r="G353" s="473"/>
      <c r="H353" s="1164"/>
      <c r="I353" s="473"/>
      <c r="J353" s="473"/>
      <c r="K353" s="1164"/>
      <c r="L353" s="473"/>
      <c r="M353" s="473"/>
      <c r="N353" s="1164"/>
      <c r="O353" s="473"/>
      <c r="P353" s="473"/>
      <c r="Q353" s="1164"/>
      <c r="R353" s="473"/>
      <c r="S353" s="473"/>
      <c r="T353" s="1164"/>
      <c r="U353" s="1164"/>
      <c r="V353" s="473"/>
      <c r="W353" s="473"/>
      <c r="X353" s="1164"/>
      <c r="Y353" s="473"/>
      <c r="Z353" s="473"/>
      <c r="AA353" s="1164"/>
      <c r="AB353" s="473"/>
      <c r="AC353" s="1164"/>
      <c r="AD353" s="473"/>
      <c r="AE353" s="1164"/>
      <c r="AF353" s="473"/>
      <c r="AG353" s="1164"/>
      <c r="AH353" s="473"/>
      <c r="AI353" s="473"/>
      <c r="AJ353" s="1164"/>
      <c r="AK353" s="473"/>
      <c r="AL353" s="473"/>
      <c r="AM353" s="1164"/>
      <c r="AN353" s="473"/>
      <c r="AO353" s="473"/>
      <c r="AP353" s="1164"/>
      <c r="AQ353" s="473"/>
      <c r="AR353" s="473"/>
      <c r="AS353" s="1236"/>
      <c r="AT353" s="473"/>
      <c r="AU353" s="473"/>
      <c r="AV353" s="1164"/>
      <c r="AW353" s="1164"/>
      <c r="AX353" s="1236"/>
      <c r="AY353" s="473"/>
      <c r="AZ353" s="1236"/>
      <c r="BA353" s="473"/>
      <c r="BB353" s="473"/>
      <c r="BC353" s="1164"/>
      <c r="BD353" s="20"/>
      <c r="BE353" s="473"/>
      <c r="BF353" s="610"/>
      <c r="BG353" s="610"/>
      <c r="BH353" s="610"/>
      <c r="BI353" s="610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</row>
    <row r="354" spans="1:148" s="22" customFormat="1" x14ac:dyDescent="0.25">
      <c r="A354" s="20"/>
      <c r="B354" s="16"/>
      <c r="C354" s="473"/>
      <c r="D354" s="473"/>
      <c r="E354" s="1164"/>
      <c r="F354" s="473"/>
      <c r="G354" s="473"/>
      <c r="H354" s="1164"/>
      <c r="I354" s="473"/>
      <c r="J354" s="473"/>
      <c r="K354" s="1164"/>
      <c r="L354" s="473"/>
      <c r="M354" s="473"/>
      <c r="N354" s="1164"/>
      <c r="O354" s="473"/>
      <c r="P354" s="473"/>
      <c r="Q354" s="1164"/>
      <c r="R354" s="473"/>
      <c r="S354" s="473"/>
      <c r="T354" s="1164"/>
      <c r="U354" s="1164"/>
      <c r="V354" s="473"/>
      <c r="W354" s="473"/>
      <c r="X354" s="1164"/>
      <c r="Y354" s="473"/>
      <c r="Z354" s="473"/>
      <c r="AA354" s="1164"/>
      <c r="AB354" s="473"/>
      <c r="AC354" s="1164"/>
      <c r="AD354" s="473"/>
      <c r="AE354" s="1164"/>
      <c r="AF354" s="473"/>
      <c r="AG354" s="1164"/>
      <c r="AH354" s="473"/>
      <c r="AI354" s="473"/>
      <c r="AJ354" s="1164"/>
      <c r="AK354" s="473"/>
      <c r="AL354" s="473"/>
      <c r="AM354" s="1164"/>
      <c r="AN354" s="473"/>
      <c r="AO354" s="473"/>
      <c r="AP354" s="1164"/>
      <c r="AQ354" s="473"/>
      <c r="AR354" s="473"/>
      <c r="AS354" s="1236"/>
      <c r="AT354" s="473"/>
      <c r="AU354" s="473"/>
      <c r="AV354" s="1164"/>
      <c r="AW354" s="1164"/>
      <c r="AX354" s="1236"/>
      <c r="AY354" s="473"/>
      <c r="AZ354" s="1236"/>
      <c r="BA354" s="473"/>
      <c r="BB354" s="473"/>
      <c r="BC354" s="1164"/>
      <c r="BD354" s="20"/>
      <c r="BE354" s="473"/>
      <c r="BF354" s="610"/>
      <c r="BG354" s="610"/>
      <c r="BH354" s="610"/>
      <c r="BI354" s="610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</row>
    <row r="355" spans="1:148" s="22" customFormat="1" x14ac:dyDescent="0.25">
      <c r="A355" s="20"/>
      <c r="B355" s="16"/>
      <c r="C355" s="473"/>
      <c r="D355" s="473"/>
      <c r="E355" s="1164"/>
      <c r="F355" s="473"/>
      <c r="G355" s="473"/>
      <c r="H355" s="1164"/>
      <c r="I355" s="473"/>
      <c r="J355" s="473"/>
      <c r="K355" s="1164"/>
      <c r="L355" s="473"/>
      <c r="M355" s="473"/>
      <c r="N355" s="1164"/>
      <c r="O355" s="473"/>
      <c r="P355" s="473"/>
      <c r="Q355" s="1164"/>
      <c r="R355" s="473"/>
      <c r="S355" s="473"/>
      <c r="T355" s="1164"/>
      <c r="U355" s="1164"/>
      <c r="V355" s="473"/>
      <c r="W355" s="473"/>
      <c r="X355" s="1164"/>
      <c r="Y355" s="473"/>
      <c r="Z355" s="473"/>
      <c r="AA355" s="1164"/>
      <c r="AB355" s="473"/>
      <c r="AC355" s="1164"/>
      <c r="AD355" s="473"/>
      <c r="AE355" s="1164"/>
      <c r="AF355" s="473"/>
      <c r="AG355" s="1164"/>
      <c r="AH355" s="473"/>
      <c r="AI355" s="473"/>
      <c r="AJ355" s="1164"/>
      <c r="AK355" s="473"/>
      <c r="AL355" s="473"/>
      <c r="AM355" s="1164"/>
      <c r="AN355" s="473"/>
      <c r="AO355" s="473"/>
      <c r="AP355" s="1164"/>
      <c r="AQ355" s="473"/>
      <c r="AR355" s="473"/>
      <c r="AS355" s="1236"/>
      <c r="AT355" s="473"/>
      <c r="AU355" s="473"/>
      <c r="AV355" s="1164"/>
      <c r="AW355" s="1164"/>
      <c r="AX355" s="1236"/>
      <c r="AY355" s="473"/>
      <c r="AZ355" s="1236"/>
      <c r="BA355" s="473"/>
      <c r="BB355" s="473"/>
      <c r="BC355" s="1164"/>
      <c r="BD355" s="20"/>
      <c r="BE355" s="473"/>
      <c r="BF355" s="610"/>
      <c r="BG355" s="610"/>
      <c r="BH355" s="610"/>
      <c r="BI355" s="610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</row>
    <row r="356" spans="1:148" s="22" customFormat="1" x14ac:dyDescent="0.25">
      <c r="A356" s="20"/>
      <c r="B356" s="16"/>
      <c r="C356" s="473"/>
      <c r="D356" s="473"/>
      <c r="E356" s="1164"/>
      <c r="F356" s="473"/>
      <c r="G356" s="473"/>
      <c r="H356" s="1164"/>
      <c r="I356" s="473"/>
      <c r="J356" s="473"/>
      <c r="K356" s="1164"/>
      <c r="L356" s="473"/>
      <c r="M356" s="473"/>
      <c r="N356" s="1164"/>
      <c r="O356" s="473"/>
      <c r="P356" s="473"/>
      <c r="Q356" s="1164"/>
      <c r="R356" s="473"/>
      <c r="S356" s="473"/>
      <c r="T356" s="1164"/>
      <c r="U356" s="1164"/>
      <c r="V356" s="473"/>
      <c r="W356" s="473"/>
      <c r="X356" s="1164"/>
      <c r="Y356" s="473"/>
      <c r="Z356" s="473"/>
      <c r="AA356" s="1164"/>
      <c r="AB356" s="473"/>
      <c r="AC356" s="1164"/>
      <c r="AD356" s="473"/>
      <c r="AE356" s="1164"/>
      <c r="AF356" s="473"/>
      <c r="AG356" s="1164"/>
      <c r="AH356" s="473"/>
      <c r="AI356" s="473"/>
      <c r="AJ356" s="1164"/>
      <c r="AK356" s="473"/>
      <c r="AL356" s="473"/>
      <c r="AM356" s="1164"/>
      <c r="AN356" s="473"/>
      <c r="AO356" s="473"/>
      <c r="AP356" s="1164"/>
      <c r="AQ356" s="473"/>
      <c r="AR356" s="473"/>
      <c r="AS356" s="1236"/>
      <c r="AT356" s="473"/>
      <c r="AU356" s="473"/>
      <c r="AV356" s="1164"/>
      <c r="AW356" s="1164"/>
      <c r="AX356" s="1236"/>
      <c r="AY356" s="473"/>
      <c r="AZ356" s="1236"/>
      <c r="BA356" s="473"/>
      <c r="BB356" s="473"/>
      <c r="BC356" s="1164"/>
      <c r="BD356" s="20"/>
      <c r="BE356" s="473"/>
      <c r="BF356" s="610"/>
      <c r="BG356" s="610"/>
      <c r="BH356" s="610"/>
      <c r="BI356" s="610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</row>
    <row r="357" spans="1:148" s="22" customFormat="1" x14ac:dyDescent="0.25">
      <c r="A357" s="20"/>
      <c r="B357" s="16"/>
      <c r="C357" s="473"/>
      <c r="D357" s="473"/>
      <c r="E357" s="1164"/>
      <c r="F357" s="473"/>
      <c r="G357" s="473"/>
      <c r="H357" s="1164"/>
      <c r="I357" s="473"/>
      <c r="J357" s="473"/>
      <c r="K357" s="1164"/>
      <c r="L357" s="473"/>
      <c r="M357" s="473"/>
      <c r="N357" s="1164"/>
      <c r="O357" s="473"/>
      <c r="P357" s="473"/>
      <c r="Q357" s="1164"/>
      <c r="R357" s="473"/>
      <c r="S357" s="473"/>
      <c r="T357" s="1164"/>
      <c r="U357" s="1164"/>
      <c r="V357" s="473"/>
      <c r="W357" s="473"/>
      <c r="X357" s="1164"/>
      <c r="Y357" s="473"/>
      <c r="Z357" s="473"/>
      <c r="AA357" s="1164"/>
      <c r="AB357" s="473"/>
      <c r="AC357" s="1164"/>
      <c r="AD357" s="473"/>
      <c r="AE357" s="1164"/>
      <c r="AF357" s="473"/>
      <c r="AG357" s="1164"/>
      <c r="AH357" s="473"/>
      <c r="AI357" s="473"/>
      <c r="AJ357" s="1164"/>
      <c r="AK357" s="473"/>
      <c r="AL357" s="473"/>
      <c r="AM357" s="1164"/>
      <c r="AN357" s="473"/>
      <c r="AO357" s="473"/>
      <c r="AP357" s="1164"/>
      <c r="AQ357" s="473"/>
      <c r="AR357" s="473"/>
      <c r="AS357" s="1236"/>
      <c r="AT357" s="473"/>
      <c r="AU357" s="473"/>
      <c r="AV357" s="1164"/>
      <c r="AW357" s="1164"/>
      <c r="AX357" s="1236"/>
      <c r="AY357" s="473"/>
      <c r="AZ357" s="1236"/>
      <c r="BA357" s="473"/>
      <c r="BB357" s="473"/>
      <c r="BC357" s="1164"/>
      <c r="BD357" s="20"/>
      <c r="BE357" s="473"/>
      <c r="BF357" s="610"/>
      <c r="BG357" s="610"/>
      <c r="BH357" s="610"/>
      <c r="BI357" s="610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</row>
    <row r="358" spans="1:148" s="22" customFormat="1" x14ac:dyDescent="0.25">
      <c r="A358" s="20"/>
      <c r="B358" s="16"/>
      <c r="C358" s="473"/>
      <c r="D358" s="473"/>
      <c r="E358" s="1164"/>
      <c r="F358" s="473"/>
      <c r="G358" s="473"/>
      <c r="H358" s="1164"/>
      <c r="I358" s="473"/>
      <c r="J358" s="473"/>
      <c r="K358" s="1164"/>
      <c r="L358" s="473"/>
      <c r="M358" s="473"/>
      <c r="N358" s="1164"/>
      <c r="O358" s="473"/>
      <c r="P358" s="473"/>
      <c r="Q358" s="1164"/>
      <c r="R358" s="473"/>
      <c r="S358" s="473"/>
      <c r="T358" s="1164"/>
      <c r="U358" s="1164"/>
      <c r="V358" s="473"/>
      <c r="W358" s="473"/>
      <c r="X358" s="1164"/>
      <c r="Y358" s="473"/>
      <c r="Z358" s="473"/>
      <c r="AA358" s="1164"/>
      <c r="AB358" s="473"/>
      <c r="AC358" s="1164"/>
      <c r="AD358" s="473"/>
      <c r="AE358" s="1164"/>
      <c r="AF358" s="473"/>
      <c r="AG358" s="1164"/>
      <c r="AH358" s="473"/>
      <c r="AI358" s="473"/>
      <c r="AJ358" s="1164"/>
      <c r="AK358" s="473"/>
      <c r="AL358" s="473"/>
      <c r="AM358" s="1164"/>
      <c r="AN358" s="473"/>
      <c r="AO358" s="473"/>
      <c r="AP358" s="1164"/>
      <c r="AQ358" s="473"/>
      <c r="AR358" s="473"/>
      <c r="AS358" s="1236"/>
      <c r="AT358" s="473"/>
      <c r="AU358" s="473"/>
      <c r="AV358" s="1164"/>
      <c r="AW358" s="1164"/>
      <c r="AX358" s="1236"/>
      <c r="AY358" s="473"/>
      <c r="AZ358" s="1236"/>
      <c r="BA358" s="473"/>
      <c r="BB358" s="473"/>
      <c r="BC358" s="1164"/>
      <c r="BD358" s="20"/>
      <c r="BE358" s="473"/>
      <c r="BF358" s="610"/>
      <c r="BG358" s="610"/>
      <c r="BH358" s="610"/>
      <c r="BI358" s="610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</row>
    <row r="359" spans="1:148" s="22" customFormat="1" x14ac:dyDescent="0.25">
      <c r="A359" s="20"/>
      <c r="B359" s="16"/>
      <c r="C359" s="473"/>
      <c r="D359" s="473"/>
      <c r="E359" s="1164"/>
      <c r="F359" s="473"/>
      <c r="G359" s="473"/>
      <c r="H359" s="1164"/>
      <c r="I359" s="473"/>
      <c r="J359" s="473"/>
      <c r="K359" s="1164"/>
      <c r="L359" s="473"/>
      <c r="M359" s="473"/>
      <c r="N359" s="1164"/>
      <c r="O359" s="473"/>
      <c r="P359" s="473"/>
      <c r="Q359" s="1164"/>
      <c r="R359" s="473"/>
      <c r="S359" s="473"/>
      <c r="T359" s="1164"/>
      <c r="U359" s="1164"/>
      <c r="V359" s="473"/>
      <c r="W359" s="473"/>
      <c r="X359" s="1164"/>
      <c r="Y359" s="473"/>
      <c r="Z359" s="473"/>
      <c r="AA359" s="1164"/>
      <c r="AB359" s="473"/>
      <c r="AC359" s="1164"/>
      <c r="AD359" s="473"/>
      <c r="AE359" s="1164"/>
      <c r="AF359" s="473"/>
      <c r="AG359" s="1164"/>
      <c r="AH359" s="473"/>
      <c r="AI359" s="473"/>
      <c r="AJ359" s="1164"/>
      <c r="AK359" s="473"/>
      <c r="AL359" s="473"/>
      <c r="AM359" s="1164"/>
      <c r="AN359" s="473"/>
      <c r="AO359" s="473"/>
      <c r="AP359" s="1164"/>
      <c r="AQ359" s="473"/>
      <c r="AR359" s="473"/>
      <c r="AS359" s="1236"/>
      <c r="AT359" s="473"/>
      <c r="AU359" s="473"/>
      <c r="AV359" s="1164"/>
      <c r="AW359" s="1164"/>
      <c r="AX359" s="1236"/>
      <c r="AY359" s="473"/>
      <c r="AZ359" s="1236"/>
      <c r="BA359" s="473"/>
      <c r="BB359" s="473"/>
      <c r="BC359" s="1164"/>
      <c r="BD359" s="20"/>
      <c r="BE359" s="473"/>
      <c r="BF359" s="610"/>
      <c r="BG359" s="610"/>
      <c r="BH359" s="610"/>
      <c r="BI359" s="610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</row>
    <row r="360" spans="1:148" s="22" customFormat="1" x14ac:dyDescent="0.25">
      <c r="A360" s="20"/>
      <c r="B360" s="16"/>
      <c r="C360" s="473"/>
      <c r="D360" s="473"/>
      <c r="E360" s="1164"/>
      <c r="F360" s="473"/>
      <c r="G360" s="473"/>
      <c r="H360" s="1164"/>
      <c r="I360" s="473"/>
      <c r="J360" s="473"/>
      <c r="K360" s="1164"/>
      <c r="L360" s="473"/>
      <c r="M360" s="473"/>
      <c r="N360" s="1164"/>
      <c r="O360" s="473"/>
      <c r="P360" s="473"/>
      <c r="Q360" s="1164"/>
      <c r="R360" s="473"/>
      <c r="S360" s="473"/>
      <c r="T360" s="1164"/>
      <c r="U360" s="1164"/>
      <c r="V360" s="473"/>
      <c r="W360" s="473"/>
      <c r="X360" s="1164"/>
      <c r="Y360" s="473"/>
      <c r="Z360" s="473"/>
      <c r="AA360" s="1164"/>
      <c r="AB360" s="473"/>
      <c r="AC360" s="1164"/>
      <c r="AD360" s="473"/>
      <c r="AE360" s="1164"/>
      <c r="AF360" s="473"/>
      <c r="AG360" s="1164"/>
      <c r="AH360" s="473"/>
      <c r="AI360" s="473"/>
      <c r="AJ360" s="1164"/>
      <c r="AK360" s="473"/>
      <c r="AL360" s="473"/>
      <c r="AM360" s="1164"/>
      <c r="AN360" s="473"/>
      <c r="AO360" s="473"/>
      <c r="AP360" s="1164"/>
      <c r="AQ360" s="473"/>
      <c r="AR360" s="473"/>
      <c r="AS360" s="1236"/>
      <c r="AT360" s="473"/>
      <c r="AU360" s="473"/>
      <c r="AV360" s="1164"/>
      <c r="AW360" s="1164"/>
      <c r="AX360" s="1236"/>
      <c r="AY360" s="473"/>
      <c r="AZ360" s="1236"/>
      <c r="BA360" s="473"/>
      <c r="BB360" s="473"/>
      <c r="BC360" s="1164"/>
      <c r="BD360" s="20"/>
      <c r="BE360" s="473"/>
      <c r="BF360" s="610"/>
      <c r="BG360" s="610"/>
      <c r="BH360" s="610"/>
      <c r="BI360" s="610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</row>
    <row r="361" spans="1:148" s="22" customFormat="1" x14ac:dyDescent="0.25">
      <c r="A361" s="20"/>
      <c r="B361" s="16"/>
      <c r="C361" s="473"/>
      <c r="D361" s="473"/>
      <c r="E361" s="1164"/>
      <c r="F361" s="473"/>
      <c r="G361" s="473"/>
      <c r="H361" s="1164"/>
      <c r="I361" s="473"/>
      <c r="J361" s="473"/>
      <c r="K361" s="1164"/>
      <c r="L361" s="473"/>
      <c r="M361" s="473"/>
      <c r="N361" s="1164"/>
      <c r="O361" s="473"/>
      <c r="P361" s="473"/>
      <c r="Q361" s="1164"/>
      <c r="R361" s="473"/>
      <c r="S361" s="473"/>
      <c r="T361" s="1164"/>
      <c r="U361" s="1164"/>
      <c r="V361" s="473"/>
      <c r="W361" s="473"/>
      <c r="X361" s="1164"/>
      <c r="Y361" s="473"/>
      <c r="Z361" s="473"/>
      <c r="AA361" s="1164"/>
      <c r="AB361" s="473"/>
      <c r="AC361" s="1164"/>
      <c r="AD361" s="473"/>
      <c r="AE361" s="1164"/>
      <c r="AF361" s="473"/>
      <c r="AG361" s="1164"/>
      <c r="AH361" s="473"/>
      <c r="AI361" s="473"/>
      <c r="AJ361" s="1164"/>
      <c r="AK361" s="473"/>
      <c r="AL361" s="473"/>
      <c r="AM361" s="1164"/>
      <c r="AN361" s="473"/>
      <c r="AO361" s="473"/>
      <c r="AP361" s="1164"/>
      <c r="AQ361" s="473"/>
      <c r="AR361" s="473"/>
      <c r="AS361" s="1236"/>
      <c r="AT361" s="473"/>
      <c r="AU361" s="473"/>
      <c r="AV361" s="1164"/>
      <c r="AW361" s="1164"/>
      <c r="AX361" s="1236"/>
      <c r="AY361" s="473"/>
      <c r="AZ361" s="1236"/>
      <c r="BA361" s="473"/>
      <c r="BB361" s="473"/>
      <c r="BC361" s="1164"/>
      <c r="BD361" s="20"/>
      <c r="BE361" s="473"/>
      <c r="BF361" s="610"/>
      <c r="BG361" s="610"/>
      <c r="BH361" s="610"/>
      <c r="BI361" s="610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</row>
    <row r="362" spans="1:148" s="22" customFormat="1" x14ac:dyDescent="0.25">
      <c r="A362" s="20"/>
      <c r="B362" s="16"/>
      <c r="C362" s="473"/>
      <c r="D362" s="473"/>
      <c r="E362" s="1164"/>
      <c r="F362" s="473"/>
      <c r="G362" s="473"/>
      <c r="H362" s="1164"/>
      <c r="I362" s="473"/>
      <c r="J362" s="473"/>
      <c r="K362" s="1164"/>
      <c r="L362" s="473"/>
      <c r="M362" s="473"/>
      <c r="N362" s="1164"/>
      <c r="O362" s="473"/>
      <c r="P362" s="473"/>
      <c r="Q362" s="1164"/>
      <c r="R362" s="473"/>
      <c r="S362" s="473"/>
      <c r="T362" s="1164"/>
      <c r="U362" s="1164"/>
      <c r="V362" s="473"/>
      <c r="W362" s="473"/>
      <c r="X362" s="1164"/>
      <c r="Y362" s="473"/>
      <c r="Z362" s="473"/>
      <c r="AA362" s="1164"/>
      <c r="AB362" s="473"/>
      <c r="AC362" s="1164"/>
      <c r="AD362" s="473"/>
      <c r="AE362" s="1164"/>
      <c r="AF362" s="473"/>
      <c r="AG362" s="1164"/>
      <c r="AH362" s="473"/>
      <c r="AI362" s="473"/>
      <c r="AJ362" s="1164"/>
      <c r="AK362" s="473"/>
      <c r="AL362" s="473"/>
      <c r="AM362" s="1164"/>
      <c r="AN362" s="473"/>
      <c r="AO362" s="473"/>
      <c r="AP362" s="1164"/>
      <c r="AQ362" s="473"/>
      <c r="AR362" s="473"/>
      <c r="AS362" s="1236"/>
      <c r="AT362" s="473"/>
      <c r="AU362" s="473"/>
      <c r="AV362" s="1164"/>
      <c r="AW362" s="1164"/>
      <c r="AX362" s="1236"/>
      <c r="AY362" s="473"/>
      <c r="AZ362" s="1236"/>
      <c r="BA362" s="473"/>
      <c r="BB362" s="473"/>
      <c r="BC362" s="1164"/>
      <c r="BD362" s="20"/>
      <c r="BE362" s="473"/>
      <c r="BF362" s="610"/>
      <c r="BG362" s="610"/>
      <c r="BH362" s="610"/>
      <c r="BI362" s="610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</row>
    <row r="363" spans="1:148" s="22" customFormat="1" x14ac:dyDescent="0.25">
      <c r="A363" s="20"/>
      <c r="B363" s="16"/>
      <c r="C363" s="473"/>
      <c r="D363" s="473"/>
      <c r="E363" s="1164"/>
      <c r="F363" s="473"/>
      <c r="G363" s="473"/>
      <c r="H363" s="1164"/>
      <c r="I363" s="473"/>
      <c r="J363" s="473"/>
      <c r="K363" s="1164"/>
      <c r="L363" s="473"/>
      <c r="M363" s="473"/>
      <c r="N363" s="1164"/>
      <c r="O363" s="473"/>
      <c r="P363" s="473"/>
      <c r="Q363" s="1164"/>
      <c r="R363" s="473"/>
      <c r="S363" s="473"/>
      <c r="T363" s="1164"/>
      <c r="U363" s="1164"/>
      <c r="V363" s="473"/>
      <c r="W363" s="473"/>
      <c r="X363" s="1164"/>
      <c r="Y363" s="473"/>
      <c r="Z363" s="473"/>
      <c r="AA363" s="1164"/>
      <c r="AB363" s="473"/>
      <c r="AC363" s="1164"/>
      <c r="AD363" s="473"/>
      <c r="AE363" s="1164"/>
      <c r="AF363" s="473"/>
      <c r="AG363" s="1164"/>
      <c r="AH363" s="473"/>
      <c r="AI363" s="473"/>
      <c r="AJ363" s="1164"/>
      <c r="AK363" s="473"/>
      <c r="AL363" s="473"/>
      <c r="AM363" s="1164"/>
      <c r="AN363" s="473"/>
      <c r="AO363" s="473"/>
      <c r="AP363" s="1164"/>
      <c r="AQ363" s="473"/>
      <c r="AR363" s="473"/>
      <c r="AS363" s="1236"/>
      <c r="AT363" s="473"/>
      <c r="AU363" s="473"/>
      <c r="AV363" s="1164"/>
      <c r="AW363" s="1164"/>
      <c r="AX363" s="1236"/>
      <c r="AY363" s="473"/>
      <c r="AZ363" s="1236"/>
      <c r="BA363" s="473"/>
      <c r="BB363" s="473"/>
      <c r="BC363" s="1164"/>
      <c r="BD363" s="20"/>
      <c r="BE363" s="473"/>
      <c r="BF363" s="610"/>
      <c r="BG363" s="610"/>
      <c r="BH363" s="610"/>
      <c r="BI363" s="610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</row>
    <row r="364" spans="1:148" s="22" customFormat="1" x14ac:dyDescent="0.25">
      <c r="A364" s="20"/>
      <c r="B364" s="16"/>
      <c r="C364" s="473"/>
      <c r="D364" s="473"/>
      <c r="E364" s="1164"/>
      <c r="F364" s="473"/>
      <c r="G364" s="473"/>
      <c r="H364" s="1164"/>
      <c r="I364" s="473"/>
      <c r="J364" s="473"/>
      <c r="K364" s="1164"/>
      <c r="L364" s="473"/>
      <c r="M364" s="473"/>
      <c r="N364" s="1164"/>
      <c r="O364" s="473"/>
      <c r="P364" s="473"/>
      <c r="Q364" s="1164"/>
      <c r="R364" s="473"/>
      <c r="S364" s="473"/>
      <c r="T364" s="1164"/>
      <c r="U364" s="1164"/>
      <c r="V364" s="473"/>
      <c r="W364" s="473"/>
      <c r="X364" s="1164"/>
      <c r="Y364" s="473"/>
      <c r="Z364" s="473"/>
      <c r="AA364" s="1164"/>
      <c r="AB364" s="473"/>
      <c r="AC364" s="1164"/>
      <c r="AD364" s="473"/>
      <c r="AE364" s="1164"/>
      <c r="AF364" s="473"/>
      <c r="AG364" s="1164"/>
      <c r="AH364" s="473"/>
      <c r="AI364" s="473"/>
      <c r="AJ364" s="1164"/>
      <c r="AK364" s="473"/>
      <c r="AL364" s="473"/>
      <c r="AM364" s="1164"/>
      <c r="AN364" s="473"/>
      <c r="AO364" s="473"/>
      <c r="AP364" s="1164"/>
      <c r="AQ364" s="473"/>
      <c r="AR364" s="473"/>
      <c r="AS364" s="1236"/>
      <c r="AT364" s="473"/>
      <c r="AU364" s="473"/>
      <c r="AV364" s="1164"/>
      <c r="AW364" s="1164"/>
      <c r="AX364" s="1236"/>
      <c r="AY364" s="473"/>
      <c r="AZ364" s="1236"/>
      <c r="BA364" s="473"/>
      <c r="BB364" s="473"/>
      <c r="BC364" s="1164"/>
      <c r="BD364" s="20"/>
      <c r="BE364" s="473"/>
      <c r="BF364" s="610"/>
      <c r="BG364" s="610"/>
      <c r="BH364" s="610"/>
      <c r="BI364" s="610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</row>
    <row r="365" spans="1:148" s="22" customFormat="1" x14ac:dyDescent="0.25">
      <c r="A365" s="20"/>
      <c r="B365" s="16"/>
      <c r="C365" s="473"/>
      <c r="D365" s="473"/>
      <c r="E365" s="1164"/>
      <c r="F365" s="473"/>
      <c r="G365" s="473"/>
      <c r="H365" s="1164"/>
      <c r="I365" s="473"/>
      <c r="J365" s="473"/>
      <c r="K365" s="1164"/>
      <c r="L365" s="473"/>
      <c r="M365" s="473"/>
      <c r="N365" s="1164"/>
      <c r="O365" s="473"/>
      <c r="P365" s="473"/>
      <c r="Q365" s="1164"/>
      <c r="R365" s="473"/>
      <c r="S365" s="473"/>
      <c r="T365" s="1164"/>
      <c r="U365" s="1164"/>
      <c r="V365" s="473"/>
      <c r="W365" s="473"/>
      <c r="X365" s="1164"/>
      <c r="Y365" s="473"/>
      <c r="Z365" s="473"/>
      <c r="AA365" s="1164"/>
      <c r="AB365" s="473"/>
      <c r="AC365" s="1164"/>
      <c r="AD365" s="473"/>
      <c r="AE365" s="1164"/>
      <c r="AF365" s="473"/>
      <c r="AG365" s="1164"/>
      <c r="AH365" s="473"/>
      <c r="AI365" s="473"/>
      <c r="AJ365" s="1164"/>
      <c r="AK365" s="473"/>
      <c r="AL365" s="473"/>
      <c r="AM365" s="1164"/>
      <c r="AN365" s="473"/>
      <c r="AO365" s="473"/>
      <c r="AP365" s="1164"/>
      <c r="AQ365" s="473"/>
      <c r="AR365" s="473"/>
      <c r="AS365" s="1236"/>
      <c r="AT365" s="473"/>
      <c r="AU365" s="473"/>
      <c r="AV365" s="1164"/>
      <c r="AW365" s="1164"/>
      <c r="AX365" s="1236"/>
      <c r="AY365" s="473"/>
      <c r="AZ365" s="1236"/>
      <c r="BA365" s="473"/>
      <c r="BB365" s="473"/>
      <c r="BC365" s="1164"/>
      <c r="BD365" s="20"/>
      <c r="BE365" s="473"/>
      <c r="BF365" s="610"/>
      <c r="BG365" s="610"/>
      <c r="BH365" s="610"/>
      <c r="BI365" s="610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</row>
    <row r="366" spans="1:148" s="22" customFormat="1" x14ac:dyDescent="0.25">
      <c r="A366" s="20"/>
      <c r="B366" s="16"/>
      <c r="C366" s="473"/>
      <c r="D366" s="473"/>
      <c r="E366" s="1164"/>
      <c r="F366" s="473"/>
      <c r="G366" s="473"/>
      <c r="H366" s="1164"/>
      <c r="I366" s="473"/>
      <c r="J366" s="473"/>
      <c r="K366" s="1164"/>
      <c r="L366" s="473"/>
      <c r="M366" s="473"/>
      <c r="N366" s="1164"/>
      <c r="O366" s="473"/>
      <c r="P366" s="473"/>
      <c r="Q366" s="1164"/>
      <c r="R366" s="473"/>
      <c r="S366" s="473"/>
      <c r="T366" s="1164"/>
      <c r="U366" s="1164"/>
      <c r="V366" s="473"/>
      <c r="W366" s="473"/>
      <c r="X366" s="1164"/>
      <c r="Y366" s="473"/>
      <c r="Z366" s="473"/>
      <c r="AA366" s="1164"/>
      <c r="AB366" s="473"/>
      <c r="AC366" s="1164"/>
      <c r="AD366" s="473"/>
      <c r="AE366" s="1164"/>
      <c r="AF366" s="473"/>
      <c r="AG366" s="1164"/>
      <c r="AH366" s="473"/>
      <c r="AI366" s="473"/>
      <c r="AJ366" s="1164"/>
      <c r="AK366" s="473"/>
      <c r="AL366" s="473"/>
      <c r="AM366" s="1164"/>
      <c r="AN366" s="473"/>
      <c r="AO366" s="473"/>
      <c r="AP366" s="1164"/>
      <c r="AQ366" s="473"/>
      <c r="AR366" s="473"/>
      <c r="AS366" s="1236"/>
      <c r="AT366" s="473"/>
      <c r="AU366" s="473"/>
      <c r="AV366" s="1164"/>
      <c r="AW366" s="1164"/>
      <c r="AX366" s="1236"/>
      <c r="AY366" s="473"/>
      <c r="AZ366" s="1236"/>
      <c r="BA366" s="473"/>
      <c r="BB366" s="473"/>
      <c r="BC366" s="1164"/>
      <c r="BD366" s="20"/>
      <c r="BE366" s="473"/>
      <c r="BF366" s="610"/>
      <c r="BG366" s="610"/>
      <c r="BH366" s="610"/>
      <c r="BI366" s="610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</row>
    <row r="367" spans="1:148" s="22" customFormat="1" x14ac:dyDescent="0.25">
      <c r="A367" s="20"/>
      <c r="B367" s="16"/>
      <c r="C367" s="473"/>
      <c r="D367" s="473"/>
      <c r="E367" s="1164"/>
      <c r="F367" s="473"/>
      <c r="G367" s="473"/>
      <c r="H367" s="1164"/>
      <c r="I367" s="473"/>
      <c r="J367" s="473"/>
      <c r="K367" s="1164"/>
      <c r="L367" s="473"/>
      <c r="M367" s="473"/>
      <c r="N367" s="1164"/>
      <c r="O367" s="473"/>
      <c r="P367" s="473"/>
      <c r="Q367" s="1164"/>
      <c r="R367" s="473"/>
      <c r="S367" s="473"/>
      <c r="T367" s="1164"/>
      <c r="U367" s="1164"/>
      <c r="V367" s="473"/>
      <c r="W367" s="473"/>
      <c r="X367" s="1164"/>
      <c r="Y367" s="473"/>
      <c r="Z367" s="473"/>
      <c r="AA367" s="1164"/>
      <c r="AB367" s="473"/>
      <c r="AC367" s="1164"/>
      <c r="AD367" s="473"/>
      <c r="AE367" s="1164"/>
      <c r="AF367" s="473"/>
      <c r="AG367" s="1164"/>
      <c r="AH367" s="473"/>
      <c r="AI367" s="473"/>
      <c r="AJ367" s="1164"/>
      <c r="AK367" s="473"/>
      <c r="AL367" s="473"/>
      <c r="AM367" s="1164"/>
      <c r="AN367" s="473"/>
      <c r="AO367" s="473"/>
      <c r="AP367" s="1164"/>
      <c r="AQ367" s="473"/>
      <c r="AR367" s="473"/>
      <c r="AS367" s="1236"/>
      <c r="AT367" s="473"/>
      <c r="AU367" s="473"/>
      <c r="AV367" s="1164"/>
      <c r="AW367" s="1164"/>
      <c r="AX367" s="1236"/>
      <c r="AY367" s="473"/>
      <c r="AZ367" s="1236"/>
      <c r="BA367" s="473"/>
      <c r="BB367" s="473"/>
      <c r="BC367" s="1164"/>
      <c r="BD367" s="20"/>
      <c r="BE367" s="473"/>
      <c r="BF367" s="610"/>
      <c r="BG367" s="610"/>
      <c r="BH367" s="610"/>
      <c r="BI367" s="610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</row>
    <row r="368" spans="1:148" s="22" customFormat="1" x14ac:dyDescent="0.25">
      <c r="A368" s="20"/>
      <c r="B368" s="16"/>
      <c r="C368" s="473"/>
      <c r="D368" s="473"/>
      <c r="E368" s="1164"/>
      <c r="F368" s="473"/>
      <c r="G368" s="473"/>
      <c r="H368" s="1164"/>
      <c r="I368" s="473"/>
      <c r="J368" s="473"/>
      <c r="K368" s="1164"/>
      <c r="L368" s="473"/>
      <c r="M368" s="473"/>
      <c r="N368" s="1164"/>
      <c r="O368" s="473"/>
      <c r="P368" s="473"/>
      <c r="Q368" s="1164"/>
      <c r="R368" s="473"/>
      <c r="S368" s="473"/>
      <c r="T368" s="1164"/>
      <c r="U368" s="1164"/>
      <c r="V368" s="473"/>
      <c r="W368" s="473"/>
      <c r="X368" s="1164"/>
      <c r="Y368" s="473"/>
      <c r="Z368" s="473"/>
      <c r="AA368" s="1164"/>
      <c r="AB368" s="473"/>
      <c r="AC368" s="1164"/>
      <c r="AD368" s="473"/>
      <c r="AE368" s="1164"/>
      <c r="AF368" s="473"/>
      <c r="AG368" s="1164"/>
      <c r="AH368" s="473"/>
      <c r="AI368" s="473"/>
      <c r="AJ368" s="1164"/>
      <c r="AK368" s="473"/>
      <c r="AL368" s="473"/>
      <c r="AM368" s="1164"/>
      <c r="AN368" s="473"/>
      <c r="AO368" s="473"/>
      <c r="AP368" s="1164"/>
      <c r="AQ368" s="473"/>
      <c r="AR368" s="473"/>
      <c r="AS368" s="1236"/>
      <c r="AT368" s="473"/>
      <c r="AU368" s="473"/>
      <c r="AV368" s="1164"/>
      <c r="AW368" s="1164"/>
      <c r="AX368" s="1236"/>
      <c r="AY368" s="473"/>
      <c r="AZ368" s="1236"/>
      <c r="BA368" s="473"/>
      <c r="BB368" s="473"/>
      <c r="BC368" s="1164"/>
      <c r="BD368" s="20"/>
      <c r="BE368" s="473"/>
      <c r="BF368" s="610"/>
      <c r="BG368" s="610"/>
      <c r="BH368" s="610"/>
      <c r="BI368" s="610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</row>
    <row r="369" spans="1:148" s="22" customFormat="1" x14ac:dyDescent="0.25">
      <c r="A369" s="20"/>
      <c r="B369" s="16"/>
      <c r="C369" s="473"/>
      <c r="D369" s="473"/>
      <c r="E369" s="1164"/>
      <c r="F369" s="473"/>
      <c r="G369" s="473"/>
      <c r="H369" s="1164"/>
      <c r="I369" s="473"/>
      <c r="J369" s="473"/>
      <c r="K369" s="1164"/>
      <c r="L369" s="473"/>
      <c r="M369" s="473"/>
      <c r="N369" s="1164"/>
      <c r="O369" s="473"/>
      <c r="P369" s="473"/>
      <c r="Q369" s="1164"/>
      <c r="R369" s="473"/>
      <c r="S369" s="473"/>
      <c r="T369" s="1164"/>
      <c r="U369" s="1164"/>
      <c r="V369" s="473"/>
      <c r="W369" s="473"/>
      <c r="X369" s="1164"/>
      <c r="Y369" s="473"/>
      <c r="Z369" s="473"/>
      <c r="AA369" s="1164"/>
      <c r="AB369" s="473"/>
      <c r="AC369" s="1164"/>
      <c r="AD369" s="473"/>
      <c r="AE369" s="1164"/>
      <c r="AF369" s="473"/>
      <c r="AG369" s="1164"/>
      <c r="AH369" s="473"/>
      <c r="AI369" s="473"/>
      <c r="AJ369" s="1164"/>
      <c r="AK369" s="473"/>
      <c r="AL369" s="473"/>
      <c r="AM369" s="1164"/>
      <c r="AN369" s="473"/>
      <c r="AO369" s="473"/>
      <c r="AP369" s="1164"/>
      <c r="AQ369" s="473"/>
      <c r="AR369" s="473"/>
      <c r="AS369" s="1236"/>
      <c r="AT369" s="473"/>
      <c r="AU369" s="473"/>
      <c r="AV369" s="1164"/>
      <c r="AW369" s="1164"/>
      <c r="AX369" s="1236"/>
      <c r="AY369" s="473"/>
      <c r="AZ369" s="1236"/>
      <c r="BA369" s="473"/>
      <c r="BB369" s="473"/>
      <c r="BC369" s="1164"/>
      <c r="BD369" s="20"/>
      <c r="BE369" s="473"/>
      <c r="BF369" s="610"/>
      <c r="BG369" s="610"/>
      <c r="BH369" s="610"/>
      <c r="BI369" s="610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</row>
    <row r="370" spans="1:148" s="22" customFormat="1" x14ac:dyDescent="0.25">
      <c r="A370" s="20"/>
      <c r="B370" s="16"/>
      <c r="C370" s="473"/>
      <c r="D370" s="473"/>
      <c r="E370" s="1164"/>
      <c r="F370" s="473"/>
      <c r="G370" s="473"/>
      <c r="H370" s="1164"/>
      <c r="I370" s="473"/>
      <c r="J370" s="473"/>
      <c r="K370" s="1164"/>
      <c r="L370" s="473"/>
      <c r="M370" s="473"/>
      <c r="N370" s="1164"/>
      <c r="O370" s="473"/>
      <c r="P370" s="473"/>
      <c r="Q370" s="1164"/>
      <c r="R370" s="473"/>
      <c r="S370" s="473"/>
      <c r="T370" s="1164"/>
      <c r="U370" s="1164"/>
      <c r="V370" s="473"/>
      <c r="W370" s="473"/>
      <c r="X370" s="1164"/>
      <c r="Y370" s="473"/>
      <c r="Z370" s="473"/>
      <c r="AA370" s="1164"/>
      <c r="AB370" s="473"/>
      <c r="AC370" s="1164"/>
      <c r="AD370" s="473"/>
      <c r="AE370" s="1164"/>
      <c r="AF370" s="473"/>
      <c r="AG370" s="1164"/>
      <c r="AH370" s="473"/>
      <c r="AI370" s="473"/>
      <c r="AJ370" s="1164"/>
      <c r="AK370" s="473"/>
      <c r="AL370" s="473"/>
      <c r="AM370" s="1164"/>
      <c r="AN370" s="473"/>
      <c r="AO370" s="473"/>
      <c r="AP370" s="1164"/>
      <c r="AQ370" s="473"/>
      <c r="AR370" s="473"/>
      <c r="AS370" s="1236"/>
      <c r="AT370" s="473"/>
      <c r="AU370" s="473"/>
      <c r="AV370" s="1164"/>
      <c r="AW370" s="1164"/>
      <c r="AX370" s="1236"/>
      <c r="AY370" s="473"/>
      <c r="AZ370" s="1236"/>
      <c r="BA370" s="473"/>
      <c r="BB370" s="473"/>
      <c r="BC370" s="1164"/>
      <c r="BD370" s="20"/>
      <c r="BE370" s="473"/>
      <c r="BF370" s="610"/>
      <c r="BG370" s="610"/>
      <c r="BH370" s="610"/>
      <c r="BI370" s="610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</row>
    <row r="371" spans="1:148" s="22" customFormat="1" x14ac:dyDescent="0.25">
      <c r="A371" s="20"/>
      <c r="B371" s="16"/>
      <c r="C371" s="473"/>
      <c r="D371" s="473"/>
      <c r="E371" s="1164"/>
      <c r="F371" s="473"/>
      <c r="G371" s="473"/>
      <c r="H371" s="1164"/>
      <c r="I371" s="473"/>
      <c r="J371" s="473"/>
      <c r="K371" s="1164"/>
      <c r="L371" s="473"/>
      <c r="M371" s="473"/>
      <c r="N371" s="1164"/>
      <c r="O371" s="473"/>
      <c r="P371" s="473"/>
      <c r="Q371" s="1164"/>
      <c r="R371" s="473"/>
      <c r="S371" s="473"/>
      <c r="T371" s="1164"/>
      <c r="U371" s="1164"/>
      <c r="V371" s="473"/>
      <c r="W371" s="473"/>
      <c r="X371" s="1164"/>
      <c r="Y371" s="473"/>
      <c r="Z371" s="473"/>
      <c r="AA371" s="1164"/>
      <c r="AB371" s="473"/>
      <c r="AC371" s="1164"/>
      <c r="AD371" s="473"/>
      <c r="AE371" s="1164"/>
      <c r="AF371" s="473"/>
      <c r="AG371" s="1164"/>
      <c r="AH371" s="473"/>
      <c r="AI371" s="473"/>
      <c r="AJ371" s="1164"/>
      <c r="AK371" s="473"/>
      <c r="AL371" s="473"/>
      <c r="AM371" s="1164"/>
      <c r="AN371" s="473"/>
      <c r="AO371" s="473"/>
      <c r="AP371" s="1164"/>
      <c r="AQ371" s="473"/>
      <c r="AR371" s="473"/>
      <c r="AS371" s="1236"/>
      <c r="AT371" s="473"/>
      <c r="AU371" s="473"/>
      <c r="AV371" s="1164"/>
      <c r="AW371" s="1164"/>
      <c r="AX371" s="1236"/>
      <c r="AY371" s="473"/>
      <c r="AZ371" s="1236"/>
      <c r="BA371" s="473"/>
      <c r="BB371" s="473"/>
      <c r="BC371" s="1164"/>
      <c r="BD371" s="20"/>
      <c r="BE371" s="473"/>
      <c r="BF371" s="610"/>
      <c r="BG371" s="610"/>
      <c r="BH371" s="610"/>
      <c r="BI371" s="610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</row>
    <row r="372" spans="1:148" s="22" customFormat="1" x14ac:dyDescent="0.25">
      <c r="A372" s="20"/>
      <c r="B372" s="16"/>
      <c r="C372" s="473"/>
      <c r="D372" s="473"/>
      <c r="E372" s="1164"/>
      <c r="F372" s="473"/>
      <c r="G372" s="473"/>
      <c r="H372" s="1164"/>
      <c r="I372" s="473"/>
      <c r="J372" s="473"/>
      <c r="K372" s="1164"/>
      <c r="L372" s="473"/>
      <c r="M372" s="473"/>
      <c r="N372" s="1164"/>
      <c r="O372" s="473"/>
      <c r="P372" s="473"/>
      <c r="Q372" s="1164"/>
      <c r="R372" s="473"/>
      <c r="S372" s="473"/>
      <c r="T372" s="1164"/>
      <c r="U372" s="1164"/>
      <c r="V372" s="473"/>
      <c r="W372" s="473"/>
      <c r="X372" s="1164"/>
      <c r="Y372" s="473"/>
      <c r="Z372" s="473"/>
      <c r="AA372" s="1164"/>
      <c r="AB372" s="473"/>
      <c r="AC372" s="1164"/>
      <c r="AD372" s="473"/>
      <c r="AE372" s="1164"/>
      <c r="AF372" s="473"/>
      <c r="AG372" s="1164"/>
      <c r="AH372" s="473"/>
      <c r="AI372" s="473"/>
      <c r="AJ372" s="1164"/>
      <c r="AK372" s="473"/>
      <c r="AL372" s="473"/>
      <c r="AM372" s="1164"/>
      <c r="AN372" s="473"/>
      <c r="AO372" s="473"/>
      <c r="AP372" s="1164"/>
      <c r="AQ372" s="473"/>
      <c r="AR372" s="473"/>
      <c r="AS372" s="1236"/>
      <c r="AT372" s="473"/>
      <c r="AU372" s="473"/>
      <c r="AV372" s="1164"/>
      <c r="AW372" s="1164"/>
      <c r="AX372" s="1236"/>
      <c r="AY372" s="473"/>
      <c r="AZ372" s="1236"/>
      <c r="BA372" s="473"/>
      <c r="BB372" s="473"/>
      <c r="BC372" s="1164"/>
      <c r="BD372" s="20"/>
      <c r="BE372" s="473"/>
      <c r="BF372" s="610"/>
      <c r="BG372" s="610"/>
      <c r="BH372" s="610"/>
      <c r="BI372" s="610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</row>
    <row r="373" spans="1:148" s="22" customFormat="1" x14ac:dyDescent="0.25">
      <c r="A373" s="20"/>
      <c r="B373" s="16"/>
      <c r="C373" s="473"/>
      <c r="D373" s="473"/>
      <c r="E373" s="1164"/>
      <c r="F373" s="473"/>
      <c r="G373" s="473"/>
      <c r="H373" s="1164"/>
      <c r="I373" s="473"/>
      <c r="J373" s="473"/>
      <c r="K373" s="1164"/>
      <c r="L373" s="473"/>
      <c r="M373" s="473"/>
      <c r="N373" s="1164"/>
      <c r="O373" s="473"/>
      <c r="P373" s="473"/>
      <c r="Q373" s="1164"/>
      <c r="R373" s="473"/>
      <c r="S373" s="473"/>
      <c r="T373" s="1164"/>
      <c r="U373" s="1164"/>
      <c r="V373" s="473"/>
      <c r="W373" s="473"/>
      <c r="X373" s="1164"/>
      <c r="Y373" s="473"/>
      <c r="Z373" s="473"/>
      <c r="AA373" s="1164"/>
      <c r="AB373" s="473"/>
      <c r="AC373" s="1164"/>
      <c r="AD373" s="473"/>
      <c r="AE373" s="1164"/>
      <c r="AF373" s="473"/>
      <c r="AG373" s="1164"/>
      <c r="AH373" s="473"/>
      <c r="AI373" s="473"/>
      <c r="AJ373" s="1164"/>
      <c r="AK373" s="473"/>
      <c r="AL373" s="473"/>
      <c r="AM373" s="1164"/>
      <c r="AN373" s="473"/>
      <c r="AO373" s="473"/>
      <c r="AP373" s="1164"/>
      <c r="AQ373" s="473"/>
      <c r="AR373" s="473"/>
      <c r="AS373" s="1236"/>
      <c r="AT373" s="473"/>
      <c r="AU373" s="473"/>
      <c r="AV373" s="1164"/>
      <c r="AW373" s="1164"/>
      <c r="AX373" s="1236"/>
      <c r="AY373" s="473"/>
      <c r="AZ373" s="1236"/>
      <c r="BA373" s="473"/>
      <c r="BB373" s="473"/>
      <c r="BC373" s="1164"/>
      <c r="BD373" s="20"/>
      <c r="BE373" s="473"/>
      <c r="BF373" s="610"/>
      <c r="BG373" s="610"/>
      <c r="BH373" s="610"/>
      <c r="BI373" s="610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</row>
    <row r="374" spans="1:148" s="22" customFormat="1" x14ac:dyDescent="0.25">
      <c r="A374" s="20"/>
      <c r="B374" s="16"/>
      <c r="C374" s="473"/>
      <c r="D374" s="473"/>
      <c r="E374" s="1164"/>
      <c r="F374" s="473"/>
      <c r="G374" s="473"/>
      <c r="H374" s="1164"/>
      <c r="I374" s="473"/>
      <c r="J374" s="473"/>
      <c r="K374" s="1164"/>
      <c r="L374" s="473"/>
      <c r="M374" s="473"/>
      <c r="N374" s="1164"/>
      <c r="O374" s="473"/>
      <c r="P374" s="473"/>
      <c r="Q374" s="1164"/>
      <c r="R374" s="473"/>
      <c r="S374" s="473"/>
      <c r="T374" s="1164"/>
      <c r="U374" s="1164"/>
      <c r="V374" s="473"/>
      <c r="W374" s="473"/>
      <c r="X374" s="1164"/>
      <c r="Y374" s="473"/>
      <c r="Z374" s="473"/>
      <c r="AA374" s="1164"/>
      <c r="AB374" s="473"/>
      <c r="AC374" s="1164"/>
      <c r="AD374" s="473"/>
      <c r="AE374" s="1164"/>
      <c r="AF374" s="473"/>
      <c r="AG374" s="1164"/>
      <c r="AH374" s="473"/>
      <c r="AI374" s="473"/>
      <c r="AJ374" s="1164"/>
      <c r="AK374" s="473"/>
      <c r="AL374" s="473"/>
      <c r="AM374" s="1164"/>
      <c r="AN374" s="473"/>
      <c r="AO374" s="473"/>
      <c r="AP374" s="1164"/>
      <c r="AQ374" s="473"/>
      <c r="AR374" s="473"/>
      <c r="AS374" s="1236"/>
      <c r="AT374" s="473"/>
      <c r="AU374" s="473"/>
      <c r="AV374" s="1164"/>
      <c r="AW374" s="1164"/>
      <c r="AX374" s="1236"/>
      <c r="AY374" s="473"/>
      <c r="AZ374" s="1236"/>
      <c r="BA374" s="473"/>
      <c r="BB374" s="473"/>
      <c r="BC374" s="1164"/>
      <c r="BD374" s="20"/>
      <c r="BE374" s="473"/>
      <c r="BF374" s="610"/>
      <c r="BG374" s="610"/>
      <c r="BH374" s="610"/>
      <c r="BI374" s="610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</row>
    <row r="375" spans="1:148" s="22" customFormat="1" x14ac:dyDescent="0.25">
      <c r="A375" s="20"/>
      <c r="B375" s="16"/>
      <c r="C375" s="473"/>
      <c r="D375" s="473"/>
      <c r="E375" s="1164"/>
      <c r="F375" s="473"/>
      <c r="G375" s="473"/>
      <c r="H375" s="1164"/>
      <c r="I375" s="473"/>
      <c r="J375" s="473"/>
      <c r="K375" s="1164"/>
      <c r="L375" s="473"/>
      <c r="M375" s="473"/>
      <c r="N375" s="1164"/>
      <c r="O375" s="473"/>
      <c r="P375" s="473"/>
      <c r="Q375" s="1164"/>
      <c r="R375" s="473"/>
      <c r="S375" s="473"/>
      <c r="T375" s="1164"/>
      <c r="U375" s="1164"/>
      <c r="V375" s="473"/>
      <c r="W375" s="473"/>
      <c r="X375" s="1164"/>
      <c r="Y375" s="473"/>
      <c r="Z375" s="473"/>
      <c r="AA375" s="1164"/>
      <c r="AB375" s="473"/>
      <c r="AC375" s="1164"/>
      <c r="AD375" s="473"/>
      <c r="AE375" s="1164"/>
      <c r="AF375" s="473"/>
      <c r="AG375" s="1164"/>
      <c r="AH375" s="473"/>
      <c r="AI375" s="473"/>
      <c r="AJ375" s="1164"/>
      <c r="AK375" s="473"/>
      <c r="AL375" s="473"/>
      <c r="AM375" s="1164"/>
      <c r="AN375" s="473"/>
      <c r="AO375" s="473"/>
      <c r="AP375" s="1164"/>
      <c r="AQ375" s="473"/>
      <c r="AR375" s="473"/>
      <c r="AS375" s="1236"/>
      <c r="AT375" s="473"/>
      <c r="AU375" s="473"/>
      <c r="AV375" s="1164"/>
      <c r="AW375" s="1164"/>
      <c r="AX375" s="1236"/>
      <c r="AY375" s="473"/>
      <c r="AZ375" s="1236"/>
      <c r="BA375" s="473"/>
      <c r="BB375" s="473"/>
      <c r="BC375" s="1164"/>
      <c r="BD375" s="20"/>
      <c r="BE375" s="473"/>
      <c r="BF375" s="610"/>
      <c r="BG375" s="610"/>
      <c r="BH375" s="610"/>
      <c r="BI375" s="610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</row>
    <row r="376" spans="1:148" s="22" customFormat="1" x14ac:dyDescent="0.25">
      <c r="A376" s="20"/>
      <c r="B376" s="16"/>
      <c r="C376" s="473"/>
      <c r="D376" s="473"/>
      <c r="E376" s="1164"/>
      <c r="F376" s="473"/>
      <c r="G376" s="473"/>
      <c r="H376" s="1164"/>
      <c r="I376" s="473"/>
      <c r="J376" s="473"/>
      <c r="K376" s="1164"/>
      <c r="L376" s="473"/>
      <c r="M376" s="473"/>
      <c r="N376" s="1164"/>
      <c r="O376" s="473"/>
      <c r="P376" s="473"/>
      <c r="Q376" s="1164"/>
      <c r="R376" s="473"/>
      <c r="S376" s="473"/>
      <c r="T376" s="1164"/>
      <c r="U376" s="1164"/>
      <c r="V376" s="473"/>
      <c r="W376" s="473"/>
      <c r="X376" s="1164"/>
      <c r="Y376" s="473"/>
      <c r="Z376" s="473"/>
      <c r="AA376" s="1164"/>
      <c r="AB376" s="473"/>
      <c r="AC376" s="1164"/>
      <c r="AD376" s="473"/>
      <c r="AE376" s="1164"/>
      <c r="AF376" s="473"/>
      <c r="AG376" s="1164"/>
      <c r="AH376" s="473"/>
      <c r="AI376" s="473"/>
      <c r="AJ376" s="1164"/>
      <c r="AK376" s="473"/>
      <c r="AL376" s="473"/>
      <c r="AM376" s="1164"/>
      <c r="AN376" s="473"/>
      <c r="AO376" s="473"/>
      <c r="AP376" s="1164"/>
      <c r="AQ376" s="473"/>
      <c r="AR376" s="473"/>
      <c r="AS376" s="1236"/>
      <c r="AT376" s="473"/>
      <c r="AU376" s="473"/>
      <c r="AV376" s="1164"/>
      <c r="AW376" s="1164"/>
      <c r="AX376" s="1236"/>
      <c r="AY376" s="473"/>
      <c r="AZ376" s="1236"/>
      <c r="BA376" s="473"/>
      <c r="BB376" s="473"/>
      <c r="BC376" s="1164"/>
      <c r="BD376" s="20"/>
      <c r="BE376" s="473"/>
      <c r="BF376" s="610"/>
      <c r="BG376" s="610"/>
      <c r="BH376" s="610"/>
      <c r="BI376" s="610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</row>
    <row r="377" spans="1:148" s="22" customFormat="1" x14ac:dyDescent="0.25">
      <c r="A377" s="20"/>
      <c r="B377" s="16"/>
      <c r="C377" s="473"/>
      <c r="D377" s="473"/>
      <c r="E377" s="1164"/>
      <c r="F377" s="473"/>
      <c r="G377" s="473"/>
      <c r="H377" s="1164"/>
      <c r="I377" s="473"/>
      <c r="J377" s="473"/>
      <c r="K377" s="1164"/>
      <c r="L377" s="473"/>
      <c r="M377" s="473"/>
      <c r="N377" s="1164"/>
      <c r="O377" s="473"/>
      <c r="P377" s="473"/>
      <c r="Q377" s="1164"/>
      <c r="R377" s="473"/>
      <c r="S377" s="473"/>
      <c r="T377" s="1164"/>
      <c r="U377" s="1164"/>
      <c r="V377" s="473"/>
      <c r="W377" s="473"/>
      <c r="X377" s="1164"/>
      <c r="Y377" s="473"/>
      <c r="Z377" s="473"/>
      <c r="AA377" s="1164"/>
      <c r="AB377" s="473"/>
      <c r="AC377" s="1164"/>
      <c r="AD377" s="473"/>
      <c r="AE377" s="1164"/>
      <c r="AF377" s="473"/>
      <c r="AG377" s="1164"/>
      <c r="AH377" s="473"/>
      <c r="AI377" s="473"/>
      <c r="AJ377" s="1164"/>
      <c r="AK377" s="473"/>
      <c r="AL377" s="473"/>
      <c r="AM377" s="1164"/>
      <c r="AN377" s="473"/>
      <c r="AO377" s="473"/>
      <c r="AP377" s="1164"/>
      <c r="AQ377" s="473"/>
      <c r="AR377" s="473"/>
      <c r="AS377" s="1236"/>
      <c r="AT377" s="473"/>
      <c r="AU377" s="473"/>
      <c r="AV377" s="1164"/>
      <c r="AW377" s="1164"/>
      <c r="AX377" s="1236"/>
      <c r="AY377" s="473"/>
      <c r="AZ377" s="1236"/>
      <c r="BA377" s="473"/>
      <c r="BB377" s="473"/>
      <c r="BC377" s="1164"/>
      <c r="BD377" s="20"/>
      <c r="BE377" s="473"/>
      <c r="BF377" s="610"/>
      <c r="BG377" s="610"/>
      <c r="BH377" s="610"/>
      <c r="BI377" s="610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s="22" customFormat="1" x14ac:dyDescent="0.25">
      <c r="A378" s="20"/>
      <c r="B378" s="16"/>
      <c r="C378" s="473"/>
      <c r="D378" s="473"/>
      <c r="E378" s="1164"/>
      <c r="F378" s="473"/>
      <c r="G378" s="473"/>
      <c r="H378" s="1164"/>
      <c r="I378" s="473"/>
      <c r="J378" s="473"/>
      <c r="K378" s="1164"/>
      <c r="L378" s="473"/>
      <c r="M378" s="473"/>
      <c r="N378" s="1164"/>
      <c r="O378" s="473"/>
      <c r="P378" s="473"/>
      <c r="Q378" s="1164"/>
      <c r="R378" s="473"/>
      <c r="S378" s="473"/>
      <c r="T378" s="1164"/>
      <c r="U378" s="1164"/>
      <c r="V378" s="473"/>
      <c r="W378" s="473"/>
      <c r="X378" s="1164"/>
      <c r="Y378" s="473"/>
      <c r="Z378" s="473"/>
      <c r="AA378" s="1164"/>
      <c r="AB378" s="473"/>
      <c r="AC378" s="1164"/>
      <c r="AD378" s="473"/>
      <c r="AE378" s="1164"/>
      <c r="AF378" s="473"/>
      <c r="AG378" s="1164"/>
      <c r="AH378" s="473"/>
      <c r="AI378" s="473"/>
      <c r="AJ378" s="1164"/>
      <c r="AK378" s="473"/>
      <c r="AL378" s="473"/>
      <c r="AM378" s="1164"/>
      <c r="AN378" s="473"/>
      <c r="AO378" s="473"/>
      <c r="AP378" s="1164"/>
      <c r="AQ378" s="473"/>
      <c r="AR378" s="473"/>
      <c r="AS378" s="1236"/>
      <c r="AT378" s="473"/>
      <c r="AU378" s="473"/>
      <c r="AV378" s="1164"/>
      <c r="AW378" s="1164"/>
      <c r="AX378" s="1236"/>
      <c r="AY378" s="473"/>
      <c r="AZ378" s="1236"/>
      <c r="BA378" s="473"/>
      <c r="BB378" s="473"/>
      <c r="BC378" s="1164"/>
      <c r="BD378" s="20"/>
      <c r="BE378" s="473"/>
      <c r="BF378" s="610"/>
      <c r="BG378" s="610"/>
      <c r="BH378" s="610"/>
      <c r="BI378" s="610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s="22" customFormat="1" x14ac:dyDescent="0.25">
      <c r="A379" s="20"/>
      <c r="B379" s="16"/>
      <c r="C379" s="473"/>
      <c r="D379" s="473"/>
      <c r="E379" s="1164"/>
      <c r="F379" s="473"/>
      <c r="G379" s="473"/>
      <c r="H379" s="1164"/>
      <c r="I379" s="473"/>
      <c r="J379" s="473"/>
      <c r="K379" s="1164"/>
      <c r="L379" s="473"/>
      <c r="M379" s="473"/>
      <c r="N379" s="1164"/>
      <c r="O379" s="473"/>
      <c r="P379" s="473"/>
      <c r="Q379" s="1164"/>
      <c r="R379" s="473"/>
      <c r="S379" s="473"/>
      <c r="T379" s="1164"/>
      <c r="U379" s="1164"/>
      <c r="V379" s="473"/>
      <c r="W379" s="473"/>
      <c r="X379" s="1164"/>
      <c r="Y379" s="473"/>
      <c r="Z379" s="473"/>
      <c r="AA379" s="1164"/>
      <c r="AB379" s="473"/>
      <c r="AC379" s="1164"/>
      <c r="AD379" s="473"/>
      <c r="AE379" s="1164"/>
      <c r="AF379" s="473"/>
      <c r="AG379" s="1164"/>
      <c r="AH379" s="473"/>
      <c r="AI379" s="473"/>
      <c r="AJ379" s="1164"/>
      <c r="AK379" s="473"/>
      <c r="AL379" s="473"/>
      <c r="AM379" s="1164"/>
      <c r="AN379" s="473"/>
      <c r="AO379" s="473"/>
      <c r="AP379" s="1164"/>
      <c r="AQ379" s="473"/>
      <c r="AR379" s="473"/>
      <c r="AS379" s="1236"/>
      <c r="AT379" s="473"/>
      <c r="AU379" s="473"/>
      <c r="AV379" s="1164"/>
      <c r="AW379" s="1164"/>
      <c r="AX379" s="1236"/>
      <c r="AY379" s="473"/>
      <c r="AZ379" s="1236"/>
      <c r="BA379" s="473"/>
      <c r="BB379" s="473"/>
      <c r="BC379" s="1164"/>
      <c r="BD379" s="20"/>
      <c r="BE379" s="473"/>
      <c r="BF379" s="610"/>
      <c r="BG379" s="610"/>
      <c r="BH379" s="610"/>
      <c r="BI379" s="610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</row>
    <row r="380" spans="1:148" s="22" customFormat="1" x14ac:dyDescent="0.25">
      <c r="A380" s="20"/>
      <c r="B380" s="16"/>
      <c r="C380" s="473"/>
      <c r="D380" s="473"/>
      <c r="E380" s="1164"/>
      <c r="F380" s="473"/>
      <c r="G380" s="473"/>
      <c r="H380" s="1164"/>
      <c r="I380" s="473"/>
      <c r="J380" s="473"/>
      <c r="K380" s="1164"/>
      <c r="L380" s="473"/>
      <c r="M380" s="473"/>
      <c r="N380" s="1164"/>
      <c r="O380" s="473"/>
      <c r="P380" s="473"/>
      <c r="Q380" s="1164"/>
      <c r="R380" s="473"/>
      <c r="S380" s="473"/>
      <c r="T380" s="1164"/>
      <c r="U380" s="1164"/>
      <c r="V380" s="473"/>
      <c r="W380" s="473"/>
      <c r="X380" s="1164"/>
      <c r="Y380" s="473"/>
      <c r="Z380" s="473"/>
      <c r="AA380" s="1164"/>
      <c r="AB380" s="473"/>
      <c r="AC380" s="1164"/>
      <c r="AD380" s="473"/>
      <c r="AE380" s="1164"/>
      <c r="AF380" s="473"/>
      <c r="AG380" s="1164"/>
      <c r="AH380" s="473"/>
      <c r="AI380" s="473"/>
      <c r="AJ380" s="1164"/>
      <c r="AK380" s="473"/>
      <c r="AL380" s="473"/>
      <c r="AM380" s="1164"/>
      <c r="AN380" s="473"/>
      <c r="AO380" s="473"/>
      <c r="AP380" s="1164"/>
      <c r="AQ380" s="473"/>
      <c r="AR380" s="473"/>
      <c r="AS380" s="1236"/>
      <c r="AT380" s="473"/>
      <c r="AU380" s="473"/>
      <c r="AV380" s="1164"/>
      <c r="AW380" s="1164"/>
      <c r="AX380" s="1236"/>
      <c r="AY380" s="473"/>
      <c r="AZ380" s="1236"/>
      <c r="BA380" s="473"/>
      <c r="BB380" s="473"/>
      <c r="BC380" s="1164"/>
      <c r="BD380" s="20"/>
      <c r="BE380" s="473"/>
      <c r="BF380" s="610"/>
      <c r="BG380" s="610"/>
      <c r="BH380" s="610"/>
      <c r="BI380" s="610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</row>
    <row r="381" spans="1:148" s="22" customFormat="1" x14ac:dyDescent="0.25">
      <c r="A381" s="20"/>
      <c r="B381" s="16"/>
      <c r="C381" s="473"/>
      <c r="D381" s="473"/>
      <c r="E381" s="1164"/>
      <c r="F381" s="473"/>
      <c r="G381" s="473"/>
      <c r="H381" s="1164"/>
      <c r="I381" s="473"/>
      <c r="J381" s="473"/>
      <c r="K381" s="1164"/>
      <c r="L381" s="473"/>
      <c r="M381" s="473"/>
      <c r="N381" s="1164"/>
      <c r="O381" s="473"/>
      <c r="P381" s="473"/>
      <c r="Q381" s="1164"/>
      <c r="R381" s="473"/>
      <c r="S381" s="473"/>
      <c r="T381" s="1164"/>
      <c r="U381" s="1164"/>
      <c r="V381" s="473"/>
      <c r="W381" s="473"/>
      <c r="X381" s="1164"/>
      <c r="Y381" s="473"/>
      <c r="Z381" s="473"/>
      <c r="AA381" s="1164"/>
      <c r="AB381" s="473"/>
      <c r="AC381" s="1164"/>
      <c r="AD381" s="473"/>
      <c r="AE381" s="1164"/>
      <c r="AF381" s="473"/>
      <c r="AG381" s="1164"/>
      <c r="AH381" s="473"/>
      <c r="AI381" s="473"/>
      <c r="AJ381" s="1164"/>
      <c r="AK381" s="473"/>
      <c r="AL381" s="473"/>
      <c r="AM381" s="1164"/>
      <c r="AN381" s="473"/>
      <c r="AO381" s="473"/>
      <c r="AP381" s="1164"/>
      <c r="AQ381" s="473"/>
      <c r="AR381" s="473"/>
      <c r="AS381" s="1236"/>
      <c r="AT381" s="473"/>
      <c r="AU381" s="473"/>
      <c r="AV381" s="1164"/>
      <c r="AW381" s="1164"/>
      <c r="AX381" s="1236"/>
      <c r="AY381" s="473"/>
      <c r="AZ381" s="1236"/>
      <c r="BA381" s="473"/>
      <c r="BB381" s="473"/>
      <c r="BC381" s="1164"/>
      <c r="BD381" s="20"/>
      <c r="BE381" s="473"/>
      <c r="BF381" s="610"/>
      <c r="BG381" s="610"/>
      <c r="BH381" s="610"/>
      <c r="BI381" s="610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</row>
    <row r="382" spans="1:148" s="22" customFormat="1" x14ac:dyDescent="0.25">
      <c r="A382" s="20"/>
      <c r="B382" s="16"/>
      <c r="C382" s="473"/>
      <c r="D382" s="473"/>
      <c r="E382" s="1164"/>
      <c r="F382" s="473"/>
      <c r="G382" s="473"/>
      <c r="H382" s="1164"/>
      <c r="I382" s="473"/>
      <c r="J382" s="473"/>
      <c r="K382" s="1164"/>
      <c r="L382" s="473"/>
      <c r="M382" s="473"/>
      <c r="N382" s="1164"/>
      <c r="O382" s="473"/>
      <c r="P382" s="473"/>
      <c r="Q382" s="1164"/>
      <c r="R382" s="473"/>
      <c r="S382" s="473"/>
      <c r="T382" s="1164"/>
      <c r="U382" s="1164"/>
      <c r="V382" s="473"/>
      <c r="W382" s="473"/>
      <c r="X382" s="1164"/>
      <c r="Y382" s="473"/>
      <c r="Z382" s="473"/>
      <c r="AA382" s="1164"/>
      <c r="AB382" s="473"/>
      <c r="AC382" s="1164"/>
      <c r="AD382" s="473"/>
      <c r="AE382" s="1164"/>
      <c r="AF382" s="473"/>
      <c r="AG382" s="1164"/>
      <c r="AH382" s="473"/>
      <c r="AI382" s="473"/>
      <c r="AJ382" s="1164"/>
      <c r="AK382" s="473"/>
      <c r="AL382" s="473"/>
      <c r="AM382" s="1164"/>
      <c r="AN382" s="473"/>
      <c r="AO382" s="473"/>
      <c r="AP382" s="1164"/>
      <c r="AQ382" s="473"/>
      <c r="AR382" s="473"/>
      <c r="AS382" s="1236"/>
      <c r="AT382" s="473"/>
      <c r="AU382" s="473"/>
      <c r="AV382" s="1164"/>
      <c r="AW382" s="1164"/>
      <c r="AX382" s="1236"/>
      <c r="AY382" s="473"/>
      <c r="AZ382" s="1236"/>
      <c r="BA382" s="473"/>
      <c r="BB382" s="473"/>
      <c r="BC382" s="1164"/>
      <c r="BD382" s="20"/>
      <c r="BE382" s="473"/>
      <c r="BF382" s="610"/>
      <c r="BG382" s="610"/>
      <c r="BH382" s="610"/>
      <c r="BI382" s="610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</row>
    <row r="383" spans="1:148" s="22" customFormat="1" x14ac:dyDescent="0.25">
      <c r="A383" s="20"/>
      <c r="B383" s="16"/>
      <c r="C383" s="473"/>
      <c r="D383" s="473"/>
      <c r="E383" s="1164"/>
      <c r="F383" s="473"/>
      <c r="G383" s="473"/>
      <c r="H383" s="1164"/>
      <c r="I383" s="473"/>
      <c r="J383" s="473"/>
      <c r="K383" s="1164"/>
      <c r="L383" s="473"/>
      <c r="M383" s="473"/>
      <c r="N383" s="1164"/>
      <c r="O383" s="473"/>
      <c r="P383" s="473"/>
      <c r="Q383" s="1164"/>
      <c r="R383" s="473"/>
      <c r="S383" s="473"/>
      <c r="T383" s="1164"/>
      <c r="U383" s="1164"/>
      <c r="V383" s="473"/>
      <c r="W383" s="473"/>
      <c r="X383" s="1164"/>
      <c r="Y383" s="473"/>
      <c r="Z383" s="473"/>
      <c r="AA383" s="1164"/>
      <c r="AB383" s="473"/>
      <c r="AC383" s="1164"/>
      <c r="AD383" s="473"/>
      <c r="AE383" s="1164"/>
      <c r="AF383" s="473"/>
      <c r="AG383" s="1164"/>
      <c r="AH383" s="473"/>
      <c r="AI383" s="473"/>
      <c r="AJ383" s="1164"/>
      <c r="AK383" s="473"/>
      <c r="AL383" s="473"/>
      <c r="AM383" s="1164"/>
      <c r="AN383" s="473"/>
      <c r="AO383" s="473"/>
      <c r="AP383" s="1164"/>
      <c r="AQ383" s="473"/>
      <c r="AR383" s="473"/>
      <c r="AS383" s="1236"/>
      <c r="AT383" s="473"/>
      <c r="AU383" s="473"/>
      <c r="AV383" s="1164"/>
      <c r="AW383" s="1164"/>
      <c r="AX383" s="1236"/>
      <c r="AY383" s="473"/>
      <c r="AZ383" s="1236"/>
      <c r="BA383" s="473"/>
      <c r="BB383" s="473"/>
      <c r="BC383" s="1164"/>
      <c r="BD383" s="20"/>
      <c r="BE383" s="473"/>
      <c r="BF383" s="610"/>
      <c r="BG383" s="610"/>
      <c r="BH383" s="610"/>
      <c r="BI383" s="610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</row>
    <row r="384" spans="1:148" s="22" customFormat="1" x14ac:dyDescent="0.25">
      <c r="A384" s="20"/>
      <c r="B384" s="16"/>
      <c r="C384" s="473"/>
      <c r="D384" s="473"/>
      <c r="E384" s="1164"/>
      <c r="F384" s="473"/>
      <c r="G384" s="473"/>
      <c r="H384" s="1164"/>
      <c r="I384" s="473"/>
      <c r="J384" s="473"/>
      <c r="K384" s="1164"/>
      <c r="L384" s="473"/>
      <c r="M384" s="473"/>
      <c r="N384" s="1164"/>
      <c r="O384" s="473"/>
      <c r="P384" s="473"/>
      <c r="Q384" s="1164"/>
      <c r="R384" s="473"/>
      <c r="S384" s="473"/>
      <c r="T384" s="1164"/>
      <c r="U384" s="1164"/>
      <c r="V384" s="473"/>
      <c r="W384" s="473"/>
      <c r="X384" s="1164"/>
      <c r="Y384" s="473"/>
      <c r="Z384" s="473"/>
      <c r="AA384" s="1164"/>
      <c r="AB384" s="473"/>
      <c r="AC384" s="1164"/>
      <c r="AD384" s="473"/>
      <c r="AE384" s="1164"/>
      <c r="AF384" s="473"/>
      <c r="AG384" s="1164"/>
      <c r="AH384" s="473"/>
      <c r="AI384" s="473"/>
      <c r="AJ384" s="1164"/>
      <c r="AK384" s="473"/>
      <c r="AL384" s="473"/>
      <c r="AM384" s="1164"/>
      <c r="AN384" s="473"/>
      <c r="AO384" s="473"/>
      <c r="AP384" s="1164"/>
      <c r="AQ384" s="473"/>
      <c r="AR384" s="473"/>
      <c r="AS384" s="1236"/>
      <c r="AT384" s="473"/>
      <c r="AU384" s="473"/>
      <c r="AV384" s="1164"/>
      <c r="AW384" s="1164"/>
      <c r="AX384" s="1236"/>
      <c r="AY384" s="473"/>
      <c r="AZ384" s="1236"/>
      <c r="BA384" s="473"/>
      <c r="BB384" s="473"/>
      <c r="BC384" s="1164"/>
      <c r="BD384" s="20"/>
      <c r="BE384" s="473"/>
      <c r="BF384" s="610"/>
      <c r="BG384" s="610"/>
      <c r="BH384" s="610"/>
      <c r="BI384" s="610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</row>
    <row r="385" spans="1:148" s="22" customFormat="1" x14ac:dyDescent="0.25">
      <c r="A385" s="20"/>
      <c r="B385" s="16"/>
      <c r="C385" s="473"/>
      <c r="D385" s="473"/>
      <c r="E385" s="1164"/>
      <c r="F385" s="473"/>
      <c r="G385" s="473"/>
      <c r="H385" s="1164"/>
      <c r="I385" s="473"/>
      <c r="J385" s="473"/>
      <c r="K385" s="1164"/>
      <c r="L385" s="473"/>
      <c r="M385" s="473"/>
      <c r="N385" s="1164"/>
      <c r="O385" s="473"/>
      <c r="P385" s="473"/>
      <c r="Q385" s="1164"/>
      <c r="R385" s="473"/>
      <c r="S385" s="473"/>
      <c r="T385" s="1164"/>
      <c r="U385" s="1164"/>
      <c r="V385" s="473"/>
      <c r="W385" s="473"/>
      <c r="X385" s="1164"/>
      <c r="Y385" s="473"/>
      <c r="Z385" s="473"/>
      <c r="AA385" s="1164"/>
      <c r="AB385" s="473"/>
      <c r="AC385" s="1164"/>
      <c r="AD385" s="473"/>
      <c r="AE385" s="1164"/>
      <c r="AF385" s="473"/>
      <c r="AG385" s="1164"/>
      <c r="AH385" s="473"/>
      <c r="AI385" s="473"/>
      <c r="AJ385" s="1164"/>
      <c r="AK385" s="473"/>
      <c r="AL385" s="473"/>
      <c r="AM385" s="1164"/>
      <c r="AN385" s="473"/>
      <c r="AO385" s="473"/>
      <c r="AP385" s="1164"/>
      <c r="AQ385" s="473"/>
      <c r="AR385" s="473"/>
      <c r="AS385" s="1236"/>
      <c r="AT385" s="473"/>
      <c r="AU385" s="473"/>
      <c r="AV385" s="1164"/>
      <c r="AW385" s="1164"/>
      <c r="AX385" s="1236"/>
      <c r="AY385" s="473"/>
      <c r="AZ385" s="1236"/>
      <c r="BA385" s="473"/>
      <c r="BB385" s="473"/>
      <c r="BC385" s="1164"/>
      <c r="BD385" s="20"/>
      <c r="BE385" s="473"/>
      <c r="BF385" s="610"/>
      <c r="BG385" s="610"/>
      <c r="BH385" s="610"/>
      <c r="BI385" s="610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</row>
    <row r="386" spans="1:148" s="22" customFormat="1" x14ac:dyDescent="0.25">
      <c r="A386" s="20"/>
      <c r="B386" s="16"/>
      <c r="C386" s="473"/>
      <c r="D386" s="473"/>
      <c r="E386" s="1164"/>
      <c r="F386" s="473"/>
      <c r="G386" s="473"/>
      <c r="H386" s="1164"/>
      <c r="I386" s="473"/>
      <c r="J386" s="473"/>
      <c r="K386" s="1164"/>
      <c r="L386" s="473"/>
      <c r="M386" s="473"/>
      <c r="N386" s="1164"/>
      <c r="O386" s="473"/>
      <c r="P386" s="473"/>
      <c r="Q386" s="1164"/>
      <c r="R386" s="473"/>
      <c r="S386" s="473"/>
      <c r="T386" s="1164"/>
      <c r="U386" s="1164"/>
      <c r="V386" s="473"/>
      <c r="W386" s="473"/>
      <c r="X386" s="1164"/>
      <c r="Y386" s="473"/>
      <c r="Z386" s="473"/>
      <c r="AA386" s="1164"/>
      <c r="AB386" s="473"/>
      <c r="AC386" s="1164"/>
      <c r="AD386" s="473"/>
      <c r="AE386" s="1164"/>
      <c r="AF386" s="473"/>
      <c r="AG386" s="1164"/>
      <c r="AH386" s="473"/>
      <c r="AI386" s="473"/>
      <c r="AJ386" s="1164"/>
      <c r="AK386" s="473"/>
      <c r="AL386" s="473"/>
      <c r="AM386" s="1164"/>
      <c r="AN386" s="473"/>
      <c r="AO386" s="473"/>
      <c r="AP386" s="1164"/>
      <c r="AQ386" s="473"/>
      <c r="AR386" s="473"/>
      <c r="AS386" s="1236"/>
      <c r="AT386" s="473"/>
      <c r="AU386" s="473"/>
      <c r="AV386" s="1164"/>
      <c r="AW386" s="1164"/>
      <c r="AX386" s="1236"/>
      <c r="AY386" s="473"/>
      <c r="AZ386" s="1236"/>
      <c r="BA386" s="473"/>
      <c r="BB386" s="473"/>
      <c r="BC386" s="1164"/>
      <c r="BD386" s="20"/>
      <c r="BE386" s="473"/>
      <c r="BF386" s="610"/>
      <c r="BG386" s="610"/>
      <c r="BH386" s="610"/>
      <c r="BI386" s="610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</row>
    <row r="387" spans="1:148" s="22" customFormat="1" x14ac:dyDescent="0.25">
      <c r="A387" s="20"/>
      <c r="B387" s="16"/>
      <c r="C387" s="473"/>
      <c r="D387" s="473"/>
      <c r="E387" s="1164"/>
      <c r="F387" s="473"/>
      <c r="G387" s="473"/>
      <c r="H387" s="1164"/>
      <c r="I387" s="473"/>
      <c r="J387" s="473"/>
      <c r="K387" s="1164"/>
      <c r="L387" s="473"/>
      <c r="M387" s="473"/>
      <c r="N387" s="1164"/>
      <c r="O387" s="473"/>
      <c r="P387" s="473"/>
      <c r="Q387" s="1164"/>
      <c r="R387" s="473"/>
      <c r="S387" s="473"/>
      <c r="T387" s="1164"/>
      <c r="U387" s="1164"/>
      <c r="V387" s="473"/>
      <c r="W387" s="473"/>
      <c r="X387" s="1164"/>
      <c r="Y387" s="473"/>
      <c r="Z387" s="473"/>
      <c r="AA387" s="1164"/>
      <c r="AB387" s="473"/>
      <c r="AC387" s="1164"/>
      <c r="AD387" s="473"/>
      <c r="AE387" s="1164"/>
      <c r="AF387" s="473"/>
      <c r="AG387" s="1164"/>
      <c r="AH387" s="473"/>
      <c r="AI387" s="473"/>
      <c r="AJ387" s="1164"/>
      <c r="AK387" s="473"/>
      <c r="AL387" s="473"/>
      <c r="AM387" s="1164"/>
      <c r="AN387" s="473"/>
      <c r="AO387" s="473"/>
      <c r="AP387" s="1164"/>
      <c r="AQ387" s="473"/>
      <c r="AR387" s="473"/>
      <c r="AS387" s="1236"/>
      <c r="AT387" s="473"/>
      <c r="AU387" s="473"/>
      <c r="AV387" s="1164"/>
      <c r="AW387" s="1164"/>
      <c r="AX387" s="1236"/>
      <c r="AY387" s="473"/>
      <c r="AZ387" s="1236"/>
      <c r="BA387" s="473"/>
      <c r="BB387" s="473"/>
      <c r="BC387" s="1164"/>
      <c r="BD387" s="20"/>
      <c r="BE387" s="473"/>
      <c r="BF387" s="610"/>
      <c r="BG387" s="610"/>
      <c r="BH387" s="610"/>
      <c r="BI387" s="610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</row>
    <row r="388" spans="1:148" s="22" customFormat="1" x14ac:dyDescent="0.25">
      <c r="A388" s="20"/>
      <c r="B388" s="16"/>
      <c r="C388" s="473"/>
      <c r="D388" s="473"/>
      <c r="E388" s="1164"/>
      <c r="F388" s="473"/>
      <c r="G388" s="473"/>
      <c r="H388" s="1164"/>
      <c r="I388" s="473"/>
      <c r="J388" s="473"/>
      <c r="K388" s="1164"/>
      <c r="L388" s="473"/>
      <c r="M388" s="473"/>
      <c r="N388" s="1164"/>
      <c r="O388" s="473"/>
      <c r="P388" s="473"/>
      <c r="Q388" s="1164"/>
      <c r="R388" s="473"/>
      <c r="S388" s="473"/>
      <c r="T388" s="1164"/>
      <c r="U388" s="1164"/>
      <c r="V388" s="473"/>
      <c r="W388" s="473"/>
      <c r="X388" s="1164"/>
      <c r="Y388" s="473"/>
      <c r="Z388" s="473"/>
      <c r="AA388" s="1164"/>
      <c r="AB388" s="473"/>
      <c r="AC388" s="1164"/>
      <c r="AD388" s="473"/>
      <c r="AE388" s="1164"/>
      <c r="AF388" s="473"/>
      <c r="AG388" s="1164"/>
      <c r="AH388" s="473"/>
      <c r="AI388" s="473"/>
      <c r="AJ388" s="1164"/>
      <c r="AK388" s="473"/>
      <c r="AL388" s="473"/>
      <c r="AM388" s="1164"/>
      <c r="AN388" s="473"/>
      <c r="AO388" s="473"/>
      <c r="AP388" s="1164"/>
      <c r="AQ388" s="473"/>
      <c r="AR388" s="473"/>
      <c r="AS388" s="1236"/>
      <c r="AT388" s="473"/>
      <c r="AU388" s="473"/>
      <c r="AV388" s="1164"/>
      <c r="AW388" s="1164"/>
      <c r="AX388" s="1236"/>
      <c r="AY388" s="473"/>
      <c r="AZ388" s="1236"/>
      <c r="BA388" s="473"/>
      <c r="BB388" s="473"/>
      <c r="BC388" s="1164"/>
      <c r="BD388" s="20"/>
      <c r="BE388" s="473"/>
      <c r="BF388" s="610"/>
      <c r="BG388" s="610"/>
      <c r="BH388" s="610"/>
      <c r="BI388" s="610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</row>
    <row r="389" spans="1:148" s="22" customFormat="1" x14ac:dyDescent="0.25">
      <c r="A389" s="20"/>
      <c r="B389" s="16"/>
      <c r="C389" s="473"/>
      <c r="D389" s="473"/>
      <c r="E389" s="1164"/>
      <c r="F389" s="473"/>
      <c r="G389" s="473"/>
      <c r="H389" s="1164"/>
      <c r="I389" s="473"/>
      <c r="J389" s="473"/>
      <c r="K389" s="1164"/>
      <c r="L389" s="473"/>
      <c r="M389" s="473"/>
      <c r="N389" s="1164"/>
      <c r="O389" s="473"/>
      <c r="P389" s="473"/>
      <c r="Q389" s="1164"/>
      <c r="R389" s="473"/>
      <c r="S389" s="473"/>
      <c r="T389" s="1164"/>
      <c r="U389" s="1164"/>
      <c r="V389" s="473"/>
      <c r="W389" s="473"/>
      <c r="X389" s="1164"/>
      <c r="Y389" s="473"/>
      <c r="Z389" s="473"/>
      <c r="AA389" s="1164"/>
      <c r="AB389" s="473"/>
      <c r="AC389" s="1164"/>
      <c r="AD389" s="473"/>
      <c r="AE389" s="1164"/>
      <c r="AF389" s="473"/>
      <c r="AG389" s="1164"/>
      <c r="AH389" s="473"/>
      <c r="AI389" s="473"/>
      <c r="AJ389" s="1164"/>
      <c r="AK389" s="473"/>
      <c r="AL389" s="473"/>
      <c r="AM389" s="1164"/>
      <c r="AN389" s="473"/>
      <c r="AO389" s="473"/>
      <c r="AP389" s="1164"/>
      <c r="AQ389" s="473"/>
      <c r="AR389" s="473"/>
      <c r="AS389" s="1236"/>
      <c r="AT389" s="473"/>
      <c r="AU389" s="473"/>
      <c r="AV389" s="1164"/>
      <c r="AW389" s="1164"/>
      <c r="AX389" s="1236"/>
      <c r="AY389" s="473"/>
      <c r="AZ389" s="1236"/>
      <c r="BA389" s="473"/>
      <c r="BB389" s="473"/>
      <c r="BC389" s="1164"/>
      <c r="BD389" s="20"/>
      <c r="BE389" s="473"/>
      <c r="BF389" s="610"/>
      <c r="BG389" s="610"/>
      <c r="BH389" s="610"/>
      <c r="BI389" s="610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</row>
    <row r="390" spans="1:148" s="22" customFormat="1" x14ac:dyDescent="0.25">
      <c r="A390" s="20"/>
      <c r="B390" s="16"/>
      <c r="C390" s="473"/>
      <c r="D390" s="473"/>
      <c r="E390" s="1164"/>
      <c r="F390" s="473"/>
      <c r="G390" s="473"/>
      <c r="H390" s="1164"/>
      <c r="I390" s="473"/>
      <c r="J390" s="473"/>
      <c r="K390" s="1164"/>
      <c r="L390" s="473"/>
      <c r="M390" s="473"/>
      <c r="N390" s="1164"/>
      <c r="O390" s="473"/>
      <c r="P390" s="473"/>
      <c r="Q390" s="1164"/>
      <c r="R390" s="473"/>
      <c r="S390" s="473"/>
      <c r="T390" s="1164"/>
      <c r="U390" s="1164"/>
      <c r="V390" s="473"/>
      <c r="W390" s="473"/>
      <c r="X390" s="1164"/>
      <c r="Y390" s="473"/>
      <c r="Z390" s="473"/>
      <c r="AA390" s="1164"/>
      <c r="AB390" s="473"/>
      <c r="AC390" s="1164"/>
      <c r="AD390" s="473"/>
      <c r="AE390" s="1164"/>
      <c r="AF390" s="473"/>
      <c r="AG390" s="1164"/>
      <c r="AH390" s="473"/>
      <c r="AI390" s="473"/>
      <c r="AJ390" s="1164"/>
      <c r="AK390" s="473"/>
      <c r="AL390" s="473"/>
      <c r="AM390" s="1164"/>
      <c r="AN390" s="473"/>
      <c r="AO390" s="473"/>
      <c r="AP390" s="1164"/>
      <c r="AQ390" s="473"/>
      <c r="AR390" s="473"/>
      <c r="AS390" s="1236"/>
      <c r="AT390" s="473"/>
      <c r="AU390" s="473"/>
      <c r="AV390" s="1164"/>
      <c r="AW390" s="1164"/>
      <c r="AX390" s="1236"/>
      <c r="AY390" s="473"/>
      <c r="AZ390" s="1236"/>
      <c r="BA390" s="473"/>
      <c r="BB390" s="473"/>
      <c r="BC390" s="1164"/>
      <c r="BD390" s="20"/>
      <c r="BE390" s="473"/>
      <c r="BF390" s="610"/>
      <c r="BG390" s="610"/>
      <c r="BH390" s="610"/>
      <c r="BI390" s="610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</row>
    <row r="391" spans="1:148" s="22" customFormat="1" x14ac:dyDescent="0.25">
      <c r="A391" s="20"/>
      <c r="B391" s="16"/>
      <c r="C391" s="473"/>
      <c r="D391" s="473"/>
      <c r="E391" s="1164"/>
      <c r="F391" s="473"/>
      <c r="G391" s="473"/>
      <c r="H391" s="1164"/>
      <c r="I391" s="473"/>
      <c r="J391" s="473"/>
      <c r="K391" s="1164"/>
      <c r="L391" s="473"/>
      <c r="M391" s="473"/>
      <c r="N391" s="1164"/>
      <c r="O391" s="473"/>
      <c r="P391" s="473"/>
      <c r="Q391" s="1164"/>
      <c r="R391" s="473"/>
      <c r="S391" s="473"/>
      <c r="T391" s="1164"/>
      <c r="U391" s="1164"/>
      <c r="V391" s="473"/>
      <c r="W391" s="473"/>
      <c r="X391" s="1164"/>
      <c r="Y391" s="473"/>
      <c r="Z391" s="473"/>
      <c r="AA391" s="1164"/>
      <c r="AB391" s="473"/>
      <c r="AC391" s="1164"/>
      <c r="AD391" s="473"/>
      <c r="AE391" s="1164"/>
      <c r="AF391" s="473"/>
      <c r="AG391" s="1164"/>
      <c r="AH391" s="473"/>
      <c r="AI391" s="473"/>
      <c r="AJ391" s="1164"/>
      <c r="AK391" s="473"/>
      <c r="AL391" s="473"/>
      <c r="AM391" s="1164"/>
      <c r="AN391" s="473"/>
      <c r="AO391" s="473"/>
      <c r="AP391" s="1164"/>
      <c r="AQ391" s="473"/>
      <c r="AR391" s="473"/>
      <c r="AS391" s="1236"/>
      <c r="AT391" s="473"/>
      <c r="AU391" s="473"/>
      <c r="AV391" s="1164"/>
      <c r="AW391" s="1164"/>
      <c r="AX391" s="1236"/>
      <c r="AY391" s="473"/>
      <c r="AZ391" s="1236"/>
      <c r="BA391" s="473"/>
      <c r="BB391" s="473"/>
      <c r="BC391" s="1164"/>
      <c r="BD391" s="20"/>
      <c r="BE391" s="473"/>
      <c r="BF391" s="610"/>
      <c r="BG391" s="610"/>
      <c r="BH391" s="610"/>
      <c r="BI391" s="610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</row>
    <row r="392" spans="1:148" s="22" customFormat="1" x14ac:dyDescent="0.25">
      <c r="A392" s="20"/>
      <c r="B392" s="16"/>
      <c r="C392" s="473"/>
      <c r="D392" s="473"/>
      <c r="E392" s="1164"/>
      <c r="F392" s="473"/>
      <c r="G392" s="473"/>
      <c r="H392" s="1164"/>
      <c r="I392" s="473"/>
      <c r="J392" s="473"/>
      <c r="K392" s="1164"/>
      <c r="L392" s="473"/>
      <c r="M392" s="473"/>
      <c r="N392" s="1164"/>
      <c r="O392" s="473"/>
      <c r="P392" s="473"/>
      <c r="Q392" s="1164"/>
      <c r="R392" s="473"/>
      <c r="S392" s="473"/>
      <c r="T392" s="1164"/>
      <c r="U392" s="1164"/>
      <c r="V392" s="473"/>
      <c r="W392" s="473"/>
      <c r="X392" s="1164"/>
      <c r="Y392" s="473"/>
      <c r="Z392" s="473"/>
      <c r="AA392" s="1164"/>
      <c r="AB392" s="473"/>
      <c r="AC392" s="1164"/>
      <c r="AD392" s="473"/>
      <c r="AE392" s="1164"/>
      <c r="AF392" s="473"/>
      <c r="AG392" s="1164"/>
      <c r="AH392" s="473"/>
      <c r="AI392" s="473"/>
      <c r="AJ392" s="1164"/>
      <c r="AK392" s="473"/>
      <c r="AL392" s="473"/>
      <c r="AM392" s="1164"/>
      <c r="AN392" s="473"/>
      <c r="AO392" s="473"/>
      <c r="AP392" s="1164"/>
      <c r="AQ392" s="473"/>
      <c r="AR392" s="473"/>
      <c r="AS392" s="1236"/>
      <c r="AT392" s="473"/>
      <c r="AU392" s="473"/>
      <c r="AV392" s="1164"/>
      <c r="AW392" s="1164"/>
      <c r="AX392" s="1236"/>
      <c r="AY392" s="473"/>
      <c r="AZ392" s="1236"/>
      <c r="BA392" s="473"/>
      <c r="BB392" s="473"/>
      <c r="BC392" s="1164"/>
      <c r="BD392" s="20"/>
      <c r="BE392" s="473"/>
      <c r="BF392" s="610"/>
      <c r="BG392" s="610"/>
      <c r="BH392" s="610"/>
      <c r="BI392" s="610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</row>
    <row r="393" spans="1:148" s="22" customFormat="1" x14ac:dyDescent="0.25">
      <c r="A393" s="20"/>
      <c r="B393" s="16"/>
      <c r="C393" s="473"/>
      <c r="D393" s="473"/>
      <c r="E393" s="1164"/>
      <c r="F393" s="473"/>
      <c r="G393" s="473"/>
      <c r="H393" s="1164"/>
      <c r="I393" s="473"/>
      <c r="J393" s="473"/>
      <c r="K393" s="1164"/>
      <c r="L393" s="473"/>
      <c r="M393" s="473"/>
      <c r="N393" s="1164"/>
      <c r="O393" s="473"/>
      <c r="P393" s="473"/>
      <c r="Q393" s="1164"/>
      <c r="R393" s="473"/>
      <c r="S393" s="473"/>
      <c r="T393" s="1164"/>
      <c r="U393" s="1164"/>
      <c r="V393" s="473"/>
      <c r="W393" s="473"/>
      <c r="X393" s="1164"/>
      <c r="Y393" s="473"/>
      <c r="Z393" s="473"/>
      <c r="AA393" s="1164"/>
      <c r="AB393" s="473"/>
      <c r="AC393" s="1164"/>
      <c r="AD393" s="473"/>
      <c r="AE393" s="1164"/>
      <c r="AF393" s="473"/>
      <c r="AG393" s="1164"/>
      <c r="AH393" s="473"/>
      <c r="AI393" s="473"/>
      <c r="AJ393" s="1164"/>
      <c r="AK393" s="473"/>
      <c r="AL393" s="473"/>
      <c r="AM393" s="1164"/>
      <c r="AN393" s="473"/>
      <c r="AO393" s="473"/>
      <c r="AP393" s="1164"/>
      <c r="AQ393" s="473"/>
      <c r="AR393" s="473"/>
      <c r="AS393" s="1236"/>
      <c r="AT393" s="473"/>
      <c r="AU393" s="473"/>
      <c r="AV393" s="1164"/>
      <c r="AW393" s="1164"/>
      <c r="AX393" s="1236"/>
      <c r="AY393" s="473"/>
      <c r="AZ393" s="1236"/>
      <c r="BA393" s="473"/>
      <c r="BB393" s="473"/>
      <c r="BC393" s="1164"/>
      <c r="BD393" s="20"/>
      <c r="BE393" s="473"/>
      <c r="BF393" s="610"/>
      <c r="BG393" s="610"/>
      <c r="BH393" s="610"/>
      <c r="BI393" s="610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</row>
    <row r="394" spans="1:148" s="22" customFormat="1" x14ac:dyDescent="0.25">
      <c r="A394" s="20"/>
      <c r="B394" s="16"/>
      <c r="C394" s="473"/>
      <c r="D394" s="473"/>
      <c r="E394" s="1164"/>
      <c r="F394" s="473"/>
      <c r="G394" s="473"/>
      <c r="H394" s="1164"/>
      <c r="I394" s="473"/>
      <c r="J394" s="473"/>
      <c r="K394" s="1164"/>
      <c r="L394" s="473"/>
      <c r="M394" s="473"/>
      <c r="N394" s="1164"/>
      <c r="O394" s="473"/>
      <c r="P394" s="473"/>
      <c r="Q394" s="1164"/>
      <c r="R394" s="473"/>
      <c r="S394" s="473"/>
      <c r="T394" s="1164"/>
      <c r="U394" s="1164"/>
      <c r="V394" s="473"/>
      <c r="W394" s="473"/>
      <c r="X394" s="1164"/>
      <c r="Y394" s="473"/>
      <c r="Z394" s="473"/>
      <c r="AA394" s="1164"/>
      <c r="AB394" s="473"/>
      <c r="AC394" s="1164"/>
      <c r="AD394" s="473"/>
      <c r="AE394" s="1164"/>
      <c r="AF394" s="473"/>
      <c r="AG394" s="1164"/>
      <c r="AH394" s="473"/>
      <c r="AI394" s="473"/>
      <c r="AJ394" s="1164"/>
      <c r="AK394" s="473"/>
      <c r="AL394" s="473"/>
      <c r="AM394" s="1164"/>
      <c r="AN394" s="473"/>
      <c r="AO394" s="473"/>
      <c r="AP394" s="1164"/>
      <c r="AQ394" s="473"/>
      <c r="AR394" s="473"/>
      <c r="AS394" s="1236"/>
      <c r="AT394" s="473"/>
      <c r="AU394" s="473"/>
      <c r="AV394" s="1164"/>
      <c r="AW394" s="1164"/>
      <c r="AX394" s="1236"/>
      <c r="AY394" s="473"/>
      <c r="AZ394" s="1236"/>
      <c r="BA394" s="473"/>
      <c r="BB394" s="473"/>
      <c r="BC394" s="1164"/>
      <c r="BD394" s="20"/>
      <c r="BE394" s="473"/>
      <c r="BF394" s="610"/>
      <c r="BG394" s="610"/>
      <c r="BH394" s="610"/>
      <c r="BI394" s="610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</row>
    <row r="395" spans="1:148" s="22" customFormat="1" x14ac:dyDescent="0.25">
      <c r="A395" s="20"/>
      <c r="B395" s="16"/>
      <c r="C395" s="473"/>
      <c r="D395" s="473"/>
      <c r="E395" s="1164"/>
      <c r="F395" s="473"/>
      <c r="G395" s="473"/>
      <c r="H395" s="1164"/>
      <c r="I395" s="473"/>
      <c r="J395" s="473"/>
      <c r="K395" s="1164"/>
      <c r="L395" s="473"/>
      <c r="M395" s="473"/>
      <c r="N395" s="1164"/>
      <c r="O395" s="473"/>
      <c r="P395" s="473"/>
      <c r="Q395" s="1164"/>
      <c r="R395" s="473"/>
      <c r="S395" s="473"/>
      <c r="T395" s="1164"/>
      <c r="U395" s="1164"/>
      <c r="V395" s="473"/>
      <c r="W395" s="473"/>
      <c r="X395" s="1164"/>
      <c r="Y395" s="473"/>
      <c r="Z395" s="473"/>
      <c r="AA395" s="1164"/>
      <c r="AB395" s="473"/>
      <c r="AC395" s="1164"/>
      <c r="AD395" s="473"/>
      <c r="AE395" s="1164"/>
      <c r="AF395" s="473"/>
      <c r="AG395" s="1164"/>
      <c r="AH395" s="473"/>
      <c r="AI395" s="473"/>
      <c r="AJ395" s="1164"/>
      <c r="AK395" s="473"/>
      <c r="AL395" s="473"/>
      <c r="AM395" s="1164"/>
      <c r="AN395" s="473"/>
      <c r="AO395" s="473"/>
      <c r="AP395" s="1164"/>
      <c r="AQ395" s="473"/>
      <c r="AR395" s="473"/>
      <c r="AS395" s="1236"/>
      <c r="AT395" s="473"/>
      <c r="AU395" s="473"/>
      <c r="AV395" s="1164"/>
      <c r="AW395" s="1164"/>
      <c r="AX395" s="1236"/>
      <c r="AY395" s="473"/>
      <c r="AZ395" s="1236"/>
      <c r="BA395" s="473"/>
      <c r="BB395" s="473"/>
      <c r="BC395" s="1164"/>
      <c r="BD395" s="20"/>
      <c r="BE395" s="473"/>
      <c r="BF395" s="610"/>
      <c r="BG395" s="610"/>
      <c r="BH395" s="610"/>
      <c r="BI395" s="610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</row>
    <row r="396" spans="1:148" s="22" customFormat="1" x14ac:dyDescent="0.25">
      <c r="A396" s="20"/>
      <c r="B396" s="16"/>
      <c r="C396" s="473"/>
      <c r="D396" s="473"/>
      <c r="E396" s="1164"/>
      <c r="F396" s="473"/>
      <c r="G396" s="473"/>
      <c r="H396" s="1164"/>
      <c r="I396" s="473"/>
      <c r="J396" s="473"/>
      <c r="K396" s="1164"/>
      <c r="L396" s="473"/>
      <c r="M396" s="473"/>
      <c r="N396" s="1164"/>
      <c r="O396" s="473"/>
      <c r="P396" s="473"/>
      <c r="Q396" s="1164"/>
      <c r="R396" s="473"/>
      <c r="S396" s="473"/>
      <c r="T396" s="1164"/>
      <c r="U396" s="1164"/>
      <c r="V396" s="473"/>
      <c r="W396" s="473"/>
      <c r="X396" s="1164"/>
      <c r="Y396" s="473"/>
      <c r="Z396" s="473"/>
      <c r="AA396" s="1164"/>
      <c r="AB396" s="473"/>
      <c r="AC396" s="1164"/>
      <c r="AD396" s="473"/>
      <c r="AE396" s="1164"/>
      <c r="AF396" s="473"/>
      <c r="AG396" s="1164"/>
      <c r="AH396" s="473"/>
      <c r="AI396" s="473"/>
      <c r="AJ396" s="1164"/>
      <c r="AK396" s="473"/>
      <c r="AL396" s="473"/>
      <c r="AM396" s="1164"/>
      <c r="AN396" s="473"/>
      <c r="AO396" s="473"/>
      <c r="AP396" s="1164"/>
      <c r="AQ396" s="473"/>
      <c r="AR396" s="473"/>
      <c r="AS396" s="1236"/>
      <c r="AT396" s="473"/>
      <c r="AU396" s="473"/>
      <c r="AV396" s="1164"/>
      <c r="AW396" s="1164"/>
      <c r="AX396" s="1236"/>
      <c r="AY396" s="473"/>
      <c r="AZ396" s="1236"/>
      <c r="BA396" s="473"/>
      <c r="BB396" s="473"/>
      <c r="BC396" s="1164"/>
      <c r="BD396" s="20"/>
      <c r="BE396" s="473"/>
      <c r="BF396" s="610"/>
      <c r="BG396" s="610"/>
      <c r="BH396" s="610"/>
      <c r="BI396" s="610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</row>
    <row r="397" spans="1:148" s="22" customFormat="1" x14ac:dyDescent="0.25">
      <c r="A397" s="20"/>
      <c r="B397" s="16"/>
      <c r="C397" s="473"/>
      <c r="D397" s="473"/>
      <c r="E397" s="1164"/>
      <c r="F397" s="473"/>
      <c r="G397" s="473"/>
      <c r="H397" s="1164"/>
      <c r="I397" s="473"/>
      <c r="J397" s="473"/>
      <c r="K397" s="1164"/>
      <c r="L397" s="473"/>
      <c r="M397" s="473"/>
      <c r="N397" s="1164"/>
      <c r="O397" s="473"/>
      <c r="P397" s="473"/>
      <c r="Q397" s="1164"/>
      <c r="R397" s="473"/>
      <c r="S397" s="473"/>
      <c r="T397" s="1164"/>
      <c r="U397" s="1164"/>
      <c r="V397" s="473"/>
      <c r="W397" s="473"/>
      <c r="X397" s="1164"/>
      <c r="Y397" s="473"/>
      <c r="Z397" s="473"/>
      <c r="AA397" s="1164"/>
      <c r="AB397" s="473"/>
      <c r="AC397" s="1164"/>
      <c r="AD397" s="473"/>
      <c r="AE397" s="1164"/>
      <c r="AF397" s="473"/>
      <c r="AG397" s="1164"/>
      <c r="AH397" s="473"/>
      <c r="AI397" s="473"/>
      <c r="AJ397" s="1164"/>
      <c r="AK397" s="473"/>
      <c r="AL397" s="473"/>
      <c r="AM397" s="1164"/>
      <c r="AN397" s="473"/>
      <c r="AO397" s="473"/>
      <c r="AP397" s="1164"/>
      <c r="AQ397" s="473"/>
      <c r="AR397" s="473"/>
      <c r="AS397" s="1236"/>
      <c r="AT397" s="473"/>
      <c r="AU397" s="473"/>
      <c r="AV397" s="1164"/>
      <c r="AW397" s="1164"/>
      <c r="AX397" s="1236"/>
      <c r="AY397" s="473"/>
      <c r="AZ397" s="1236"/>
      <c r="BA397" s="473"/>
      <c r="BB397" s="473"/>
      <c r="BC397" s="1164"/>
      <c r="BD397" s="20"/>
      <c r="BE397" s="473"/>
      <c r="BF397" s="610"/>
      <c r="BG397" s="610"/>
      <c r="BH397" s="610"/>
      <c r="BI397" s="610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</row>
    <row r="398" spans="1:148" s="22" customFormat="1" x14ac:dyDescent="0.25">
      <c r="A398" s="20"/>
      <c r="B398" s="16"/>
      <c r="C398" s="473"/>
      <c r="D398" s="473"/>
      <c r="E398" s="1164"/>
      <c r="F398" s="473"/>
      <c r="G398" s="473"/>
      <c r="H398" s="1164"/>
      <c r="I398" s="473"/>
      <c r="J398" s="473"/>
      <c r="K398" s="1164"/>
      <c r="L398" s="473"/>
      <c r="M398" s="473"/>
      <c r="N398" s="1164"/>
      <c r="O398" s="473"/>
      <c r="P398" s="473"/>
      <c r="Q398" s="1164"/>
      <c r="R398" s="473"/>
      <c r="S398" s="473"/>
      <c r="T398" s="1164"/>
      <c r="U398" s="1164"/>
      <c r="V398" s="473"/>
      <c r="W398" s="473"/>
      <c r="X398" s="1164"/>
      <c r="Y398" s="473"/>
      <c r="Z398" s="473"/>
      <c r="AA398" s="1164"/>
      <c r="AB398" s="473"/>
      <c r="AC398" s="1164"/>
      <c r="AD398" s="473"/>
      <c r="AE398" s="1164"/>
      <c r="AF398" s="473"/>
      <c r="AG398" s="1164"/>
      <c r="AH398" s="473"/>
      <c r="AI398" s="473"/>
      <c r="AJ398" s="1164"/>
      <c r="AK398" s="473"/>
      <c r="AL398" s="473"/>
      <c r="AM398" s="1164"/>
      <c r="AN398" s="473"/>
      <c r="AO398" s="473"/>
      <c r="AP398" s="1164"/>
      <c r="AQ398" s="473"/>
      <c r="AR398" s="473"/>
      <c r="AS398" s="1236"/>
      <c r="AT398" s="473"/>
      <c r="AU398" s="473"/>
      <c r="AV398" s="1164"/>
      <c r="AW398" s="1164"/>
      <c r="AX398" s="1236"/>
      <c r="AY398" s="473"/>
      <c r="AZ398" s="1236"/>
      <c r="BA398" s="473"/>
      <c r="BB398" s="473"/>
      <c r="BC398" s="1164"/>
      <c r="BD398" s="20"/>
      <c r="BE398" s="473"/>
      <c r="BF398" s="610"/>
      <c r="BG398" s="610"/>
      <c r="BH398" s="610"/>
      <c r="BI398" s="610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</row>
    <row r="399" spans="1:148" s="22" customFormat="1" x14ac:dyDescent="0.25">
      <c r="A399" s="20"/>
      <c r="B399" s="16"/>
      <c r="C399" s="473"/>
      <c r="D399" s="473"/>
      <c r="E399" s="1164"/>
      <c r="F399" s="473"/>
      <c r="G399" s="473"/>
      <c r="H399" s="1164"/>
      <c r="I399" s="473"/>
      <c r="J399" s="473"/>
      <c r="K399" s="1164"/>
      <c r="L399" s="473"/>
      <c r="M399" s="473"/>
      <c r="N399" s="1164"/>
      <c r="O399" s="473"/>
      <c r="P399" s="473"/>
      <c r="Q399" s="1164"/>
      <c r="R399" s="473"/>
      <c r="S399" s="473"/>
      <c r="T399" s="1164"/>
      <c r="U399" s="1164"/>
      <c r="V399" s="473"/>
      <c r="W399" s="473"/>
      <c r="X399" s="1164"/>
      <c r="Y399" s="473"/>
      <c r="Z399" s="473"/>
      <c r="AA399" s="1164"/>
      <c r="AB399" s="473"/>
      <c r="AC399" s="1164"/>
      <c r="AD399" s="473"/>
      <c r="AE399" s="1164"/>
      <c r="AF399" s="473"/>
      <c r="AG399" s="1164"/>
      <c r="AH399" s="473"/>
      <c r="AI399" s="473"/>
      <c r="AJ399" s="1164"/>
      <c r="AK399" s="473"/>
      <c r="AL399" s="473"/>
      <c r="AM399" s="1164"/>
      <c r="AN399" s="473"/>
      <c r="AO399" s="473"/>
      <c r="AP399" s="1164"/>
      <c r="AQ399" s="473"/>
      <c r="AR399" s="473"/>
      <c r="AS399" s="1236"/>
      <c r="AT399" s="473"/>
      <c r="AU399" s="473"/>
      <c r="AV399" s="1164"/>
      <c r="AW399" s="1164"/>
      <c r="AX399" s="1236"/>
      <c r="AY399" s="473"/>
      <c r="AZ399" s="1236"/>
      <c r="BA399" s="473"/>
      <c r="BB399" s="473"/>
      <c r="BC399" s="1164"/>
      <c r="BD399" s="20"/>
      <c r="BE399" s="473"/>
      <c r="BF399" s="610"/>
      <c r="BG399" s="610"/>
      <c r="BH399" s="610"/>
      <c r="BI399" s="610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</row>
    <row r="400" spans="1:148" s="22" customFormat="1" x14ac:dyDescent="0.25">
      <c r="A400" s="20"/>
      <c r="B400" s="16"/>
      <c r="C400" s="473"/>
      <c r="D400" s="473"/>
      <c r="E400" s="1164"/>
      <c r="F400" s="473"/>
      <c r="G400" s="473"/>
      <c r="H400" s="1164"/>
      <c r="I400" s="473"/>
      <c r="J400" s="473"/>
      <c r="K400" s="1164"/>
      <c r="L400" s="473"/>
      <c r="M400" s="473"/>
      <c r="N400" s="1164"/>
      <c r="O400" s="473"/>
      <c r="P400" s="473"/>
      <c r="Q400" s="1164"/>
      <c r="R400" s="473"/>
      <c r="S400" s="473"/>
      <c r="T400" s="1164"/>
      <c r="U400" s="1164"/>
      <c r="V400" s="473"/>
      <c r="W400" s="473"/>
      <c r="X400" s="1164"/>
      <c r="Y400" s="473"/>
      <c r="Z400" s="473"/>
      <c r="AA400" s="1164"/>
      <c r="AB400" s="473"/>
      <c r="AC400" s="1164"/>
      <c r="AD400" s="473"/>
      <c r="AE400" s="1164"/>
      <c r="AF400" s="473"/>
      <c r="AG400" s="1164"/>
      <c r="AH400" s="473"/>
      <c r="AI400" s="473"/>
      <c r="AJ400" s="1164"/>
      <c r="AK400" s="473"/>
      <c r="AL400" s="473"/>
      <c r="AM400" s="1164"/>
      <c r="AN400" s="473"/>
      <c r="AO400" s="473"/>
      <c r="AP400" s="1164"/>
      <c r="AQ400" s="473"/>
      <c r="AR400" s="473"/>
      <c r="AS400" s="1236"/>
      <c r="AT400" s="473"/>
      <c r="AU400" s="473"/>
      <c r="AV400" s="1164"/>
      <c r="AW400" s="1164"/>
      <c r="AX400" s="1236"/>
      <c r="AY400" s="473"/>
      <c r="AZ400" s="1236"/>
      <c r="BA400" s="473"/>
      <c r="BB400" s="473"/>
      <c r="BC400" s="1164"/>
      <c r="BD400" s="20"/>
      <c r="BE400" s="473"/>
      <c r="BF400" s="610"/>
      <c r="BG400" s="610"/>
      <c r="BH400" s="610"/>
      <c r="BI400" s="610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</row>
    <row r="401" spans="1:148" s="22" customFormat="1" x14ac:dyDescent="0.25">
      <c r="A401" s="20"/>
      <c r="B401" s="16"/>
      <c r="C401" s="473"/>
      <c r="D401" s="473"/>
      <c r="E401" s="1164"/>
      <c r="F401" s="473"/>
      <c r="G401" s="473"/>
      <c r="H401" s="1164"/>
      <c r="I401" s="473"/>
      <c r="J401" s="473"/>
      <c r="K401" s="1164"/>
      <c r="L401" s="473"/>
      <c r="M401" s="473"/>
      <c r="N401" s="1164"/>
      <c r="O401" s="473"/>
      <c r="P401" s="473"/>
      <c r="Q401" s="1164"/>
      <c r="R401" s="473"/>
      <c r="S401" s="473"/>
      <c r="T401" s="1164"/>
      <c r="U401" s="1164"/>
      <c r="V401" s="473"/>
      <c r="W401" s="473"/>
      <c r="X401" s="1164"/>
      <c r="Y401" s="473"/>
      <c r="Z401" s="473"/>
      <c r="AA401" s="1164"/>
      <c r="AB401" s="473"/>
      <c r="AC401" s="1164"/>
      <c r="AD401" s="473"/>
      <c r="AE401" s="1164"/>
      <c r="AF401" s="473"/>
      <c r="AG401" s="1164"/>
      <c r="AH401" s="473"/>
      <c r="AI401" s="473"/>
      <c r="AJ401" s="1164"/>
      <c r="AK401" s="473"/>
      <c r="AL401" s="473"/>
      <c r="AM401" s="1164"/>
      <c r="AN401" s="473"/>
      <c r="AO401" s="473"/>
      <c r="AP401" s="1164"/>
      <c r="AQ401" s="473"/>
      <c r="AR401" s="473"/>
      <c r="AS401" s="1236"/>
      <c r="AT401" s="473"/>
      <c r="AU401" s="473"/>
      <c r="AV401" s="1164"/>
      <c r="AW401" s="1164"/>
      <c r="AX401" s="1236"/>
      <c r="AY401" s="473"/>
      <c r="AZ401" s="1236"/>
      <c r="BA401" s="473"/>
      <c r="BB401" s="473"/>
      <c r="BC401" s="1164"/>
      <c r="BD401" s="20"/>
      <c r="BE401" s="473"/>
      <c r="BF401" s="610"/>
      <c r="BG401" s="610"/>
      <c r="BH401" s="610"/>
      <c r="BI401" s="610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</row>
    <row r="402" spans="1:148" s="22" customFormat="1" x14ac:dyDescent="0.25">
      <c r="A402" s="20"/>
      <c r="B402" s="16"/>
      <c r="C402" s="473"/>
      <c r="D402" s="473"/>
      <c r="E402" s="1164"/>
      <c r="F402" s="473"/>
      <c r="G402" s="473"/>
      <c r="H402" s="1164"/>
      <c r="I402" s="473"/>
      <c r="J402" s="473"/>
      <c r="K402" s="1164"/>
      <c r="L402" s="473"/>
      <c r="M402" s="473"/>
      <c r="N402" s="1164"/>
      <c r="O402" s="473"/>
      <c r="P402" s="473"/>
      <c r="Q402" s="1164"/>
      <c r="R402" s="473"/>
      <c r="S402" s="473"/>
      <c r="T402" s="1164"/>
      <c r="U402" s="1164"/>
      <c r="V402" s="473"/>
      <c r="W402" s="473"/>
      <c r="X402" s="1164"/>
      <c r="Y402" s="473"/>
      <c r="Z402" s="473"/>
      <c r="AA402" s="1164"/>
      <c r="AB402" s="473"/>
      <c r="AC402" s="1164"/>
      <c r="AD402" s="473"/>
      <c r="AE402" s="1164"/>
      <c r="AF402" s="473"/>
      <c r="AG402" s="1164"/>
      <c r="AH402" s="473"/>
      <c r="AI402" s="473"/>
      <c r="AJ402" s="1164"/>
      <c r="AK402" s="473"/>
      <c r="AL402" s="473"/>
      <c r="AM402" s="1164"/>
      <c r="AN402" s="473"/>
      <c r="AO402" s="473"/>
      <c r="AP402" s="1164"/>
      <c r="AQ402" s="473"/>
      <c r="AR402" s="473"/>
      <c r="AS402" s="1236"/>
      <c r="AT402" s="473"/>
      <c r="AU402" s="473"/>
      <c r="AV402" s="1164"/>
      <c r="AW402" s="1164"/>
      <c r="AX402" s="1236"/>
      <c r="AY402" s="473"/>
      <c r="AZ402" s="1236"/>
      <c r="BA402" s="473"/>
      <c r="BB402" s="473"/>
      <c r="BC402" s="1164"/>
      <c r="BD402" s="20"/>
      <c r="BE402" s="473"/>
      <c r="BF402" s="610"/>
      <c r="BG402" s="610"/>
      <c r="BH402" s="610"/>
      <c r="BI402" s="610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</row>
    <row r="403" spans="1:148" s="22" customFormat="1" x14ac:dyDescent="0.25">
      <c r="A403" s="20"/>
      <c r="B403" s="16"/>
      <c r="C403" s="473"/>
      <c r="D403" s="473"/>
      <c r="E403" s="1164"/>
      <c r="F403" s="473"/>
      <c r="G403" s="473"/>
      <c r="H403" s="1164"/>
      <c r="I403" s="473"/>
      <c r="J403" s="473"/>
      <c r="K403" s="1164"/>
      <c r="L403" s="473"/>
      <c r="M403" s="473"/>
      <c r="N403" s="1164"/>
      <c r="O403" s="473"/>
      <c r="P403" s="473"/>
      <c r="Q403" s="1164"/>
      <c r="R403" s="473"/>
      <c r="S403" s="473"/>
      <c r="T403" s="1164"/>
      <c r="U403" s="1164"/>
      <c r="V403" s="473"/>
      <c r="W403" s="473"/>
      <c r="X403" s="1164"/>
      <c r="Y403" s="473"/>
      <c r="Z403" s="473"/>
      <c r="AA403" s="1164"/>
      <c r="AB403" s="473"/>
      <c r="AC403" s="1164"/>
      <c r="AD403" s="473"/>
      <c r="AE403" s="1164"/>
      <c r="AF403" s="473"/>
      <c r="AG403" s="1164"/>
      <c r="AH403" s="473"/>
      <c r="AI403" s="473"/>
      <c r="AJ403" s="1164"/>
      <c r="AK403" s="473"/>
      <c r="AL403" s="473"/>
      <c r="AM403" s="1164"/>
      <c r="AN403" s="473"/>
      <c r="AO403" s="473"/>
      <c r="AP403" s="1164"/>
      <c r="AQ403" s="473"/>
      <c r="AR403" s="473"/>
      <c r="AS403" s="1236"/>
      <c r="AT403" s="473"/>
      <c r="AU403" s="473"/>
      <c r="AV403" s="1164"/>
      <c r="AW403" s="1164"/>
      <c r="AX403" s="1236"/>
      <c r="AY403" s="473"/>
      <c r="AZ403" s="1236"/>
      <c r="BA403" s="473"/>
      <c r="BB403" s="473"/>
      <c r="BC403" s="1164"/>
      <c r="BD403" s="20"/>
      <c r="BE403" s="473"/>
      <c r="BF403" s="610"/>
      <c r="BG403" s="610"/>
      <c r="BH403" s="610"/>
      <c r="BI403" s="610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</row>
    <row r="404" spans="1:148" s="22" customFormat="1" x14ac:dyDescent="0.25">
      <c r="A404" s="20"/>
      <c r="B404" s="16"/>
      <c r="C404" s="473"/>
      <c r="D404" s="473"/>
      <c r="E404" s="1164"/>
      <c r="F404" s="473"/>
      <c r="G404" s="473"/>
      <c r="H404" s="1164"/>
      <c r="I404" s="473"/>
      <c r="J404" s="473"/>
      <c r="K404" s="1164"/>
      <c r="L404" s="473"/>
      <c r="M404" s="473"/>
      <c r="N404" s="1164"/>
      <c r="O404" s="473"/>
      <c r="P404" s="473"/>
      <c r="Q404" s="1164"/>
      <c r="R404" s="473"/>
      <c r="S404" s="473"/>
      <c r="T404" s="1164"/>
      <c r="U404" s="1164"/>
      <c r="V404" s="473"/>
      <c r="W404" s="473"/>
      <c r="X404" s="1164"/>
      <c r="Y404" s="473"/>
      <c r="Z404" s="473"/>
      <c r="AA404" s="1164"/>
      <c r="AB404" s="473"/>
      <c r="AC404" s="1164"/>
      <c r="AD404" s="473"/>
      <c r="AE404" s="1164"/>
      <c r="AF404" s="473"/>
      <c r="AG404" s="1164"/>
      <c r="AH404" s="473"/>
      <c r="AI404" s="473"/>
      <c r="AJ404" s="1164"/>
      <c r="AK404" s="473"/>
      <c r="AL404" s="473"/>
      <c r="AM404" s="1164"/>
      <c r="AN404" s="473"/>
      <c r="AO404" s="473"/>
      <c r="AP404" s="1164"/>
      <c r="AQ404" s="473"/>
      <c r="AR404" s="473"/>
      <c r="AS404" s="1236"/>
      <c r="AT404" s="473"/>
      <c r="AU404" s="473"/>
      <c r="AV404" s="1164"/>
      <c r="AW404" s="1164"/>
      <c r="AX404" s="1236"/>
      <c r="AY404" s="473"/>
      <c r="AZ404" s="1236"/>
      <c r="BA404" s="473"/>
      <c r="BB404" s="473"/>
      <c r="BC404" s="1164"/>
      <c r="BD404" s="20"/>
      <c r="BE404" s="473"/>
      <c r="BF404" s="610"/>
      <c r="BG404" s="610"/>
      <c r="BH404" s="610"/>
      <c r="BI404" s="610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</row>
    <row r="405" spans="1:148" s="22" customFormat="1" x14ac:dyDescent="0.25">
      <c r="A405" s="20"/>
      <c r="B405" s="16"/>
      <c r="C405" s="473"/>
      <c r="D405" s="473"/>
      <c r="E405" s="1164"/>
      <c r="F405" s="473"/>
      <c r="G405" s="473"/>
      <c r="H405" s="1164"/>
      <c r="I405" s="473"/>
      <c r="J405" s="473"/>
      <c r="K405" s="1164"/>
      <c r="L405" s="473"/>
      <c r="M405" s="473"/>
      <c r="N405" s="1164"/>
      <c r="O405" s="473"/>
      <c r="P405" s="473"/>
      <c r="Q405" s="1164"/>
      <c r="R405" s="473"/>
      <c r="S405" s="473"/>
      <c r="T405" s="1164"/>
      <c r="U405" s="1164"/>
      <c r="V405" s="473"/>
      <c r="W405" s="473"/>
      <c r="X405" s="1164"/>
      <c r="Y405" s="473"/>
      <c r="Z405" s="473"/>
      <c r="AA405" s="1164"/>
      <c r="AB405" s="473"/>
      <c r="AC405" s="1164"/>
      <c r="AD405" s="473"/>
      <c r="AE405" s="1164"/>
      <c r="AF405" s="473"/>
      <c r="AG405" s="1164"/>
      <c r="AH405" s="473"/>
      <c r="AI405" s="473"/>
      <c r="AJ405" s="1164"/>
      <c r="AK405" s="473"/>
      <c r="AL405" s="473"/>
      <c r="AM405" s="1164"/>
      <c r="AN405" s="473"/>
      <c r="AO405" s="473"/>
      <c r="AP405" s="1164"/>
      <c r="AQ405" s="473"/>
      <c r="AR405" s="473"/>
      <c r="AS405" s="1236"/>
      <c r="AT405" s="473"/>
      <c r="AU405" s="473"/>
      <c r="AV405" s="1164"/>
      <c r="AW405" s="1164"/>
      <c r="AX405" s="1236"/>
      <c r="AY405" s="473"/>
      <c r="AZ405" s="1236"/>
      <c r="BA405" s="473"/>
      <c r="BB405" s="473"/>
      <c r="BC405" s="1164"/>
      <c r="BD405" s="20"/>
      <c r="BE405" s="473"/>
      <c r="BF405" s="610"/>
      <c r="BG405" s="610"/>
      <c r="BH405" s="610"/>
      <c r="BI405" s="610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</row>
    <row r="406" spans="1:148" s="22" customFormat="1" x14ac:dyDescent="0.25">
      <c r="A406" s="20"/>
      <c r="B406" s="16"/>
      <c r="C406" s="473"/>
      <c r="D406" s="473"/>
      <c r="E406" s="1164"/>
      <c r="F406" s="473"/>
      <c r="G406" s="473"/>
      <c r="H406" s="1164"/>
      <c r="I406" s="473"/>
      <c r="J406" s="473"/>
      <c r="K406" s="1164"/>
      <c r="L406" s="473"/>
      <c r="M406" s="473"/>
      <c r="N406" s="1164"/>
      <c r="O406" s="473"/>
      <c r="P406" s="473"/>
      <c r="Q406" s="1164"/>
      <c r="R406" s="473"/>
      <c r="S406" s="473"/>
      <c r="T406" s="1164"/>
      <c r="U406" s="1164"/>
      <c r="V406" s="473"/>
      <c r="W406" s="473"/>
      <c r="X406" s="1164"/>
      <c r="Y406" s="473"/>
      <c r="Z406" s="473"/>
      <c r="AA406" s="1164"/>
      <c r="AB406" s="473"/>
      <c r="AC406" s="1164"/>
      <c r="AD406" s="473"/>
      <c r="AE406" s="1164"/>
      <c r="AF406" s="473"/>
      <c r="AG406" s="1164"/>
      <c r="AH406" s="473"/>
      <c r="AI406" s="473"/>
      <c r="AJ406" s="1164"/>
      <c r="AK406" s="473"/>
      <c r="AL406" s="473"/>
      <c r="AM406" s="1164"/>
      <c r="AN406" s="473"/>
      <c r="AO406" s="473"/>
      <c r="AP406" s="1164"/>
      <c r="AQ406" s="473"/>
      <c r="AR406" s="473"/>
      <c r="AS406" s="1236"/>
      <c r="AT406" s="473"/>
      <c r="AU406" s="473"/>
      <c r="AV406" s="1164"/>
      <c r="AW406" s="1164"/>
      <c r="AX406" s="1236"/>
      <c r="AY406" s="473"/>
      <c r="AZ406" s="1236"/>
      <c r="BA406" s="473"/>
      <c r="BB406" s="473"/>
      <c r="BC406" s="1164"/>
      <c r="BD406" s="20"/>
      <c r="BE406" s="473"/>
      <c r="BF406" s="610"/>
      <c r="BG406" s="610"/>
      <c r="BH406" s="610"/>
      <c r="BI406" s="610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</row>
    <row r="407" spans="1:148" s="22" customFormat="1" x14ac:dyDescent="0.25">
      <c r="A407" s="20"/>
      <c r="B407" s="16"/>
      <c r="C407" s="473"/>
      <c r="D407" s="473"/>
      <c r="E407" s="1164"/>
      <c r="F407" s="473"/>
      <c r="G407" s="473"/>
      <c r="H407" s="1164"/>
      <c r="I407" s="473"/>
      <c r="J407" s="473"/>
      <c r="K407" s="1164"/>
      <c r="L407" s="473"/>
      <c r="M407" s="473"/>
      <c r="N407" s="1164"/>
      <c r="O407" s="473"/>
      <c r="P407" s="473"/>
      <c r="Q407" s="1164"/>
      <c r="R407" s="473"/>
      <c r="S407" s="473"/>
      <c r="T407" s="1164"/>
      <c r="U407" s="1164"/>
      <c r="V407" s="473"/>
      <c r="W407" s="473"/>
      <c r="X407" s="1164"/>
      <c r="Y407" s="473"/>
      <c r="Z407" s="473"/>
      <c r="AA407" s="1164"/>
      <c r="AB407" s="473"/>
      <c r="AC407" s="1164"/>
      <c r="AD407" s="473"/>
      <c r="AE407" s="1164"/>
      <c r="AF407" s="473"/>
      <c r="AG407" s="1164"/>
      <c r="AH407" s="473"/>
      <c r="AI407" s="473"/>
      <c r="AJ407" s="1164"/>
      <c r="AK407" s="473"/>
      <c r="AL407" s="473"/>
      <c r="AM407" s="1164"/>
      <c r="AN407" s="473"/>
      <c r="AO407" s="473"/>
      <c r="AP407" s="1164"/>
      <c r="AQ407" s="473"/>
      <c r="AR407" s="473"/>
      <c r="AS407" s="1236"/>
      <c r="AT407" s="473"/>
      <c r="AU407" s="473"/>
      <c r="AV407" s="1164"/>
      <c r="AW407" s="1164"/>
      <c r="AX407" s="1236"/>
      <c r="AY407" s="473"/>
      <c r="AZ407" s="1236"/>
      <c r="BA407" s="473"/>
      <c r="BB407" s="473"/>
      <c r="BC407" s="1164"/>
      <c r="BD407" s="20"/>
      <c r="BE407" s="473"/>
      <c r="BF407" s="610"/>
      <c r="BG407" s="610"/>
      <c r="BH407" s="610"/>
      <c r="BI407" s="610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</row>
    <row r="408" spans="1:148" s="22" customFormat="1" x14ac:dyDescent="0.25">
      <c r="A408" s="20"/>
      <c r="B408" s="16"/>
      <c r="C408" s="473"/>
      <c r="D408" s="473"/>
      <c r="E408" s="1164"/>
      <c r="F408" s="473"/>
      <c r="G408" s="473"/>
      <c r="H408" s="1164"/>
      <c r="I408" s="473"/>
      <c r="J408" s="473"/>
      <c r="K408" s="1164"/>
      <c r="L408" s="473"/>
      <c r="M408" s="473"/>
      <c r="N408" s="1164"/>
      <c r="O408" s="473"/>
      <c r="P408" s="473"/>
      <c r="Q408" s="1164"/>
      <c r="R408" s="473"/>
      <c r="S408" s="473"/>
      <c r="T408" s="1164"/>
      <c r="U408" s="1164"/>
      <c r="V408" s="473"/>
      <c r="W408" s="473"/>
      <c r="X408" s="1164"/>
      <c r="Y408" s="473"/>
      <c r="Z408" s="473"/>
      <c r="AA408" s="1164"/>
      <c r="AB408" s="473"/>
      <c r="AC408" s="1164"/>
      <c r="AD408" s="473"/>
      <c r="AE408" s="1164"/>
      <c r="AF408" s="473"/>
      <c r="AG408" s="1164"/>
      <c r="AH408" s="473"/>
      <c r="AI408" s="473"/>
      <c r="AJ408" s="1164"/>
      <c r="AK408" s="473"/>
      <c r="AL408" s="473"/>
      <c r="AM408" s="1164"/>
      <c r="AN408" s="473"/>
      <c r="AO408" s="473"/>
      <c r="AP408" s="1164"/>
      <c r="AQ408" s="473"/>
      <c r="AR408" s="473"/>
      <c r="AS408" s="1236"/>
      <c r="AT408" s="473"/>
      <c r="AU408" s="473"/>
      <c r="AV408" s="1164"/>
      <c r="AW408" s="1164"/>
      <c r="AX408" s="1236"/>
      <c r="AY408" s="473"/>
      <c r="AZ408" s="1236"/>
      <c r="BA408" s="473"/>
      <c r="BB408" s="473"/>
      <c r="BC408" s="1164"/>
      <c r="BD408" s="20"/>
      <c r="BE408" s="473"/>
      <c r="BF408" s="610"/>
      <c r="BG408" s="610"/>
      <c r="BH408" s="610"/>
      <c r="BI408" s="610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</row>
    <row r="409" spans="1:148" s="22" customFormat="1" x14ac:dyDescent="0.25">
      <c r="A409" s="20"/>
      <c r="B409" s="16"/>
      <c r="C409" s="473"/>
      <c r="D409" s="473"/>
      <c r="E409" s="1164"/>
      <c r="F409" s="473"/>
      <c r="G409" s="473"/>
      <c r="H409" s="1164"/>
      <c r="I409" s="473"/>
      <c r="J409" s="473"/>
      <c r="K409" s="1164"/>
      <c r="L409" s="473"/>
      <c r="M409" s="473"/>
      <c r="N409" s="1164"/>
      <c r="O409" s="473"/>
      <c r="P409" s="473"/>
      <c r="Q409" s="1164"/>
      <c r="R409" s="473"/>
      <c r="S409" s="473"/>
      <c r="T409" s="1164"/>
      <c r="U409" s="1164"/>
      <c r="V409" s="473"/>
      <c r="W409" s="473"/>
      <c r="X409" s="1164"/>
      <c r="Y409" s="473"/>
      <c r="Z409" s="473"/>
      <c r="AA409" s="1164"/>
      <c r="AB409" s="473"/>
      <c r="AC409" s="1164"/>
      <c r="AD409" s="473"/>
      <c r="AE409" s="1164"/>
      <c r="AF409" s="473"/>
      <c r="AG409" s="1164"/>
      <c r="AH409" s="473"/>
      <c r="AI409" s="473"/>
      <c r="AJ409" s="1164"/>
      <c r="AK409" s="473"/>
      <c r="AL409" s="473"/>
      <c r="AM409" s="1164"/>
      <c r="AN409" s="473"/>
      <c r="AO409" s="473"/>
      <c r="AP409" s="1164"/>
      <c r="AQ409" s="473"/>
      <c r="AR409" s="473"/>
      <c r="AS409" s="1236"/>
      <c r="AT409" s="473"/>
      <c r="AU409" s="473"/>
      <c r="AV409" s="1164"/>
      <c r="AW409" s="1164"/>
      <c r="AX409" s="1236"/>
      <c r="AY409" s="473"/>
      <c r="AZ409" s="1236"/>
      <c r="BA409" s="473"/>
      <c r="BB409" s="473"/>
      <c r="BC409" s="1164"/>
      <c r="BD409" s="20"/>
      <c r="BE409" s="473"/>
      <c r="BF409" s="610"/>
      <c r="BG409" s="610"/>
      <c r="BH409" s="610"/>
      <c r="BI409" s="610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</row>
    <row r="410" spans="1:148" s="22" customFormat="1" x14ac:dyDescent="0.25">
      <c r="A410" s="20"/>
      <c r="B410" s="16"/>
      <c r="C410" s="473"/>
      <c r="D410" s="473"/>
      <c r="E410" s="1164"/>
      <c r="F410" s="473"/>
      <c r="G410" s="473"/>
      <c r="H410" s="1164"/>
      <c r="I410" s="473"/>
      <c r="J410" s="473"/>
      <c r="K410" s="1164"/>
      <c r="L410" s="473"/>
      <c r="M410" s="473"/>
      <c r="N410" s="1164"/>
      <c r="O410" s="473"/>
      <c r="P410" s="473"/>
      <c r="Q410" s="1164"/>
      <c r="R410" s="473"/>
      <c r="S410" s="473"/>
      <c r="T410" s="1164"/>
      <c r="U410" s="1164"/>
      <c r="V410" s="473"/>
      <c r="W410" s="473"/>
      <c r="X410" s="1164"/>
      <c r="Y410" s="473"/>
      <c r="Z410" s="473"/>
      <c r="AA410" s="1164"/>
      <c r="AB410" s="473"/>
      <c r="AC410" s="1164"/>
      <c r="AD410" s="473"/>
      <c r="AE410" s="1164"/>
      <c r="AF410" s="473"/>
      <c r="AG410" s="1164"/>
      <c r="AH410" s="473"/>
      <c r="AI410" s="473"/>
      <c r="AJ410" s="1164"/>
      <c r="AK410" s="473"/>
      <c r="AL410" s="473"/>
      <c r="AM410" s="1164"/>
      <c r="AN410" s="473"/>
      <c r="AO410" s="473"/>
      <c r="AP410" s="1164"/>
      <c r="AQ410" s="473"/>
      <c r="AR410" s="473"/>
      <c r="AS410" s="1236"/>
      <c r="AT410" s="473"/>
      <c r="AU410" s="473"/>
      <c r="AV410" s="1164"/>
      <c r="AW410" s="1164"/>
      <c r="AX410" s="1236"/>
      <c r="AY410" s="473"/>
      <c r="AZ410" s="1236"/>
      <c r="BA410" s="473"/>
      <c r="BB410" s="473"/>
      <c r="BC410" s="1164"/>
      <c r="BD410" s="20"/>
      <c r="BE410" s="473"/>
      <c r="BF410" s="610"/>
      <c r="BG410" s="610"/>
      <c r="BH410" s="610"/>
      <c r="BI410" s="610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</row>
    <row r="411" spans="1:148" s="22" customFormat="1" x14ac:dyDescent="0.25">
      <c r="A411" s="20"/>
      <c r="B411" s="16"/>
      <c r="C411" s="473"/>
      <c r="D411" s="473"/>
      <c r="E411" s="1164"/>
      <c r="F411" s="473"/>
      <c r="G411" s="473"/>
      <c r="H411" s="1164"/>
      <c r="I411" s="473"/>
      <c r="J411" s="473"/>
      <c r="K411" s="1164"/>
      <c r="L411" s="473"/>
      <c r="M411" s="473"/>
      <c r="N411" s="1164"/>
      <c r="O411" s="473"/>
      <c r="P411" s="473"/>
      <c r="Q411" s="1164"/>
      <c r="R411" s="473"/>
      <c r="S411" s="473"/>
      <c r="T411" s="1164"/>
      <c r="U411" s="1164"/>
      <c r="V411" s="473"/>
      <c r="W411" s="473"/>
      <c r="X411" s="1164"/>
      <c r="Y411" s="473"/>
      <c r="Z411" s="473"/>
      <c r="AA411" s="1164"/>
      <c r="AB411" s="473"/>
      <c r="AC411" s="1164"/>
      <c r="AD411" s="473"/>
      <c r="AE411" s="1164"/>
      <c r="AF411" s="473"/>
      <c r="AG411" s="1164"/>
      <c r="AH411" s="473"/>
      <c r="AI411" s="473"/>
      <c r="AJ411" s="1164"/>
      <c r="AK411" s="473"/>
      <c r="AL411" s="473"/>
      <c r="AM411" s="1164"/>
      <c r="AN411" s="473"/>
      <c r="AO411" s="473"/>
      <c r="AP411" s="1164"/>
      <c r="AQ411" s="473"/>
      <c r="AR411" s="473"/>
      <c r="AS411" s="1236"/>
      <c r="AT411" s="473"/>
      <c r="AU411" s="473"/>
      <c r="AV411" s="1164"/>
      <c r="AW411" s="1164"/>
      <c r="AX411" s="1236"/>
      <c r="AY411" s="473"/>
      <c r="AZ411" s="1236"/>
      <c r="BA411" s="473"/>
      <c r="BB411" s="473"/>
      <c r="BC411" s="1164"/>
      <c r="BD411" s="20"/>
      <c r="BE411" s="473"/>
      <c r="BF411" s="610"/>
      <c r="BG411" s="610"/>
      <c r="BH411" s="610"/>
      <c r="BI411" s="610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</row>
    <row r="412" spans="1:148" s="22" customFormat="1" x14ac:dyDescent="0.25">
      <c r="A412" s="20"/>
      <c r="B412" s="16"/>
      <c r="C412" s="473"/>
      <c r="D412" s="473"/>
      <c r="E412" s="1164"/>
      <c r="F412" s="473"/>
      <c r="G412" s="473"/>
      <c r="H412" s="1164"/>
      <c r="I412" s="473"/>
      <c r="J412" s="473"/>
      <c r="K412" s="1164"/>
      <c r="L412" s="473"/>
      <c r="M412" s="473"/>
      <c r="N412" s="1164"/>
      <c r="O412" s="473"/>
      <c r="P412" s="473"/>
      <c r="Q412" s="1164"/>
      <c r="R412" s="473"/>
      <c r="S412" s="473"/>
      <c r="T412" s="1164"/>
      <c r="U412" s="1164"/>
      <c r="V412" s="473"/>
      <c r="W412" s="473"/>
      <c r="X412" s="1164"/>
      <c r="Y412" s="473"/>
      <c r="Z412" s="473"/>
      <c r="AA412" s="1164"/>
      <c r="AB412" s="473"/>
      <c r="AC412" s="1164"/>
      <c r="AD412" s="473"/>
      <c r="AE412" s="1164"/>
      <c r="AF412" s="473"/>
      <c r="AG412" s="1164"/>
      <c r="AH412" s="473"/>
      <c r="AI412" s="473"/>
      <c r="AJ412" s="1164"/>
      <c r="AK412" s="473"/>
      <c r="AL412" s="473"/>
      <c r="AM412" s="1164"/>
      <c r="AN412" s="473"/>
      <c r="AO412" s="473"/>
      <c r="AP412" s="1164"/>
      <c r="AQ412" s="473"/>
      <c r="AR412" s="473"/>
      <c r="AS412" s="1236"/>
      <c r="AT412" s="473"/>
      <c r="AU412" s="473"/>
      <c r="AV412" s="1164"/>
      <c r="AW412" s="1164"/>
      <c r="AX412" s="1236"/>
      <c r="AY412" s="473"/>
      <c r="AZ412" s="1236"/>
      <c r="BA412" s="473"/>
      <c r="BB412" s="473"/>
      <c r="BC412" s="1164"/>
      <c r="BD412" s="20"/>
      <c r="BE412" s="473"/>
      <c r="BF412" s="610"/>
      <c r="BG412" s="610"/>
      <c r="BH412" s="610"/>
      <c r="BI412" s="610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</row>
    <row r="413" spans="1:148" s="22" customFormat="1" x14ac:dyDescent="0.25">
      <c r="A413" s="20"/>
      <c r="B413" s="16"/>
      <c r="C413" s="473"/>
      <c r="D413" s="473"/>
      <c r="E413" s="1164"/>
      <c r="F413" s="473"/>
      <c r="G413" s="473"/>
      <c r="H413" s="1164"/>
      <c r="I413" s="473"/>
      <c r="J413" s="473"/>
      <c r="K413" s="1164"/>
      <c r="L413" s="473"/>
      <c r="M413" s="473"/>
      <c r="N413" s="1164"/>
      <c r="O413" s="473"/>
      <c r="P413" s="473"/>
      <c r="Q413" s="1164"/>
      <c r="R413" s="473"/>
      <c r="S413" s="473"/>
      <c r="T413" s="1164"/>
      <c r="U413" s="1164"/>
      <c r="V413" s="473"/>
      <c r="W413" s="473"/>
      <c r="X413" s="1164"/>
      <c r="Y413" s="473"/>
      <c r="Z413" s="473"/>
      <c r="AA413" s="1164"/>
      <c r="AB413" s="473"/>
      <c r="AC413" s="1164"/>
      <c r="AD413" s="473"/>
      <c r="AE413" s="1164"/>
      <c r="AF413" s="473"/>
      <c r="AG413" s="1164"/>
      <c r="AH413" s="473"/>
      <c r="AI413" s="473"/>
      <c r="AJ413" s="1164"/>
      <c r="AK413" s="473"/>
      <c r="AL413" s="473"/>
      <c r="AM413" s="1164"/>
      <c r="AN413" s="473"/>
      <c r="AO413" s="473"/>
      <c r="AP413" s="1164"/>
      <c r="AQ413" s="473"/>
      <c r="AR413" s="473"/>
      <c r="AS413" s="1236"/>
      <c r="AT413" s="473"/>
      <c r="AU413" s="473"/>
      <c r="AV413" s="1164"/>
      <c r="AW413" s="1164"/>
      <c r="AX413" s="1236"/>
      <c r="AY413" s="473"/>
      <c r="AZ413" s="1236"/>
      <c r="BA413" s="473"/>
      <c r="BB413" s="473"/>
      <c r="BC413" s="1164"/>
      <c r="BD413" s="20"/>
      <c r="BE413" s="473"/>
      <c r="BF413" s="610"/>
      <c r="BG413" s="610"/>
      <c r="BH413" s="610"/>
      <c r="BI413" s="610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</row>
    <row r="414" spans="1:148" s="22" customFormat="1" x14ac:dyDescent="0.25">
      <c r="A414" s="20"/>
      <c r="B414" s="16"/>
      <c r="C414" s="473"/>
      <c r="D414" s="473"/>
      <c r="E414" s="1164"/>
      <c r="F414" s="473"/>
      <c r="G414" s="473"/>
      <c r="H414" s="1164"/>
      <c r="I414" s="473"/>
      <c r="J414" s="473"/>
      <c r="K414" s="1164"/>
      <c r="L414" s="473"/>
      <c r="M414" s="473"/>
      <c r="N414" s="1164"/>
      <c r="O414" s="473"/>
      <c r="P414" s="473"/>
      <c r="Q414" s="1164"/>
      <c r="R414" s="473"/>
      <c r="S414" s="473"/>
      <c r="T414" s="1164"/>
      <c r="U414" s="1164"/>
      <c r="V414" s="473"/>
      <c r="W414" s="473"/>
      <c r="X414" s="1164"/>
      <c r="Y414" s="473"/>
      <c r="Z414" s="473"/>
      <c r="AA414" s="1164"/>
      <c r="AB414" s="473"/>
      <c r="AC414" s="1164"/>
      <c r="AD414" s="473"/>
      <c r="AE414" s="1164"/>
      <c r="AF414" s="473"/>
      <c r="AG414" s="1164"/>
      <c r="AH414" s="473"/>
      <c r="AI414" s="473"/>
      <c r="AJ414" s="1164"/>
      <c r="AK414" s="473"/>
      <c r="AL414" s="473"/>
      <c r="AM414" s="1164"/>
      <c r="AN414" s="473"/>
      <c r="AO414" s="473"/>
      <c r="AP414" s="1164"/>
      <c r="AQ414" s="473"/>
      <c r="AR414" s="473"/>
      <c r="AS414" s="1236"/>
      <c r="AT414" s="473"/>
      <c r="AU414" s="473"/>
      <c r="AV414" s="1164"/>
      <c r="AW414" s="1164"/>
      <c r="AX414" s="1236"/>
      <c r="AY414" s="473"/>
      <c r="AZ414" s="1236"/>
      <c r="BA414" s="473"/>
      <c r="BB414" s="473"/>
      <c r="BC414" s="1164"/>
      <c r="BD414" s="20"/>
      <c r="BE414" s="473"/>
      <c r="BF414" s="610"/>
      <c r="BG414" s="610"/>
      <c r="BH414" s="610"/>
      <c r="BI414" s="610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</row>
    <row r="415" spans="1:148" s="22" customFormat="1" x14ac:dyDescent="0.25">
      <c r="A415" s="20"/>
      <c r="B415" s="16"/>
      <c r="C415" s="473"/>
      <c r="D415" s="473"/>
      <c r="E415" s="1164"/>
      <c r="F415" s="473"/>
      <c r="G415" s="473"/>
      <c r="H415" s="1164"/>
      <c r="I415" s="473"/>
      <c r="J415" s="473"/>
      <c r="K415" s="1164"/>
      <c r="L415" s="473"/>
      <c r="M415" s="473"/>
      <c r="N415" s="1164"/>
      <c r="O415" s="473"/>
      <c r="P415" s="473"/>
      <c r="Q415" s="1164"/>
      <c r="R415" s="473"/>
      <c r="S415" s="473"/>
      <c r="T415" s="1164"/>
      <c r="U415" s="1164"/>
      <c r="V415" s="473"/>
      <c r="W415" s="473"/>
      <c r="X415" s="1164"/>
      <c r="Y415" s="473"/>
      <c r="Z415" s="473"/>
      <c r="AA415" s="1164"/>
      <c r="AB415" s="473"/>
      <c r="AC415" s="1164"/>
      <c r="AD415" s="473"/>
      <c r="AE415" s="1164"/>
      <c r="AF415" s="473"/>
      <c r="AG415" s="1164"/>
      <c r="AH415" s="473"/>
      <c r="AI415" s="473"/>
      <c r="AJ415" s="1164"/>
      <c r="AK415" s="473"/>
      <c r="AL415" s="473"/>
      <c r="AM415" s="1164"/>
      <c r="AN415" s="473"/>
      <c r="AO415" s="473"/>
      <c r="AP415" s="1164"/>
      <c r="AQ415" s="473"/>
      <c r="AR415" s="473"/>
      <c r="AS415" s="1236"/>
      <c r="AT415" s="473"/>
      <c r="AU415" s="473"/>
      <c r="AV415" s="1164"/>
      <c r="AW415" s="1164"/>
      <c r="AX415" s="1236"/>
      <c r="AY415" s="473"/>
      <c r="AZ415" s="1236"/>
      <c r="BA415" s="473"/>
      <c r="BB415" s="473"/>
      <c r="BC415" s="1164"/>
      <c r="BD415" s="20"/>
      <c r="BE415" s="473"/>
      <c r="BF415" s="610"/>
      <c r="BG415" s="610"/>
      <c r="BH415" s="610"/>
      <c r="BI415" s="610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</row>
    <row r="416" spans="1:148" s="22" customFormat="1" x14ac:dyDescent="0.25">
      <c r="A416" s="20"/>
      <c r="B416" s="16"/>
      <c r="C416" s="473"/>
      <c r="D416" s="473"/>
      <c r="E416" s="1164"/>
      <c r="F416" s="473"/>
      <c r="G416" s="473"/>
      <c r="H416" s="1164"/>
      <c r="I416" s="473"/>
      <c r="J416" s="473"/>
      <c r="K416" s="1164"/>
      <c r="L416" s="473"/>
      <c r="M416" s="473"/>
      <c r="N416" s="1164"/>
      <c r="O416" s="473"/>
      <c r="P416" s="473"/>
      <c r="Q416" s="1164"/>
      <c r="R416" s="473"/>
      <c r="S416" s="473"/>
      <c r="T416" s="1164"/>
      <c r="U416" s="1164"/>
      <c r="V416" s="473"/>
      <c r="W416" s="473"/>
      <c r="X416" s="1164"/>
      <c r="Y416" s="473"/>
      <c r="Z416" s="473"/>
      <c r="AA416" s="1164"/>
      <c r="AB416" s="473"/>
      <c r="AC416" s="1164"/>
      <c r="AD416" s="473"/>
      <c r="AE416" s="1164"/>
      <c r="AF416" s="473"/>
      <c r="AG416" s="1164"/>
      <c r="AH416" s="473"/>
      <c r="AI416" s="473"/>
      <c r="AJ416" s="1164"/>
      <c r="AK416" s="473"/>
      <c r="AL416" s="473"/>
      <c r="AM416" s="1164"/>
      <c r="AN416" s="473"/>
      <c r="AO416" s="473"/>
      <c r="AP416" s="1164"/>
      <c r="AQ416" s="473"/>
      <c r="AR416" s="473"/>
      <c r="AS416" s="1236"/>
      <c r="AT416" s="473"/>
      <c r="AU416" s="473"/>
      <c r="AV416" s="1164"/>
      <c r="AW416" s="1164"/>
      <c r="AX416" s="1236"/>
      <c r="AY416" s="473"/>
      <c r="AZ416" s="1236"/>
      <c r="BA416" s="473"/>
      <c r="BB416" s="473"/>
      <c r="BC416" s="1164"/>
      <c r="BD416" s="20"/>
      <c r="BE416" s="473"/>
      <c r="BF416" s="610"/>
      <c r="BG416" s="610"/>
      <c r="BH416" s="610"/>
      <c r="BI416" s="610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</row>
    <row r="417" spans="1:148" s="22" customFormat="1" x14ac:dyDescent="0.25">
      <c r="A417" s="20"/>
      <c r="B417" s="16"/>
      <c r="C417" s="473"/>
      <c r="D417" s="473"/>
      <c r="E417" s="1164"/>
      <c r="F417" s="473"/>
      <c r="G417" s="473"/>
      <c r="H417" s="1164"/>
      <c r="I417" s="473"/>
      <c r="J417" s="473"/>
      <c r="K417" s="1164"/>
      <c r="L417" s="473"/>
      <c r="M417" s="473"/>
      <c r="N417" s="1164"/>
      <c r="O417" s="473"/>
      <c r="P417" s="473"/>
      <c r="Q417" s="1164"/>
      <c r="R417" s="473"/>
      <c r="S417" s="473"/>
      <c r="T417" s="1164"/>
      <c r="U417" s="1164"/>
      <c r="V417" s="473"/>
      <c r="W417" s="473"/>
      <c r="X417" s="1164"/>
      <c r="Y417" s="473"/>
      <c r="Z417" s="473"/>
      <c r="AA417" s="1164"/>
      <c r="AB417" s="473"/>
      <c r="AC417" s="1164"/>
      <c r="AD417" s="473"/>
      <c r="AE417" s="1164"/>
      <c r="AF417" s="473"/>
      <c r="AG417" s="1164"/>
      <c r="AH417" s="473"/>
      <c r="AI417" s="473"/>
      <c r="AJ417" s="1164"/>
      <c r="AK417" s="473"/>
      <c r="AL417" s="473"/>
      <c r="AM417" s="1164"/>
      <c r="AN417" s="473"/>
      <c r="AO417" s="473"/>
      <c r="AP417" s="1164"/>
      <c r="AQ417" s="473"/>
      <c r="AR417" s="473"/>
      <c r="AS417" s="1236"/>
      <c r="AT417" s="473"/>
      <c r="AU417" s="473"/>
      <c r="AV417" s="1164"/>
      <c r="AW417" s="1164"/>
      <c r="AX417" s="1236"/>
      <c r="AY417" s="473"/>
      <c r="AZ417" s="1236"/>
      <c r="BA417" s="473"/>
      <c r="BB417" s="473"/>
      <c r="BC417" s="1164"/>
      <c r="BD417" s="20"/>
      <c r="BE417" s="473"/>
      <c r="BF417" s="610"/>
      <c r="BG417" s="610"/>
      <c r="BH417" s="610"/>
      <c r="BI417" s="610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</row>
    <row r="418" spans="1:148" s="22" customFormat="1" x14ac:dyDescent="0.25">
      <c r="A418" s="20"/>
      <c r="B418" s="16"/>
      <c r="C418" s="473"/>
      <c r="D418" s="473"/>
      <c r="E418" s="1164"/>
      <c r="F418" s="473"/>
      <c r="G418" s="473"/>
      <c r="H418" s="1164"/>
      <c r="I418" s="473"/>
      <c r="J418" s="473"/>
      <c r="K418" s="1164"/>
      <c r="L418" s="473"/>
      <c r="M418" s="473"/>
      <c r="N418" s="1164"/>
      <c r="O418" s="473"/>
      <c r="P418" s="473"/>
      <c r="Q418" s="1164"/>
      <c r="R418" s="473"/>
      <c r="S418" s="473"/>
      <c r="T418" s="1164"/>
      <c r="U418" s="1164"/>
      <c r="V418" s="473"/>
      <c r="W418" s="473"/>
      <c r="X418" s="1164"/>
      <c r="Y418" s="473"/>
      <c r="Z418" s="473"/>
      <c r="AA418" s="1164"/>
      <c r="AB418" s="473"/>
      <c r="AC418" s="1164"/>
      <c r="AD418" s="473"/>
      <c r="AE418" s="1164"/>
      <c r="AF418" s="473"/>
      <c r="AG418" s="1164"/>
      <c r="AH418" s="473"/>
      <c r="AI418" s="473"/>
      <c r="AJ418" s="1164"/>
      <c r="AK418" s="473"/>
      <c r="AL418" s="473"/>
      <c r="AM418" s="1164"/>
      <c r="AN418" s="473"/>
      <c r="AO418" s="473"/>
      <c r="AP418" s="1164"/>
      <c r="AQ418" s="473"/>
      <c r="AR418" s="473"/>
      <c r="AS418" s="1236"/>
      <c r="AT418" s="473"/>
      <c r="AU418" s="473"/>
      <c r="AV418" s="1164"/>
      <c r="AW418" s="1164"/>
      <c r="AX418" s="1236"/>
      <c r="AY418" s="473"/>
      <c r="AZ418" s="1236"/>
      <c r="BA418" s="473"/>
      <c r="BB418" s="473"/>
      <c r="BC418" s="1164"/>
      <c r="BD418" s="20"/>
      <c r="BE418" s="473"/>
      <c r="BF418" s="610"/>
      <c r="BG418" s="610"/>
      <c r="BH418" s="610"/>
      <c r="BI418" s="610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</row>
    <row r="419" spans="1:148" s="22" customFormat="1" x14ac:dyDescent="0.25">
      <c r="A419" s="20"/>
      <c r="B419" s="16"/>
      <c r="C419" s="473"/>
      <c r="D419" s="473"/>
      <c r="E419" s="1164"/>
      <c r="F419" s="473"/>
      <c r="G419" s="473"/>
      <c r="H419" s="1164"/>
      <c r="I419" s="473"/>
      <c r="J419" s="473"/>
      <c r="K419" s="1164"/>
      <c r="L419" s="473"/>
      <c r="M419" s="473"/>
      <c r="N419" s="1164"/>
      <c r="O419" s="473"/>
      <c r="P419" s="473"/>
      <c r="Q419" s="1164"/>
      <c r="R419" s="473"/>
      <c r="S419" s="473"/>
      <c r="T419" s="1164"/>
      <c r="U419" s="1164"/>
      <c r="V419" s="473"/>
      <c r="W419" s="473"/>
      <c r="X419" s="1164"/>
      <c r="Y419" s="473"/>
      <c r="Z419" s="473"/>
      <c r="AA419" s="1164"/>
      <c r="AB419" s="473"/>
      <c r="AC419" s="1164"/>
      <c r="AD419" s="473"/>
      <c r="AE419" s="1164"/>
      <c r="AF419" s="473"/>
      <c r="AG419" s="1164"/>
      <c r="AH419" s="473"/>
      <c r="AI419" s="473"/>
      <c r="AJ419" s="1164"/>
      <c r="AK419" s="473"/>
      <c r="AL419" s="473"/>
      <c r="AM419" s="1164"/>
      <c r="AN419" s="473"/>
      <c r="AO419" s="473"/>
      <c r="AP419" s="1164"/>
      <c r="AQ419" s="473"/>
      <c r="AR419" s="473"/>
      <c r="AS419" s="1236"/>
      <c r="AT419" s="473"/>
      <c r="AU419" s="473"/>
      <c r="AV419" s="1164"/>
      <c r="AW419" s="1164"/>
      <c r="AX419" s="1236"/>
      <c r="AY419" s="473"/>
      <c r="AZ419" s="1236"/>
      <c r="BA419" s="473"/>
      <c r="BB419" s="473"/>
      <c r="BC419" s="1164"/>
      <c r="BD419" s="20"/>
      <c r="BE419" s="473"/>
      <c r="BF419" s="610"/>
      <c r="BG419" s="610"/>
      <c r="BH419" s="610"/>
      <c r="BI419" s="610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</row>
    <row r="420" spans="1:148" s="22" customFormat="1" x14ac:dyDescent="0.25">
      <c r="A420" s="20"/>
      <c r="B420" s="16"/>
      <c r="C420" s="473"/>
      <c r="D420" s="473"/>
      <c r="E420" s="1164"/>
      <c r="F420" s="473"/>
      <c r="G420" s="473"/>
      <c r="H420" s="1164"/>
      <c r="I420" s="473"/>
      <c r="J420" s="473"/>
      <c r="K420" s="1164"/>
      <c r="L420" s="473"/>
      <c r="M420" s="473"/>
      <c r="N420" s="1164"/>
      <c r="O420" s="473"/>
      <c r="P420" s="473"/>
      <c r="Q420" s="1164"/>
      <c r="R420" s="473"/>
      <c r="S420" s="473"/>
      <c r="T420" s="1164"/>
      <c r="U420" s="1164"/>
      <c r="V420" s="473"/>
      <c r="W420" s="473"/>
      <c r="X420" s="1164"/>
      <c r="Y420" s="473"/>
      <c r="Z420" s="473"/>
      <c r="AA420" s="1164"/>
      <c r="AB420" s="473"/>
      <c r="AC420" s="1164"/>
      <c r="AD420" s="473"/>
      <c r="AE420" s="1164"/>
      <c r="AF420" s="473"/>
      <c r="AG420" s="1164"/>
      <c r="AH420" s="473"/>
      <c r="AI420" s="473"/>
      <c r="AJ420" s="1164"/>
      <c r="AK420" s="473"/>
      <c r="AL420" s="473"/>
      <c r="AM420" s="1164"/>
      <c r="AN420" s="473"/>
      <c r="AO420" s="473"/>
      <c r="AP420" s="1164"/>
      <c r="AQ420" s="473"/>
      <c r="AR420" s="473"/>
      <c r="AS420" s="1236"/>
      <c r="AT420" s="473"/>
      <c r="AU420" s="473"/>
      <c r="AV420" s="1164"/>
      <c r="AW420" s="1164"/>
      <c r="AX420" s="1236"/>
      <c r="AY420" s="473"/>
      <c r="AZ420" s="1236"/>
      <c r="BA420" s="473"/>
      <c r="BB420" s="473"/>
      <c r="BC420" s="1164"/>
      <c r="BD420" s="20"/>
      <c r="BE420" s="473"/>
      <c r="BF420" s="610"/>
      <c r="BG420" s="610"/>
      <c r="BH420" s="610"/>
      <c r="BI420" s="610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</row>
    <row r="421" spans="1:148" s="22" customFormat="1" x14ac:dyDescent="0.25">
      <c r="A421" s="20"/>
      <c r="B421" s="16"/>
      <c r="C421" s="473"/>
      <c r="D421" s="473"/>
      <c r="E421" s="1164"/>
      <c r="F421" s="473"/>
      <c r="G421" s="473"/>
      <c r="H421" s="1164"/>
      <c r="I421" s="473"/>
      <c r="J421" s="473"/>
      <c r="K421" s="1164"/>
      <c r="L421" s="473"/>
      <c r="M421" s="473"/>
      <c r="N421" s="1164"/>
      <c r="O421" s="473"/>
      <c r="P421" s="473"/>
      <c r="Q421" s="1164"/>
      <c r="R421" s="473"/>
      <c r="S421" s="473"/>
      <c r="T421" s="1164"/>
      <c r="U421" s="1164"/>
      <c r="V421" s="473"/>
      <c r="W421" s="473"/>
      <c r="X421" s="1164"/>
      <c r="Y421" s="473"/>
      <c r="Z421" s="473"/>
      <c r="AA421" s="1164"/>
      <c r="AB421" s="473"/>
      <c r="AC421" s="1164"/>
      <c r="AD421" s="473"/>
      <c r="AE421" s="1164"/>
      <c r="AF421" s="473"/>
      <c r="AG421" s="1164"/>
      <c r="AH421" s="473"/>
      <c r="AI421" s="473"/>
      <c r="AJ421" s="1164"/>
      <c r="AK421" s="473"/>
      <c r="AL421" s="473"/>
      <c r="AM421" s="1164"/>
      <c r="AN421" s="473"/>
      <c r="AO421" s="473"/>
      <c r="AP421" s="1164"/>
      <c r="AQ421" s="473"/>
      <c r="AR421" s="473"/>
      <c r="AS421" s="1236"/>
      <c r="AT421" s="473"/>
      <c r="AU421" s="473"/>
      <c r="AV421" s="1164"/>
      <c r="AW421" s="1164"/>
      <c r="AX421" s="1236"/>
      <c r="AY421" s="473"/>
      <c r="AZ421" s="1236"/>
      <c r="BA421" s="473"/>
      <c r="BB421" s="473"/>
      <c r="BC421" s="1164"/>
      <c r="BD421" s="20"/>
      <c r="BE421" s="473"/>
      <c r="BF421" s="610"/>
      <c r="BG421" s="610"/>
      <c r="BH421" s="610"/>
      <c r="BI421" s="610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</row>
    <row r="422" spans="1:148" s="22" customFormat="1" x14ac:dyDescent="0.25">
      <c r="A422" s="20"/>
      <c r="B422" s="16"/>
      <c r="C422" s="473"/>
      <c r="D422" s="473"/>
      <c r="E422" s="1164"/>
      <c r="F422" s="473"/>
      <c r="G422" s="473"/>
      <c r="H422" s="1164"/>
      <c r="I422" s="473"/>
      <c r="J422" s="473"/>
      <c r="K422" s="1164"/>
      <c r="L422" s="473"/>
      <c r="M422" s="473"/>
      <c r="N422" s="1164"/>
      <c r="O422" s="473"/>
      <c r="P422" s="473"/>
      <c r="Q422" s="1164"/>
      <c r="R422" s="473"/>
      <c r="S422" s="473"/>
      <c r="T422" s="1164"/>
      <c r="U422" s="1164"/>
      <c r="V422" s="473"/>
      <c r="W422" s="473"/>
      <c r="X422" s="1164"/>
      <c r="Y422" s="473"/>
      <c r="Z422" s="473"/>
      <c r="AA422" s="1164"/>
      <c r="AB422" s="473"/>
      <c r="AC422" s="1164"/>
      <c r="AD422" s="473"/>
      <c r="AE422" s="1164"/>
      <c r="AF422" s="473"/>
      <c r="AG422" s="1164"/>
      <c r="AH422" s="473"/>
      <c r="AI422" s="473"/>
      <c r="AJ422" s="1164"/>
      <c r="AK422" s="473"/>
      <c r="AL422" s="473"/>
      <c r="AM422" s="1164"/>
      <c r="AN422" s="473"/>
      <c r="AO422" s="473"/>
      <c r="AP422" s="1164"/>
      <c r="AQ422" s="473"/>
      <c r="AR422" s="473"/>
      <c r="AS422" s="1236"/>
      <c r="AT422" s="473"/>
      <c r="AU422" s="473"/>
      <c r="AV422" s="1164"/>
      <c r="AW422" s="1164"/>
      <c r="AX422" s="1236"/>
      <c r="AY422" s="473"/>
      <c r="AZ422" s="1236"/>
      <c r="BA422" s="473"/>
      <c r="BB422" s="473"/>
      <c r="BC422" s="1164"/>
      <c r="BD422" s="20"/>
      <c r="BE422" s="473"/>
      <c r="BF422" s="610"/>
      <c r="BG422" s="610"/>
      <c r="BH422" s="610"/>
      <c r="BI422" s="610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</row>
    <row r="423" spans="1:148" s="22" customFormat="1" x14ac:dyDescent="0.25">
      <c r="A423" s="20"/>
      <c r="B423" s="16"/>
      <c r="C423" s="473"/>
      <c r="D423" s="473"/>
      <c r="E423" s="1164"/>
      <c r="F423" s="473"/>
      <c r="G423" s="473"/>
      <c r="H423" s="1164"/>
      <c r="I423" s="473"/>
      <c r="J423" s="473"/>
      <c r="K423" s="1164"/>
      <c r="L423" s="473"/>
      <c r="M423" s="473"/>
      <c r="N423" s="1164"/>
      <c r="O423" s="473"/>
      <c r="P423" s="473"/>
      <c r="Q423" s="1164"/>
      <c r="R423" s="473"/>
      <c r="S423" s="473"/>
      <c r="T423" s="1164"/>
      <c r="U423" s="1164"/>
      <c r="V423" s="473"/>
      <c r="W423" s="473"/>
      <c r="X423" s="1164"/>
      <c r="Y423" s="473"/>
      <c r="Z423" s="473"/>
      <c r="AA423" s="1164"/>
      <c r="AB423" s="473"/>
      <c r="AC423" s="1164"/>
      <c r="AD423" s="473"/>
      <c r="AE423" s="1164"/>
      <c r="AF423" s="473"/>
      <c r="AG423" s="1164"/>
      <c r="AH423" s="473"/>
      <c r="AI423" s="473"/>
      <c r="AJ423" s="1164"/>
      <c r="AK423" s="473"/>
      <c r="AL423" s="473"/>
      <c r="AM423" s="1164"/>
      <c r="AN423" s="473"/>
      <c r="AO423" s="473"/>
      <c r="AP423" s="1164"/>
      <c r="AQ423" s="473"/>
      <c r="AR423" s="473"/>
      <c r="AS423" s="1236"/>
      <c r="AT423" s="473"/>
      <c r="AU423" s="473"/>
      <c r="AV423" s="1164"/>
      <c r="AW423" s="1164"/>
      <c r="AX423" s="1236"/>
      <c r="AY423" s="473"/>
      <c r="AZ423" s="1236"/>
      <c r="BA423" s="473"/>
      <c r="BB423" s="473"/>
      <c r="BC423" s="1164"/>
      <c r="BD423" s="20"/>
      <c r="BE423" s="473"/>
      <c r="BF423" s="610"/>
      <c r="BG423" s="610"/>
      <c r="BH423" s="610"/>
      <c r="BI423" s="610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</row>
    <row r="424" spans="1:148" s="22" customFormat="1" x14ac:dyDescent="0.25">
      <c r="A424" s="20"/>
      <c r="B424" s="16"/>
      <c r="C424" s="473"/>
      <c r="D424" s="473"/>
      <c r="E424" s="1164"/>
      <c r="F424" s="473"/>
      <c r="G424" s="473"/>
      <c r="H424" s="1164"/>
      <c r="I424" s="473"/>
      <c r="J424" s="473"/>
      <c r="K424" s="1164"/>
      <c r="L424" s="473"/>
      <c r="M424" s="473"/>
      <c r="N424" s="1164"/>
      <c r="O424" s="473"/>
      <c r="P424" s="473"/>
      <c r="Q424" s="1164"/>
      <c r="R424" s="473"/>
      <c r="S424" s="473"/>
      <c r="T424" s="1164"/>
      <c r="U424" s="1164"/>
      <c r="V424" s="473"/>
      <c r="W424" s="473"/>
      <c r="X424" s="1164"/>
      <c r="Y424" s="473"/>
      <c r="Z424" s="473"/>
      <c r="AA424" s="1164"/>
      <c r="AB424" s="473"/>
      <c r="AC424" s="1164"/>
      <c r="AD424" s="473"/>
      <c r="AE424" s="1164"/>
      <c r="AF424" s="473"/>
      <c r="AG424" s="1164"/>
      <c r="AH424" s="473"/>
      <c r="AI424" s="473"/>
      <c r="AJ424" s="1164"/>
      <c r="AK424" s="473"/>
      <c r="AL424" s="473"/>
      <c r="AM424" s="1164"/>
      <c r="AN424" s="473"/>
      <c r="AO424" s="473"/>
      <c r="AP424" s="1164"/>
      <c r="AQ424" s="473"/>
      <c r="AR424" s="473"/>
      <c r="AS424" s="1236"/>
      <c r="AT424" s="473"/>
      <c r="AU424" s="473"/>
      <c r="AV424" s="1164"/>
      <c r="AW424" s="1164"/>
      <c r="AX424" s="1236"/>
      <c r="AY424" s="473"/>
      <c r="AZ424" s="1236"/>
      <c r="BA424" s="473"/>
      <c r="BB424" s="473"/>
      <c r="BC424" s="1164"/>
      <c r="BD424" s="20"/>
      <c r="BE424" s="473"/>
      <c r="BF424" s="610"/>
      <c r="BG424" s="610"/>
      <c r="BH424" s="610"/>
      <c r="BI424" s="610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</row>
    <row r="425" spans="1:148" s="22" customFormat="1" x14ac:dyDescent="0.25">
      <c r="A425" s="20"/>
      <c r="B425" s="16"/>
      <c r="C425" s="473"/>
      <c r="D425" s="473"/>
      <c r="E425" s="1164"/>
      <c r="F425" s="473"/>
      <c r="G425" s="473"/>
      <c r="H425" s="1164"/>
      <c r="I425" s="473"/>
      <c r="J425" s="473"/>
      <c r="K425" s="1164"/>
      <c r="L425" s="473"/>
      <c r="M425" s="473"/>
      <c r="N425" s="1164"/>
      <c r="O425" s="473"/>
      <c r="P425" s="473"/>
      <c r="Q425" s="1164"/>
      <c r="R425" s="473"/>
      <c r="S425" s="473"/>
      <c r="T425" s="1164"/>
      <c r="U425" s="1164"/>
      <c r="V425" s="473"/>
      <c r="W425" s="473"/>
      <c r="X425" s="1164"/>
      <c r="Y425" s="473"/>
      <c r="Z425" s="473"/>
      <c r="AA425" s="1164"/>
      <c r="AB425" s="473"/>
      <c r="AC425" s="1164"/>
      <c r="AD425" s="473"/>
      <c r="AE425" s="1164"/>
      <c r="AF425" s="473"/>
      <c r="AG425" s="1164"/>
      <c r="AH425" s="473"/>
      <c r="AI425" s="473"/>
      <c r="AJ425" s="1164"/>
      <c r="AK425" s="473"/>
      <c r="AL425" s="473"/>
      <c r="AM425" s="1164"/>
      <c r="AN425" s="473"/>
      <c r="AO425" s="473"/>
      <c r="AP425" s="1164"/>
      <c r="AQ425" s="473"/>
      <c r="AR425" s="473"/>
      <c r="AS425" s="1236"/>
      <c r="AT425" s="473"/>
      <c r="AU425" s="473"/>
      <c r="AV425" s="1164"/>
      <c r="AW425" s="1164"/>
      <c r="AX425" s="1236"/>
      <c r="AY425" s="473"/>
      <c r="AZ425" s="1236"/>
      <c r="BA425" s="473"/>
      <c r="BB425" s="473"/>
      <c r="BC425" s="1164"/>
      <c r="BD425" s="20"/>
      <c r="BE425" s="473"/>
      <c r="BF425" s="610"/>
      <c r="BG425" s="610"/>
      <c r="BH425" s="610"/>
      <c r="BI425" s="610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</row>
    <row r="426" spans="1:148" s="22" customFormat="1" x14ac:dyDescent="0.25">
      <c r="A426" s="20"/>
      <c r="B426" s="16"/>
      <c r="C426" s="473"/>
      <c r="D426" s="473"/>
      <c r="E426" s="1164"/>
      <c r="F426" s="473"/>
      <c r="G426" s="473"/>
      <c r="H426" s="1164"/>
      <c r="I426" s="473"/>
      <c r="J426" s="473"/>
      <c r="K426" s="1164"/>
      <c r="L426" s="473"/>
      <c r="M426" s="473"/>
      <c r="N426" s="1164"/>
      <c r="O426" s="473"/>
      <c r="P426" s="473"/>
      <c r="Q426" s="1164"/>
      <c r="R426" s="473"/>
      <c r="S426" s="473"/>
      <c r="T426" s="1164"/>
      <c r="U426" s="1164"/>
      <c r="V426" s="473"/>
      <c r="W426" s="473"/>
      <c r="X426" s="1164"/>
      <c r="Y426" s="473"/>
      <c r="Z426" s="473"/>
      <c r="AA426" s="1164"/>
      <c r="AB426" s="473"/>
      <c r="AC426" s="1164"/>
      <c r="AD426" s="473"/>
      <c r="AE426" s="1164"/>
      <c r="AF426" s="473"/>
      <c r="AG426" s="1164"/>
      <c r="AH426" s="473"/>
      <c r="AI426" s="473"/>
      <c r="AJ426" s="1164"/>
      <c r="AK426" s="473"/>
      <c r="AL426" s="473"/>
      <c r="AM426" s="1164"/>
      <c r="AN426" s="473"/>
      <c r="AO426" s="473"/>
      <c r="AP426" s="1164"/>
      <c r="AQ426" s="473"/>
      <c r="AR426" s="473"/>
      <c r="AS426" s="1236"/>
      <c r="AT426" s="473"/>
      <c r="AU426" s="473"/>
      <c r="AV426" s="1164"/>
      <c r="AW426" s="1164"/>
      <c r="AX426" s="1236"/>
      <c r="AY426" s="473"/>
      <c r="AZ426" s="1236"/>
      <c r="BA426" s="473"/>
      <c r="BB426" s="473"/>
      <c r="BC426" s="1164"/>
      <c r="BD426" s="20"/>
      <c r="BE426" s="473"/>
      <c r="BF426" s="610"/>
      <c r="BG426" s="610"/>
      <c r="BH426" s="610"/>
      <c r="BI426" s="610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</row>
    <row r="427" spans="1:148" s="22" customFormat="1" x14ac:dyDescent="0.25">
      <c r="A427" s="20"/>
      <c r="B427" s="16"/>
      <c r="C427" s="473"/>
      <c r="D427" s="473"/>
      <c r="E427" s="1164"/>
      <c r="F427" s="473"/>
      <c r="G427" s="473"/>
      <c r="H427" s="1164"/>
      <c r="I427" s="473"/>
      <c r="J427" s="473"/>
      <c r="K427" s="1164"/>
      <c r="L427" s="473"/>
      <c r="M427" s="473"/>
      <c r="N427" s="1164"/>
      <c r="O427" s="473"/>
      <c r="P427" s="473"/>
      <c r="Q427" s="1164"/>
      <c r="R427" s="473"/>
      <c r="S427" s="473"/>
      <c r="T427" s="1164"/>
      <c r="U427" s="1164"/>
      <c r="V427" s="473"/>
      <c r="W427" s="473"/>
      <c r="X427" s="1164"/>
      <c r="Y427" s="473"/>
      <c r="Z427" s="473"/>
      <c r="AA427" s="1164"/>
      <c r="AB427" s="473"/>
      <c r="AC427" s="1164"/>
      <c r="AD427" s="473"/>
      <c r="AE427" s="1164"/>
      <c r="AF427" s="473"/>
      <c r="AG427" s="1164"/>
      <c r="AH427" s="473"/>
      <c r="AI427" s="473"/>
      <c r="AJ427" s="1164"/>
      <c r="AK427" s="473"/>
      <c r="AL427" s="473"/>
      <c r="AM427" s="1164"/>
      <c r="AN427" s="473"/>
      <c r="AO427" s="473"/>
      <c r="AP427" s="1164"/>
      <c r="AQ427" s="473"/>
      <c r="AR427" s="473"/>
      <c r="AS427" s="1236"/>
      <c r="AT427" s="473"/>
      <c r="AU427" s="473"/>
      <c r="AV427" s="1164"/>
      <c r="AW427" s="1164"/>
      <c r="AX427" s="1236"/>
      <c r="AY427" s="473"/>
      <c r="AZ427" s="1236"/>
      <c r="BA427" s="473"/>
      <c r="BB427" s="473"/>
      <c r="BC427" s="1164"/>
      <c r="BD427" s="20"/>
      <c r="BE427" s="473"/>
      <c r="BF427" s="610"/>
      <c r="BG427" s="610"/>
      <c r="BH427" s="610"/>
      <c r="BI427" s="610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</row>
    <row r="428" spans="1:148" s="22" customFormat="1" x14ac:dyDescent="0.25">
      <c r="A428" s="20"/>
      <c r="B428" s="16"/>
      <c r="C428" s="473"/>
      <c r="D428" s="473"/>
      <c r="E428" s="1164"/>
      <c r="F428" s="473"/>
      <c r="G428" s="473"/>
      <c r="H428" s="1164"/>
      <c r="I428" s="473"/>
      <c r="J428" s="473"/>
      <c r="K428" s="1164"/>
      <c r="L428" s="473"/>
      <c r="M428" s="473"/>
      <c r="N428" s="1164"/>
      <c r="O428" s="473"/>
      <c r="P428" s="473"/>
      <c r="Q428" s="1164"/>
      <c r="R428" s="473"/>
      <c r="S428" s="473"/>
      <c r="T428" s="1164"/>
      <c r="U428" s="1164"/>
      <c r="V428" s="473"/>
      <c r="W428" s="473"/>
      <c r="X428" s="1164"/>
      <c r="Y428" s="473"/>
      <c r="Z428" s="473"/>
      <c r="AA428" s="1164"/>
      <c r="AB428" s="473"/>
      <c r="AC428" s="1164"/>
      <c r="AD428" s="473"/>
      <c r="AE428" s="1164"/>
      <c r="AF428" s="473"/>
      <c r="AG428" s="1164"/>
      <c r="AH428" s="473"/>
      <c r="AI428" s="473"/>
      <c r="AJ428" s="1164"/>
      <c r="AK428" s="473"/>
      <c r="AL428" s="473"/>
      <c r="AM428" s="1164"/>
      <c r="AN428" s="473"/>
      <c r="AO428" s="473"/>
      <c r="AP428" s="1164"/>
      <c r="AQ428" s="473"/>
      <c r="AR428" s="473"/>
      <c r="AS428" s="1236"/>
      <c r="AT428" s="473"/>
      <c r="AU428" s="473"/>
      <c r="AV428" s="1164"/>
      <c r="AW428" s="1164"/>
      <c r="AX428" s="1236"/>
      <c r="AY428" s="473"/>
      <c r="AZ428" s="1236"/>
      <c r="BA428" s="473"/>
      <c r="BB428" s="473"/>
      <c r="BC428" s="1164"/>
      <c r="BD428" s="20"/>
      <c r="BE428" s="473"/>
      <c r="BF428" s="610"/>
      <c r="BG428" s="610"/>
      <c r="BH428" s="610"/>
      <c r="BI428" s="610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</row>
    <row r="429" spans="1:148" s="22" customFormat="1" x14ac:dyDescent="0.25">
      <c r="A429" s="20"/>
      <c r="B429" s="16"/>
      <c r="C429" s="473"/>
      <c r="D429" s="473"/>
      <c r="E429" s="1164"/>
      <c r="F429" s="473"/>
      <c r="G429" s="473"/>
      <c r="H429" s="1164"/>
      <c r="I429" s="473"/>
      <c r="J429" s="473"/>
      <c r="K429" s="1164"/>
      <c r="L429" s="473"/>
      <c r="M429" s="473"/>
      <c r="N429" s="1164"/>
      <c r="O429" s="473"/>
      <c r="P429" s="473"/>
      <c r="Q429" s="1164"/>
      <c r="R429" s="473"/>
      <c r="S429" s="473"/>
      <c r="T429" s="1164"/>
      <c r="U429" s="1164"/>
      <c r="V429" s="473"/>
      <c r="W429" s="473"/>
      <c r="X429" s="1164"/>
      <c r="Y429" s="473"/>
      <c r="Z429" s="473"/>
      <c r="AA429" s="1164"/>
      <c r="AB429" s="473"/>
      <c r="AC429" s="1164"/>
      <c r="AD429" s="473"/>
      <c r="AE429" s="1164"/>
      <c r="AF429" s="473"/>
      <c r="AG429" s="1164"/>
      <c r="AH429" s="473"/>
      <c r="AI429" s="473"/>
      <c r="AJ429" s="1164"/>
      <c r="AK429" s="473"/>
      <c r="AL429" s="473"/>
      <c r="AM429" s="1164"/>
      <c r="AN429" s="473"/>
      <c r="AO429" s="473"/>
      <c r="AP429" s="1164"/>
      <c r="AQ429" s="473"/>
      <c r="AR429" s="473"/>
      <c r="AS429" s="1236"/>
      <c r="AT429" s="473"/>
      <c r="AU429" s="473"/>
      <c r="AV429" s="1164"/>
      <c r="AW429" s="1164"/>
      <c r="AX429" s="1236"/>
      <c r="AY429" s="473"/>
      <c r="AZ429" s="1236"/>
      <c r="BA429" s="473"/>
      <c r="BB429" s="473"/>
      <c r="BC429" s="1164"/>
      <c r="BD429" s="20"/>
      <c r="BE429" s="473"/>
      <c r="BF429" s="610"/>
      <c r="BG429" s="610"/>
      <c r="BH429" s="610"/>
      <c r="BI429" s="610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</row>
    <row r="430" spans="1:148" s="22" customFormat="1" x14ac:dyDescent="0.25">
      <c r="A430" s="20"/>
      <c r="B430" s="16"/>
      <c r="C430" s="473"/>
      <c r="D430" s="473"/>
      <c r="E430" s="1164"/>
      <c r="F430" s="473"/>
      <c r="G430" s="473"/>
      <c r="H430" s="1164"/>
      <c r="I430" s="473"/>
      <c r="J430" s="473"/>
      <c r="K430" s="1164"/>
      <c r="L430" s="473"/>
      <c r="M430" s="473"/>
      <c r="N430" s="1164"/>
      <c r="O430" s="473"/>
      <c r="P430" s="473"/>
      <c r="Q430" s="1164"/>
      <c r="R430" s="473"/>
      <c r="S430" s="473"/>
      <c r="T430" s="1164"/>
      <c r="U430" s="1164"/>
      <c r="V430" s="473"/>
      <c r="W430" s="473"/>
      <c r="X430" s="1164"/>
      <c r="Y430" s="473"/>
      <c r="Z430" s="473"/>
      <c r="AA430" s="1164"/>
      <c r="AB430" s="473"/>
      <c r="AC430" s="1164"/>
      <c r="AD430" s="473"/>
      <c r="AE430" s="1164"/>
      <c r="AF430" s="473"/>
      <c r="AG430" s="1164"/>
      <c r="AH430" s="473"/>
      <c r="AI430" s="473"/>
      <c r="AJ430" s="1164"/>
      <c r="AK430" s="473"/>
      <c r="AL430" s="473"/>
      <c r="AM430" s="1164"/>
      <c r="AN430" s="473"/>
      <c r="AO430" s="473"/>
      <c r="AP430" s="1164"/>
      <c r="AQ430" s="473"/>
      <c r="AR430" s="473"/>
      <c r="AS430" s="1236"/>
      <c r="AT430" s="473"/>
      <c r="AU430" s="473"/>
      <c r="AV430" s="1164"/>
      <c r="AW430" s="1164"/>
      <c r="AX430" s="1236"/>
      <c r="AY430" s="473"/>
      <c r="AZ430" s="1236"/>
      <c r="BA430" s="473"/>
      <c r="BB430" s="473"/>
      <c r="BC430" s="1164"/>
      <c r="BD430" s="20"/>
      <c r="BE430" s="473"/>
      <c r="BF430" s="610"/>
      <c r="BG430" s="610"/>
      <c r="BH430" s="610"/>
      <c r="BI430" s="610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</row>
    <row r="431" spans="1:148" s="22" customFormat="1" x14ac:dyDescent="0.25">
      <c r="A431" s="20"/>
      <c r="B431" s="16"/>
      <c r="C431" s="473"/>
      <c r="D431" s="473"/>
      <c r="E431" s="1164"/>
      <c r="F431" s="473"/>
      <c r="G431" s="473"/>
      <c r="H431" s="1164"/>
      <c r="I431" s="473"/>
      <c r="J431" s="473"/>
      <c r="K431" s="1164"/>
      <c r="L431" s="473"/>
      <c r="M431" s="473"/>
      <c r="N431" s="1164"/>
      <c r="O431" s="473"/>
      <c r="P431" s="473"/>
      <c r="Q431" s="1164"/>
      <c r="R431" s="473"/>
      <c r="S431" s="473"/>
      <c r="T431" s="1164"/>
      <c r="U431" s="1164"/>
      <c r="V431" s="473"/>
      <c r="W431" s="473"/>
      <c r="X431" s="1164"/>
      <c r="Y431" s="473"/>
      <c r="Z431" s="473"/>
      <c r="AA431" s="1164"/>
      <c r="AB431" s="473"/>
      <c r="AC431" s="1164"/>
      <c r="AD431" s="473"/>
      <c r="AE431" s="1164"/>
      <c r="AF431" s="473"/>
      <c r="AG431" s="1164"/>
      <c r="AH431" s="473"/>
      <c r="AI431" s="473"/>
      <c r="AJ431" s="1164"/>
      <c r="AK431" s="473"/>
      <c r="AL431" s="473"/>
      <c r="AM431" s="1164"/>
      <c r="AN431" s="473"/>
      <c r="AO431" s="473"/>
      <c r="AP431" s="1164"/>
      <c r="AQ431" s="473"/>
      <c r="AR431" s="473"/>
      <c r="AS431" s="1236"/>
      <c r="AT431" s="473"/>
      <c r="AU431" s="473"/>
      <c r="AV431" s="1164"/>
      <c r="AW431" s="1164"/>
      <c r="AX431" s="1236"/>
      <c r="AY431" s="473"/>
      <c r="AZ431" s="1236"/>
      <c r="BA431" s="473"/>
      <c r="BB431" s="473"/>
      <c r="BC431" s="1164"/>
      <c r="BD431" s="20"/>
      <c r="BE431" s="473"/>
      <c r="BF431" s="610"/>
      <c r="BG431" s="610"/>
      <c r="BH431" s="610"/>
      <c r="BI431" s="610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</row>
    <row r="432" spans="1:148" s="22" customFormat="1" x14ac:dyDescent="0.25">
      <c r="A432" s="20"/>
      <c r="B432" s="16"/>
      <c r="C432" s="473"/>
      <c r="D432" s="473"/>
      <c r="E432" s="1164"/>
      <c r="F432" s="473"/>
      <c r="G432" s="473"/>
      <c r="H432" s="1164"/>
      <c r="I432" s="473"/>
      <c r="J432" s="473"/>
      <c r="K432" s="1164"/>
      <c r="L432" s="473"/>
      <c r="M432" s="473"/>
      <c r="N432" s="1164"/>
      <c r="O432" s="473"/>
      <c r="P432" s="473"/>
      <c r="Q432" s="1164"/>
      <c r="R432" s="473"/>
      <c r="S432" s="473"/>
      <c r="T432" s="1164"/>
      <c r="U432" s="1164"/>
      <c r="V432" s="473"/>
      <c r="W432" s="473"/>
      <c r="X432" s="1164"/>
      <c r="Y432" s="473"/>
      <c r="Z432" s="473"/>
      <c r="AA432" s="1164"/>
      <c r="AB432" s="473"/>
      <c r="AC432" s="1164"/>
      <c r="AD432" s="473"/>
      <c r="AE432" s="1164"/>
      <c r="AF432" s="473"/>
      <c r="AG432" s="1164"/>
      <c r="AH432" s="473"/>
      <c r="AI432" s="473"/>
      <c r="AJ432" s="1164"/>
      <c r="AK432" s="473"/>
      <c r="AL432" s="473"/>
      <c r="AM432" s="1164"/>
      <c r="AN432" s="473"/>
      <c r="AO432" s="473"/>
      <c r="AP432" s="1164"/>
      <c r="AQ432" s="473"/>
      <c r="AR432" s="473"/>
      <c r="AS432" s="1236"/>
      <c r="AT432" s="473"/>
      <c r="AU432" s="473"/>
      <c r="AV432" s="1164"/>
      <c r="AW432" s="1164"/>
      <c r="AX432" s="1236"/>
      <c r="AY432" s="473"/>
      <c r="AZ432" s="1236"/>
      <c r="BA432" s="473"/>
      <c r="BB432" s="473"/>
      <c r="BC432" s="1164"/>
      <c r="BD432" s="20"/>
      <c r="BE432" s="473"/>
      <c r="BF432" s="610"/>
      <c r="BG432" s="610"/>
      <c r="BH432" s="610"/>
      <c r="BI432" s="610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</row>
    <row r="433" spans="1:148" s="22" customFormat="1" x14ac:dyDescent="0.25">
      <c r="A433" s="20"/>
      <c r="B433" s="16"/>
      <c r="C433" s="473"/>
      <c r="D433" s="473"/>
      <c r="E433" s="1164"/>
      <c r="F433" s="473"/>
      <c r="G433" s="473"/>
      <c r="H433" s="1164"/>
      <c r="I433" s="473"/>
      <c r="J433" s="473"/>
      <c r="K433" s="1164"/>
      <c r="L433" s="473"/>
      <c r="M433" s="473"/>
      <c r="N433" s="1164"/>
      <c r="O433" s="473"/>
      <c r="P433" s="473"/>
      <c r="Q433" s="1164"/>
      <c r="R433" s="473"/>
      <c r="S433" s="473"/>
      <c r="T433" s="1164"/>
      <c r="U433" s="1164"/>
      <c r="V433" s="473"/>
      <c r="W433" s="473"/>
      <c r="X433" s="1164"/>
      <c r="Y433" s="473"/>
      <c r="Z433" s="473"/>
      <c r="AA433" s="1164"/>
      <c r="AB433" s="473"/>
      <c r="AC433" s="1164"/>
      <c r="AD433" s="473"/>
      <c r="AE433" s="1164"/>
      <c r="AF433" s="473"/>
      <c r="AG433" s="1164"/>
      <c r="AH433" s="473"/>
      <c r="AI433" s="473"/>
      <c r="AJ433" s="1164"/>
      <c r="AK433" s="473"/>
      <c r="AL433" s="473"/>
      <c r="AM433" s="1164"/>
      <c r="AN433" s="473"/>
      <c r="AO433" s="473"/>
      <c r="AP433" s="1164"/>
      <c r="AQ433" s="473"/>
      <c r="AR433" s="473"/>
      <c r="AS433" s="1236"/>
      <c r="AT433" s="473"/>
      <c r="AU433" s="473"/>
      <c r="AV433" s="1164"/>
      <c r="AW433" s="1164"/>
      <c r="AX433" s="1236"/>
      <c r="AY433" s="473"/>
      <c r="AZ433" s="1236"/>
      <c r="BA433" s="473"/>
      <c r="BB433" s="473"/>
      <c r="BC433" s="1164"/>
      <c r="BD433" s="20"/>
      <c r="BE433" s="473"/>
      <c r="BF433" s="610"/>
      <c r="BG433" s="610"/>
      <c r="BH433" s="610"/>
      <c r="BI433" s="610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</row>
    <row r="434" spans="1:148" s="22" customFormat="1" x14ac:dyDescent="0.25">
      <c r="A434" s="20"/>
      <c r="B434" s="16"/>
      <c r="C434" s="473"/>
      <c r="D434" s="473"/>
      <c r="E434" s="1164"/>
      <c r="F434" s="473"/>
      <c r="G434" s="473"/>
      <c r="H434" s="1164"/>
      <c r="I434" s="473"/>
      <c r="J434" s="473"/>
      <c r="K434" s="1164"/>
      <c r="L434" s="473"/>
      <c r="M434" s="473"/>
      <c r="N434" s="1164"/>
      <c r="O434" s="473"/>
      <c r="P434" s="473"/>
      <c r="Q434" s="1164"/>
      <c r="R434" s="473"/>
      <c r="S434" s="473"/>
      <c r="T434" s="1164"/>
      <c r="U434" s="1164"/>
      <c r="V434" s="473"/>
      <c r="W434" s="473"/>
      <c r="X434" s="1164"/>
      <c r="Y434" s="473"/>
      <c r="Z434" s="473"/>
      <c r="AA434" s="1164"/>
      <c r="AB434" s="473"/>
      <c r="AC434" s="1164"/>
      <c r="AD434" s="473"/>
      <c r="AE434" s="1164"/>
      <c r="AF434" s="473"/>
      <c r="AG434" s="1164"/>
      <c r="AH434" s="473"/>
      <c r="AI434" s="473"/>
      <c r="AJ434" s="1164"/>
      <c r="AK434" s="473"/>
      <c r="AL434" s="473"/>
      <c r="AM434" s="1164"/>
      <c r="AN434" s="473"/>
      <c r="AO434" s="473"/>
      <c r="AP434" s="1164"/>
      <c r="AQ434" s="473"/>
      <c r="AR434" s="473"/>
      <c r="AS434" s="1236"/>
      <c r="AT434" s="473"/>
      <c r="AU434" s="473"/>
      <c r="AV434" s="1164"/>
      <c r="AW434" s="1164"/>
      <c r="AX434" s="1236"/>
      <c r="AY434" s="473"/>
      <c r="AZ434" s="1236"/>
      <c r="BA434" s="473"/>
      <c r="BB434" s="473"/>
      <c r="BC434" s="1164"/>
      <c r="BD434" s="20"/>
      <c r="BE434" s="473"/>
      <c r="BF434" s="610"/>
      <c r="BG434" s="610"/>
      <c r="BH434" s="610"/>
      <c r="BI434" s="610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</row>
    <row r="435" spans="1:148" s="22" customFormat="1" x14ac:dyDescent="0.25">
      <c r="A435" s="20"/>
      <c r="B435" s="16"/>
      <c r="C435" s="473"/>
      <c r="D435" s="473"/>
      <c r="E435" s="1164"/>
      <c r="F435" s="473"/>
      <c r="G435" s="473"/>
      <c r="H435" s="1164"/>
      <c r="I435" s="473"/>
      <c r="J435" s="473"/>
      <c r="K435" s="1164"/>
      <c r="L435" s="473"/>
      <c r="M435" s="473"/>
      <c r="N435" s="1164"/>
      <c r="O435" s="473"/>
      <c r="P435" s="473"/>
      <c r="Q435" s="1164"/>
      <c r="R435" s="473"/>
      <c r="S435" s="473"/>
      <c r="T435" s="1164"/>
      <c r="U435" s="1164"/>
      <c r="V435" s="473"/>
      <c r="W435" s="473"/>
      <c r="X435" s="1164"/>
      <c r="Y435" s="473"/>
      <c r="Z435" s="473"/>
      <c r="AA435" s="1164"/>
      <c r="AB435" s="473"/>
      <c r="AC435" s="1164"/>
      <c r="AD435" s="473"/>
      <c r="AE435" s="1164"/>
      <c r="AF435" s="473"/>
      <c r="AG435" s="1164"/>
      <c r="AH435" s="473"/>
      <c r="AI435" s="473"/>
      <c r="AJ435" s="1164"/>
      <c r="AK435" s="473"/>
      <c r="AL435" s="473"/>
      <c r="AM435" s="1164"/>
      <c r="AN435" s="473"/>
      <c r="AO435" s="473"/>
      <c r="AP435" s="1164"/>
      <c r="AQ435" s="473"/>
      <c r="AR435" s="473"/>
      <c r="AS435" s="1236"/>
      <c r="AT435" s="473"/>
      <c r="AU435" s="473"/>
      <c r="AV435" s="1164"/>
      <c r="AW435" s="1164"/>
      <c r="AX435" s="1236"/>
      <c r="AY435" s="473"/>
      <c r="AZ435" s="1236"/>
      <c r="BA435" s="473"/>
      <c r="BB435" s="473"/>
      <c r="BC435" s="1164"/>
      <c r="BD435" s="20"/>
      <c r="BE435" s="473"/>
      <c r="BF435" s="610"/>
      <c r="BG435" s="610"/>
      <c r="BH435" s="610"/>
      <c r="BI435" s="610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</row>
    <row r="436" spans="1:148" s="22" customFormat="1" x14ac:dyDescent="0.25">
      <c r="A436" s="20"/>
      <c r="B436" s="16"/>
      <c r="C436" s="473"/>
      <c r="D436" s="473"/>
      <c r="E436" s="1164"/>
      <c r="F436" s="473"/>
      <c r="G436" s="473"/>
      <c r="H436" s="1164"/>
      <c r="I436" s="473"/>
      <c r="J436" s="473"/>
      <c r="K436" s="1164"/>
      <c r="L436" s="473"/>
      <c r="M436" s="473"/>
      <c r="N436" s="1164"/>
      <c r="O436" s="473"/>
      <c r="P436" s="473"/>
      <c r="Q436" s="1164"/>
      <c r="R436" s="473"/>
      <c r="S436" s="473"/>
      <c r="T436" s="1164"/>
      <c r="U436" s="1164"/>
      <c r="V436" s="473"/>
      <c r="W436" s="473"/>
      <c r="X436" s="1164"/>
      <c r="Y436" s="473"/>
      <c r="Z436" s="473"/>
      <c r="AA436" s="1164"/>
      <c r="AB436" s="473"/>
      <c r="AC436" s="1164"/>
      <c r="AD436" s="473"/>
      <c r="AE436" s="1164"/>
      <c r="AF436" s="473"/>
      <c r="AG436" s="1164"/>
      <c r="AH436" s="473"/>
      <c r="AI436" s="473"/>
      <c r="AJ436" s="1164"/>
      <c r="AK436" s="473"/>
      <c r="AL436" s="473"/>
      <c r="AM436" s="1164"/>
      <c r="AN436" s="473"/>
      <c r="AO436" s="473"/>
      <c r="AP436" s="1164"/>
      <c r="AQ436" s="473"/>
      <c r="AR436" s="473"/>
      <c r="AS436" s="1236"/>
      <c r="AT436" s="473"/>
      <c r="AU436" s="473"/>
      <c r="AV436" s="1164"/>
      <c r="AW436" s="1164"/>
      <c r="AX436" s="1236"/>
      <c r="AY436" s="473"/>
      <c r="AZ436" s="1236"/>
      <c r="BA436" s="473"/>
      <c r="BB436" s="473"/>
      <c r="BC436" s="1164"/>
      <c r="BD436" s="20"/>
      <c r="BE436" s="473"/>
      <c r="BF436" s="610"/>
      <c r="BG436" s="610"/>
      <c r="BH436" s="610"/>
      <c r="BI436" s="610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</row>
    <row r="437" spans="1:148" s="22" customFormat="1" x14ac:dyDescent="0.25">
      <c r="A437" s="20"/>
      <c r="B437" s="16"/>
      <c r="C437" s="473"/>
      <c r="D437" s="473"/>
      <c r="E437" s="1164"/>
      <c r="F437" s="473"/>
      <c r="G437" s="473"/>
      <c r="H437" s="1164"/>
      <c r="I437" s="473"/>
      <c r="J437" s="473"/>
      <c r="K437" s="1164"/>
      <c r="L437" s="473"/>
      <c r="M437" s="473"/>
      <c r="N437" s="1164"/>
      <c r="O437" s="473"/>
      <c r="P437" s="473"/>
      <c r="Q437" s="1164"/>
      <c r="R437" s="473"/>
      <c r="S437" s="473"/>
      <c r="T437" s="1164"/>
      <c r="U437" s="1164"/>
      <c r="V437" s="473"/>
      <c r="W437" s="473"/>
      <c r="X437" s="1164"/>
      <c r="Y437" s="473"/>
      <c r="Z437" s="473"/>
      <c r="AA437" s="1164"/>
      <c r="AB437" s="473"/>
      <c r="AC437" s="1164"/>
      <c r="AD437" s="473"/>
      <c r="AE437" s="1164"/>
      <c r="AF437" s="473"/>
      <c r="AG437" s="1164"/>
      <c r="AH437" s="473"/>
      <c r="AI437" s="473"/>
      <c r="AJ437" s="1164"/>
      <c r="AK437" s="473"/>
      <c r="AL437" s="473"/>
      <c r="AM437" s="1164"/>
      <c r="AN437" s="473"/>
      <c r="AO437" s="473"/>
      <c r="AP437" s="1164"/>
      <c r="AQ437" s="473"/>
      <c r="AR437" s="473"/>
      <c r="AS437" s="1236"/>
      <c r="AT437" s="473"/>
      <c r="AU437" s="473"/>
      <c r="AV437" s="1164"/>
      <c r="AW437" s="1164"/>
      <c r="AX437" s="1236"/>
      <c r="AY437" s="473"/>
      <c r="AZ437" s="1236"/>
      <c r="BA437" s="473"/>
      <c r="BB437" s="473"/>
      <c r="BC437" s="1164"/>
      <c r="BD437" s="20"/>
      <c r="BE437" s="473"/>
      <c r="BF437" s="610"/>
      <c r="BG437" s="610"/>
      <c r="BH437" s="610"/>
      <c r="BI437" s="610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</row>
    <row r="438" spans="1:148" s="22" customFormat="1" x14ac:dyDescent="0.25">
      <c r="A438" s="20"/>
      <c r="B438" s="16"/>
      <c r="C438" s="473"/>
      <c r="D438" s="473"/>
      <c r="E438" s="1164"/>
      <c r="F438" s="473"/>
      <c r="G438" s="473"/>
      <c r="H438" s="1164"/>
      <c r="I438" s="473"/>
      <c r="J438" s="473"/>
      <c r="K438" s="1164"/>
      <c r="L438" s="473"/>
      <c r="M438" s="473"/>
      <c r="N438" s="1164"/>
      <c r="O438" s="473"/>
      <c r="P438" s="473"/>
      <c r="Q438" s="1164"/>
      <c r="R438" s="473"/>
      <c r="S438" s="473"/>
      <c r="T438" s="1164"/>
      <c r="U438" s="1164"/>
      <c r="V438" s="473"/>
      <c r="W438" s="473"/>
      <c r="X438" s="1164"/>
      <c r="Y438" s="473"/>
      <c r="Z438" s="473"/>
      <c r="AA438" s="1164"/>
      <c r="AB438" s="473"/>
      <c r="AC438" s="1164"/>
      <c r="AD438" s="473"/>
      <c r="AE438" s="1164"/>
      <c r="AF438" s="473"/>
      <c r="AG438" s="1164"/>
      <c r="AH438" s="473"/>
      <c r="AI438" s="473"/>
      <c r="AJ438" s="1164"/>
      <c r="AK438" s="473"/>
      <c r="AL438" s="473"/>
      <c r="AM438" s="1164"/>
      <c r="AN438" s="473"/>
      <c r="AO438" s="473"/>
      <c r="AP438" s="1164"/>
      <c r="AQ438" s="473"/>
      <c r="AR438" s="473"/>
      <c r="AS438" s="1236"/>
      <c r="AT438" s="473"/>
      <c r="AU438" s="473"/>
      <c r="AV438" s="1164"/>
      <c r="AW438" s="1164"/>
      <c r="AX438" s="1236"/>
      <c r="AY438" s="473"/>
      <c r="AZ438" s="1236"/>
      <c r="BA438" s="473"/>
      <c r="BB438" s="473"/>
      <c r="BC438" s="1164"/>
      <c r="BD438" s="20"/>
      <c r="BE438" s="473"/>
      <c r="BF438" s="610"/>
      <c r="BG438" s="610"/>
      <c r="BH438" s="610"/>
      <c r="BI438" s="610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</row>
    <row r="439" spans="1:148" s="22" customFormat="1" x14ac:dyDescent="0.25">
      <c r="A439" s="20"/>
      <c r="B439" s="16"/>
      <c r="C439" s="473"/>
      <c r="D439" s="473"/>
      <c r="E439" s="1164"/>
      <c r="F439" s="473"/>
      <c r="G439" s="473"/>
      <c r="H439" s="1164"/>
      <c r="I439" s="473"/>
      <c r="J439" s="473"/>
      <c r="K439" s="1164"/>
      <c r="L439" s="473"/>
      <c r="M439" s="473"/>
      <c r="N439" s="1164"/>
      <c r="O439" s="473"/>
      <c r="P439" s="473"/>
      <c r="Q439" s="1164"/>
      <c r="R439" s="473"/>
      <c r="S439" s="473"/>
      <c r="T439" s="1164"/>
      <c r="U439" s="1164"/>
      <c r="V439" s="473"/>
      <c r="W439" s="473"/>
      <c r="X439" s="1164"/>
      <c r="Y439" s="473"/>
      <c r="Z439" s="473"/>
      <c r="AA439" s="1164"/>
      <c r="AB439" s="473"/>
      <c r="AC439" s="1164"/>
      <c r="AD439" s="473"/>
      <c r="AE439" s="1164"/>
      <c r="AF439" s="473"/>
      <c r="AG439" s="1164"/>
      <c r="AH439" s="473"/>
      <c r="AI439" s="473"/>
      <c r="AJ439" s="1164"/>
      <c r="AK439" s="473"/>
      <c r="AL439" s="473"/>
      <c r="AM439" s="1164"/>
      <c r="AN439" s="473"/>
      <c r="AO439" s="473"/>
      <c r="AP439" s="1164"/>
      <c r="AQ439" s="473"/>
      <c r="AR439" s="473"/>
      <c r="AS439" s="1236"/>
      <c r="AT439" s="473"/>
      <c r="AU439" s="473"/>
      <c r="AV439" s="1164"/>
      <c r="AW439" s="1164"/>
      <c r="AX439" s="1236"/>
      <c r="AY439" s="473"/>
      <c r="AZ439" s="1236"/>
      <c r="BA439" s="473"/>
      <c r="BB439" s="473"/>
      <c r="BC439" s="1164"/>
      <c r="BD439" s="20"/>
      <c r="BE439" s="473"/>
      <c r="BF439" s="610"/>
      <c r="BG439" s="610"/>
      <c r="BH439" s="610"/>
      <c r="BI439" s="610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</row>
    <row r="440" spans="1:148" s="22" customFormat="1" x14ac:dyDescent="0.25">
      <c r="A440" s="20"/>
      <c r="B440" s="16"/>
      <c r="C440" s="473"/>
      <c r="D440" s="473"/>
      <c r="E440" s="1164"/>
      <c r="F440" s="473"/>
      <c r="G440" s="473"/>
      <c r="H440" s="1164"/>
      <c r="I440" s="473"/>
      <c r="J440" s="473"/>
      <c r="K440" s="1164"/>
      <c r="L440" s="473"/>
      <c r="M440" s="473"/>
      <c r="N440" s="1164"/>
      <c r="O440" s="473"/>
      <c r="P440" s="473"/>
      <c r="Q440" s="1164"/>
      <c r="R440" s="473"/>
      <c r="S440" s="473"/>
      <c r="T440" s="1164"/>
      <c r="U440" s="1164"/>
      <c r="V440" s="473"/>
      <c r="W440" s="473"/>
      <c r="X440" s="1164"/>
      <c r="Y440" s="473"/>
      <c r="Z440" s="473"/>
      <c r="AA440" s="1164"/>
      <c r="AB440" s="473"/>
      <c r="AC440" s="1164"/>
      <c r="AD440" s="473"/>
      <c r="AE440" s="1164"/>
      <c r="AF440" s="473"/>
      <c r="AG440" s="1164"/>
      <c r="AH440" s="473"/>
      <c r="AI440" s="473"/>
      <c r="AJ440" s="1164"/>
      <c r="AK440" s="473"/>
      <c r="AL440" s="473"/>
      <c r="AM440" s="1164"/>
      <c r="AN440" s="473"/>
      <c r="AO440" s="473"/>
      <c r="AP440" s="1164"/>
      <c r="AQ440" s="473"/>
      <c r="AR440" s="473"/>
      <c r="AS440" s="1236"/>
      <c r="AT440" s="473"/>
      <c r="AU440" s="473"/>
      <c r="AV440" s="1164"/>
      <c r="AW440" s="1164"/>
      <c r="AX440" s="1236"/>
      <c r="AY440" s="473"/>
      <c r="AZ440" s="1236"/>
      <c r="BA440" s="473"/>
      <c r="BB440" s="473"/>
      <c r="BC440" s="1164"/>
      <c r="BD440" s="20"/>
      <c r="BE440" s="473"/>
      <c r="BF440" s="610"/>
      <c r="BG440" s="610"/>
      <c r="BH440" s="610"/>
      <c r="BI440" s="610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</row>
    <row r="441" spans="1:148" s="22" customFormat="1" x14ac:dyDescent="0.25">
      <c r="A441" s="20"/>
      <c r="B441" s="16"/>
      <c r="C441" s="473"/>
      <c r="D441" s="473"/>
      <c r="E441" s="1164"/>
      <c r="F441" s="473"/>
      <c r="G441" s="473"/>
      <c r="H441" s="1164"/>
      <c r="I441" s="473"/>
      <c r="J441" s="473"/>
      <c r="K441" s="1164"/>
      <c r="L441" s="473"/>
      <c r="M441" s="473"/>
      <c r="N441" s="1164"/>
      <c r="O441" s="473"/>
      <c r="P441" s="473"/>
      <c r="Q441" s="1164"/>
      <c r="R441" s="473"/>
      <c r="S441" s="473"/>
      <c r="T441" s="1164"/>
      <c r="U441" s="1164"/>
      <c r="V441" s="473"/>
      <c r="W441" s="473"/>
      <c r="X441" s="1164"/>
      <c r="Y441" s="473"/>
      <c r="Z441" s="473"/>
      <c r="AA441" s="1164"/>
      <c r="AB441" s="473"/>
      <c r="AC441" s="1164"/>
      <c r="AD441" s="473"/>
      <c r="AE441" s="1164"/>
      <c r="AF441" s="473"/>
      <c r="AG441" s="1164"/>
      <c r="AH441" s="473"/>
      <c r="AI441" s="473"/>
      <c r="AJ441" s="1164"/>
      <c r="AK441" s="473"/>
      <c r="AL441" s="473"/>
      <c r="AM441" s="1164"/>
      <c r="AN441" s="473"/>
      <c r="AO441" s="473"/>
      <c r="AP441" s="1164"/>
      <c r="AQ441" s="473"/>
      <c r="AR441" s="473"/>
      <c r="AS441" s="1236"/>
      <c r="AT441" s="473"/>
      <c r="AU441" s="473"/>
      <c r="AV441" s="1164"/>
      <c r="AW441" s="1164"/>
      <c r="AX441" s="1236"/>
      <c r="AY441" s="473"/>
      <c r="AZ441" s="1236"/>
      <c r="BA441" s="473"/>
      <c r="BB441" s="473"/>
      <c r="BC441" s="1164"/>
      <c r="BD441" s="20"/>
      <c r="BE441" s="473"/>
      <c r="BF441" s="610"/>
      <c r="BG441" s="610"/>
      <c r="BH441" s="610"/>
      <c r="BI441" s="610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</row>
    <row r="442" spans="1:148" s="22" customFormat="1" x14ac:dyDescent="0.25">
      <c r="A442" s="20"/>
      <c r="B442" s="16"/>
      <c r="C442" s="473"/>
      <c r="D442" s="473"/>
      <c r="E442" s="1164"/>
      <c r="F442" s="473"/>
      <c r="G442" s="473"/>
      <c r="H442" s="1164"/>
      <c r="I442" s="473"/>
      <c r="J442" s="473"/>
      <c r="K442" s="1164"/>
      <c r="L442" s="473"/>
      <c r="M442" s="473"/>
      <c r="N442" s="1164"/>
      <c r="O442" s="473"/>
      <c r="P442" s="473"/>
      <c r="Q442" s="1164"/>
      <c r="R442" s="473"/>
      <c r="S442" s="473"/>
      <c r="T442" s="1164"/>
      <c r="U442" s="1164"/>
      <c r="V442" s="473"/>
      <c r="W442" s="473"/>
      <c r="X442" s="1164"/>
      <c r="Y442" s="473"/>
      <c r="Z442" s="473"/>
      <c r="AA442" s="1164"/>
      <c r="AB442" s="473"/>
      <c r="AC442" s="1164"/>
      <c r="AD442" s="473"/>
      <c r="AE442" s="1164"/>
      <c r="AF442" s="473"/>
      <c r="AG442" s="1164"/>
      <c r="AH442" s="473"/>
      <c r="AI442" s="473"/>
      <c r="AJ442" s="1164"/>
      <c r="AK442" s="473"/>
      <c r="AL442" s="473"/>
      <c r="AM442" s="1164"/>
      <c r="AN442" s="473"/>
      <c r="AO442" s="473"/>
      <c r="AP442" s="1164"/>
      <c r="AQ442" s="473"/>
      <c r="AR442" s="473"/>
      <c r="AS442" s="1236"/>
      <c r="AT442" s="473"/>
      <c r="AU442" s="473"/>
      <c r="AV442" s="1164"/>
      <c r="AW442" s="1164"/>
      <c r="AX442" s="1236"/>
      <c r="AY442" s="473"/>
      <c r="AZ442" s="1236"/>
      <c r="BA442" s="473"/>
      <c r="BB442" s="473"/>
      <c r="BC442" s="1164"/>
      <c r="BD442" s="20"/>
      <c r="BE442" s="473"/>
      <c r="BF442" s="610"/>
      <c r="BG442" s="610"/>
      <c r="BH442" s="610"/>
      <c r="BI442" s="610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</row>
    <row r="443" spans="1:148" s="22" customFormat="1" x14ac:dyDescent="0.25">
      <c r="A443" s="20"/>
      <c r="B443" s="16"/>
      <c r="C443" s="473"/>
      <c r="D443" s="473"/>
      <c r="E443" s="1164"/>
      <c r="F443" s="473"/>
      <c r="G443" s="473"/>
      <c r="H443" s="1164"/>
      <c r="I443" s="473"/>
      <c r="J443" s="473"/>
      <c r="K443" s="1164"/>
      <c r="L443" s="473"/>
      <c r="M443" s="473"/>
      <c r="N443" s="1164"/>
      <c r="O443" s="473"/>
      <c r="P443" s="473"/>
      <c r="Q443" s="1164"/>
      <c r="R443" s="473"/>
      <c r="S443" s="473"/>
      <c r="T443" s="1164"/>
      <c r="U443" s="1164"/>
      <c r="V443" s="473"/>
      <c r="W443" s="473"/>
      <c r="X443" s="1164"/>
      <c r="Y443" s="473"/>
      <c r="Z443" s="473"/>
      <c r="AA443" s="1164"/>
      <c r="AB443" s="473"/>
      <c r="AC443" s="1164"/>
      <c r="AD443" s="473"/>
      <c r="AE443" s="1164"/>
      <c r="AF443" s="473"/>
      <c r="AG443" s="1164"/>
      <c r="AH443" s="473"/>
      <c r="AI443" s="473"/>
      <c r="AJ443" s="1164"/>
      <c r="AK443" s="473"/>
      <c r="AL443" s="473"/>
      <c r="AM443" s="1164"/>
      <c r="AN443" s="473"/>
      <c r="AO443" s="473"/>
      <c r="AP443" s="1164"/>
      <c r="AQ443" s="473"/>
      <c r="AR443" s="473"/>
      <c r="AS443" s="1236"/>
      <c r="AT443" s="473"/>
      <c r="AU443" s="473"/>
      <c r="AV443" s="1164"/>
      <c r="AW443" s="1164"/>
      <c r="AX443" s="1236"/>
      <c r="AY443" s="473"/>
      <c r="AZ443" s="1236"/>
      <c r="BA443" s="473"/>
      <c r="BB443" s="473"/>
      <c r="BC443" s="1164"/>
      <c r="BD443" s="20"/>
      <c r="BE443" s="473"/>
      <c r="BF443" s="610"/>
      <c r="BG443" s="610"/>
      <c r="BH443" s="610"/>
      <c r="BI443" s="610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</row>
    <row r="444" spans="1:148" s="22" customFormat="1" x14ac:dyDescent="0.25">
      <c r="A444" s="20"/>
      <c r="B444" s="16"/>
      <c r="C444" s="473"/>
      <c r="D444" s="473"/>
      <c r="E444" s="1164"/>
      <c r="F444" s="473"/>
      <c r="G444" s="473"/>
      <c r="H444" s="1164"/>
      <c r="I444" s="473"/>
      <c r="J444" s="473"/>
      <c r="K444" s="1164"/>
      <c r="L444" s="473"/>
      <c r="M444" s="473"/>
      <c r="N444" s="1164"/>
      <c r="O444" s="473"/>
      <c r="P444" s="473"/>
      <c r="Q444" s="1164"/>
      <c r="R444" s="473"/>
      <c r="S444" s="473"/>
      <c r="T444" s="1164"/>
      <c r="U444" s="1164"/>
      <c r="V444" s="473"/>
      <c r="W444" s="473"/>
      <c r="X444" s="1164"/>
      <c r="Y444" s="473"/>
      <c r="Z444" s="473"/>
      <c r="AA444" s="1164"/>
      <c r="AB444" s="473"/>
      <c r="AC444" s="1164"/>
      <c r="AD444" s="473"/>
      <c r="AE444" s="1164"/>
      <c r="AF444" s="473"/>
      <c r="AG444" s="1164"/>
      <c r="AH444" s="473"/>
      <c r="AI444" s="473"/>
      <c r="AJ444" s="1164"/>
      <c r="AK444" s="473"/>
      <c r="AL444" s="473"/>
      <c r="AM444" s="1164"/>
      <c r="AN444" s="473"/>
      <c r="AO444" s="473"/>
      <c r="AP444" s="1164"/>
      <c r="AQ444" s="473"/>
      <c r="AR444" s="473"/>
      <c r="AS444" s="1236"/>
      <c r="AT444" s="473"/>
      <c r="AU444" s="473"/>
      <c r="AV444" s="1164"/>
      <c r="AW444" s="1164"/>
      <c r="AX444" s="1236"/>
      <c r="AY444" s="473"/>
      <c r="AZ444" s="1236"/>
      <c r="BA444" s="473"/>
      <c r="BB444" s="473"/>
      <c r="BC444" s="1164"/>
      <c r="BD444" s="20"/>
      <c r="BE444" s="473"/>
      <c r="BF444" s="610"/>
      <c r="BG444" s="610"/>
      <c r="BH444" s="610"/>
      <c r="BI444" s="610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</row>
    <row r="445" spans="1:148" s="22" customFormat="1" x14ac:dyDescent="0.25">
      <c r="A445" s="20"/>
      <c r="B445" s="16"/>
      <c r="C445" s="473"/>
      <c r="D445" s="473"/>
      <c r="E445" s="1164"/>
      <c r="F445" s="473"/>
      <c r="G445" s="473"/>
      <c r="H445" s="1164"/>
      <c r="I445" s="473"/>
      <c r="J445" s="473"/>
      <c r="K445" s="1164"/>
      <c r="L445" s="473"/>
      <c r="M445" s="473"/>
      <c r="N445" s="1164"/>
      <c r="O445" s="473"/>
      <c r="P445" s="473"/>
      <c r="Q445" s="1164"/>
      <c r="R445" s="473"/>
      <c r="S445" s="473"/>
      <c r="T445" s="1164"/>
      <c r="U445" s="1164"/>
      <c r="V445" s="473"/>
      <c r="W445" s="473"/>
      <c r="X445" s="1164"/>
      <c r="Y445" s="473"/>
      <c r="Z445" s="473"/>
      <c r="AA445" s="1164"/>
      <c r="AB445" s="473"/>
      <c r="AC445" s="1164"/>
      <c r="AD445" s="473"/>
      <c r="AE445" s="1164"/>
      <c r="AF445" s="473"/>
      <c r="AG445" s="1164"/>
      <c r="AH445" s="473"/>
      <c r="AI445" s="473"/>
      <c r="AJ445" s="1164"/>
      <c r="AK445" s="473"/>
      <c r="AL445" s="473"/>
      <c r="AM445" s="1164"/>
      <c r="AN445" s="473"/>
      <c r="AO445" s="473"/>
      <c r="AP445" s="1164"/>
      <c r="AQ445" s="473"/>
      <c r="AR445" s="473"/>
      <c r="AS445" s="1236"/>
      <c r="AT445" s="473"/>
      <c r="AU445" s="473"/>
      <c r="AV445" s="1164"/>
      <c r="AW445" s="1164"/>
      <c r="AX445" s="1236"/>
      <c r="AY445" s="473"/>
      <c r="AZ445" s="1236"/>
      <c r="BA445" s="473"/>
      <c r="BB445" s="473"/>
      <c r="BC445" s="1164"/>
      <c r="BD445" s="20"/>
      <c r="BE445" s="473"/>
      <c r="BF445" s="610"/>
      <c r="BG445" s="610"/>
      <c r="BH445" s="610"/>
      <c r="BI445" s="610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</row>
    <row r="446" spans="1:148" s="22" customFormat="1" x14ac:dyDescent="0.25">
      <c r="A446" s="20"/>
      <c r="B446" s="16"/>
      <c r="C446" s="473"/>
      <c r="D446" s="473"/>
      <c r="E446" s="1164"/>
      <c r="F446" s="473"/>
      <c r="G446" s="473"/>
      <c r="H446" s="1164"/>
      <c r="I446" s="473"/>
      <c r="J446" s="473"/>
      <c r="K446" s="1164"/>
      <c r="L446" s="473"/>
      <c r="M446" s="473"/>
      <c r="N446" s="1164"/>
      <c r="O446" s="473"/>
      <c r="P446" s="473"/>
      <c r="Q446" s="1164"/>
      <c r="R446" s="473"/>
      <c r="S446" s="473"/>
      <c r="T446" s="1164"/>
      <c r="U446" s="1164"/>
      <c r="V446" s="473"/>
      <c r="W446" s="473"/>
      <c r="X446" s="1164"/>
      <c r="Y446" s="473"/>
      <c r="Z446" s="473"/>
      <c r="AA446" s="1164"/>
      <c r="AB446" s="473"/>
      <c r="AC446" s="1164"/>
      <c r="AD446" s="473"/>
      <c r="AE446" s="1164"/>
      <c r="AF446" s="473"/>
      <c r="AG446" s="1164"/>
      <c r="AH446" s="473"/>
      <c r="AI446" s="473"/>
      <c r="AJ446" s="1164"/>
      <c r="AK446" s="473"/>
      <c r="AL446" s="473"/>
      <c r="AM446" s="1164"/>
      <c r="AN446" s="473"/>
      <c r="AO446" s="473"/>
      <c r="AP446" s="1164"/>
      <c r="AQ446" s="473"/>
      <c r="AR446" s="473"/>
      <c r="AS446" s="1236"/>
      <c r="AT446" s="473"/>
      <c r="AU446" s="473"/>
      <c r="AV446" s="1164"/>
      <c r="AW446" s="1164"/>
      <c r="AX446" s="1236"/>
      <c r="AY446" s="473"/>
      <c r="AZ446" s="1236"/>
      <c r="BA446" s="473"/>
      <c r="BB446" s="473"/>
      <c r="BC446" s="1164"/>
      <c r="BD446" s="20"/>
      <c r="BE446" s="473"/>
      <c r="BF446" s="610"/>
      <c r="BG446" s="610"/>
      <c r="BH446" s="610"/>
      <c r="BI446" s="610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</row>
    <row r="447" spans="1:148" s="22" customFormat="1" x14ac:dyDescent="0.25">
      <c r="A447" s="20"/>
      <c r="B447" s="16"/>
      <c r="C447" s="473"/>
      <c r="D447" s="473"/>
      <c r="E447" s="1164"/>
      <c r="F447" s="473"/>
      <c r="G447" s="473"/>
      <c r="H447" s="1164"/>
      <c r="I447" s="473"/>
      <c r="J447" s="473"/>
      <c r="K447" s="1164"/>
      <c r="L447" s="473"/>
      <c r="M447" s="473"/>
      <c r="N447" s="1164"/>
      <c r="O447" s="473"/>
      <c r="P447" s="473"/>
      <c r="Q447" s="1164"/>
      <c r="R447" s="473"/>
      <c r="S447" s="473"/>
      <c r="T447" s="1164"/>
      <c r="U447" s="1164"/>
      <c r="V447" s="473"/>
      <c r="W447" s="473"/>
      <c r="X447" s="1164"/>
      <c r="Y447" s="473"/>
      <c r="Z447" s="473"/>
      <c r="AA447" s="1164"/>
      <c r="AB447" s="473"/>
      <c r="AC447" s="1164"/>
      <c r="AD447" s="473"/>
      <c r="AE447" s="1164"/>
      <c r="AF447" s="473"/>
      <c r="AG447" s="1164"/>
      <c r="AH447" s="473"/>
      <c r="AI447" s="473"/>
      <c r="AJ447" s="1164"/>
      <c r="AK447" s="473"/>
      <c r="AL447" s="473"/>
      <c r="AM447" s="1164"/>
      <c r="AN447" s="473"/>
      <c r="AO447" s="473"/>
      <c r="AP447" s="1164"/>
      <c r="AQ447" s="473"/>
      <c r="AR447" s="473"/>
      <c r="AS447" s="1236"/>
      <c r="AT447" s="473"/>
      <c r="AU447" s="473"/>
      <c r="AV447" s="1164"/>
      <c r="AW447" s="1164"/>
      <c r="AX447" s="1236"/>
      <c r="AY447" s="473"/>
      <c r="AZ447" s="1236"/>
      <c r="BA447" s="473"/>
      <c r="BB447" s="473"/>
      <c r="BC447" s="1164"/>
      <c r="BD447" s="20"/>
      <c r="BE447" s="473"/>
      <c r="BF447" s="610"/>
      <c r="BG447" s="610"/>
      <c r="BH447" s="610"/>
      <c r="BI447" s="610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</row>
    <row r="448" spans="1:148" s="22" customFormat="1" x14ac:dyDescent="0.25">
      <c r="A448" s="20"/>
      <c r="B448" s="16"/>
      <c r="C448" s="473"/>
      <c r="D448" s="473"/>
      <c r="E448" s="1164"/>
      <c r="F448" s="473"/>
      <c r="G448" s="473"/>
      <c r="H448" s="1164"/>
      <c r="I448" s="473"/>
      <c r="J448" s="473"/>
      <c r="K448" s="1164"/>
      <c r="L448" s="473"/>
      <c r="M448" s="473"/>
      <c r="N448" s="1164"/>
      <c r="O448" s="473"/>
      <c r="P448" s="473"/>
      <c r="Q448" s="1164"/>
      <c r="R448" s="473"/>
      <c r="S448" s="473"/>
      <c r="T448" s="1164"/>
      <c r="U448" s="1164"/>
      <c r="V448" s="473"/>
      <c r="W448" s="473"/>
      <c r="X448" s="1164"/>
      <c r="Y448" s="473"/>
      <c r="Z448" s="473"/>
      <c r="AA448" s="1164"/>
      <c r="AB448" s="473"/>
      <c r="AC448" s="1164"/>
      <c r="AD448" s="473"/>
      <c r="AE448" s="1164"/>
      <c r="AF448" s="473"/>
      <c r="AG448" s="1164"/>
      <c r="AH448" s="473"/>
      <c r="AI448" s="473"/>
      <c r="AJ448" s="1164"/>
      <c r="AK448" s="473"/>
      <c r="AL448" s="473"/>
      <c r="AM448" s="1164"/>
      <c r="AN448" s="473"/>
      <c r="AO448" s="473"/>
      <c r="AP448" s="1164"/>
      <c r="AQ448" s="473"/>
      <c r="AR448" s="473"/>
      <c r="AS448" s="1236"/>
      <c r="AT448" s="473"/>
      <c r="AU448" s="473"/>
      <c r="AV448" s="1164"/>
      <c r="AW448" s="1164"/>
      <c r="AX448" s="1236"/>
      <c r="AY448" s="473"/>
      <c r="AZ448" s="1236"/>
      <c r="BA448" s="473"/>
      <c r="BB448" s="473"/>
      <c r="BC448" s="1164"/>
      <c r="BD448" s="20"/>
      <c r="BE448" s="473"/>
      <c r="BF448" s="610"/>
      <c r="BG448" s="610"/>
      <c r="BH448" s="610"/>
      <c r="BI448" s="610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</row>
    <row r="449" spans="1:148" s="22" customFormat="1" x14ac:dyDescent="0.25">
      <c r="A449" s="20"/>
      <c r="B449" s="16"/>
      <c r="C449" s="473"/>
      <c r="D449" s="473"/>
      <c r="E449" s="1164"/>
      <c r="F449" s="473"/>
      <c r="G449" s="473"/>
      <c r="H449" s="1164"/>
      <c r="I449" s="473"/>
      <c r="J449" s="473"/>
      <c r="K449" s="1164"/>
      <c r="L449" s="473"/>
      <c r="M449" s="473"/>
      <c r="N449" s="1164"/>
      <c r="O449" s="473"/>
      <c r="P449" s="473"/>
      <c r="Q449" s="1164"/>
      <c r="R449" s="473"/>
      <c r="S449" s="473"/>
      <c r="T449" s="1164"/>
      <c r="U449" s="1164"/>
      <c r="V449" s="473"/>
      <c r="W449" s="473"/>
      <c r="X449" s="1164"/>
      <c r="Y449" s="473"/>
      <c r="Z449" s="473"/>
      <c r="AA449" s="1164"/>
      <c r="AB449" s="473"/>
      <c r="AC449" s="1164"/>
      <c r="AD449" s="473"/>
      <c r="AE449" s="1164"/>
      <c r="AF449" s="473"/>
      <c r="AG449" s="1164"/>
      <c r="AH449" s="473"/>
      <c r="AI449" s="473"/>
      <c r="AJ449" s="1164"/>
      <c r="AK449" s="473"/>
      <c r="AL449" s="473"/>
      <c r="AM449" s="1164"/>
      <c r="AN449" s="473"/>
      <c r="AO449" s="473"/>
      <c r="AP449" s="1164"/>
      <c r="AQ449" s="473"/>
      <c r="AR449" s="473"/>
      <c r="AS449" s="1236"/>
      <c r="AT449" s="473"/>
      <c r="AU449" s="473"/>
      <c r="AV449" s="1164"/>
      <c r="AW449" s="1164"/>
      <c r="AX449" s="1236"/>
      <c r="AY449" s="473"/>
      <c r="AZ449" s="1236"/>
      <c r="BA449" s="473"/>
      <c r="BB449" s="473"/>
      <c r="BC449" s="1164"/>
      <c r="BD449" s="20"/>
      <c r="BE449" s="473"/>
      <c r="BF449" s="610"/>
      <c r="BG449" s="610"/>
      <c r="BH449" s="610"/>
      <c r="BI449" s="610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</row>
    <row r="450" spans="1:148" s="22" customFormat="1" x14ac:dyDescent="0.25">
      <c r="A450" s="20"/>
      <c r="B450" s="16"/>
      <c r="C450" s="473"/>
      <c r="D450" s="473"/>
      <c r="E450" s="1164"/>
      <c r="F450" s="473"/>
      <c r="G450" s="473"/>
      <c r="H450" s="1164"/>
      <c r="I450" s="473"/>
      <c r="J450" s="473"/>
      <c r="K450" s="1164"/>
      <c r="L450" s="473"/>
      <c r="M450" s="473"/>
      <c r="N450" s="1164"/>
      <c r="O450" s="473"/>
      <c r="P450" s="473"/>
      <c r="Q450" s="1164"/>
      <c r="R450" s="473"/>
      <c r="S450" s="473"/>
      <c r="T450" s="1164"/>
      <c r="U450" s="1164"/>
      <c r="V450" s="473"/>
      <c r="W450" s="473"/>
      <c r="X450" s="1164"/>
      <c r="Y450" s="473"/>
      <c r="Z450" s="473"/>
      <c r="AA450" s="1164"/>
      <c r="AB450" s="473"/>
      <c r="AC450" s="1164"/>
      <c r="AD450" s="473"/>
      <c r="AE450" s="1164"/>
      <c r="AF450" s="473"/>
      <c r="AG450" s="1164"/>
      <c r="AH450" s="473"/>
      <c r="AI450" s="473"/>
      <c r="AJ450" s="1164"/>
      <c r="AK450" s="473"/>
      <c r="AL450" s="473"/>
      <c r="AM450" s="1164"/>
      <c r="AN450" s="473"/>
      <c r="AO450" s="473"/>
      <c r="AP450" s="1164"/>
      <c r="AQ450" s="473"/>
      <c r="AR450" s="473"/>
      <c r="AS450" s="1236"/>
      <c r="AT450" s="473"/>
      <c r="AU450" s="473"/>
      <c r="AV450" s="1164"/>
      <c r="AW450" s="1164"/>
      <c r="AX450" s="1236"/>
      <c r="AY450" s="473"/>
      <c r="AZ450" s="1236"/>
      <c r="BA450" s="473"/>
      <c r="BB450" s="473"/>
      <c r="BC450" s="1164"/>
      <c r="BD450" s="20"/>
      <c r="BE450" s="473"/>
      <c r="BF450" s="610"/>
      <c r="BG450" s="610"/>
      <c r="BH450" s="610"/>
      <c r="BI450" s="610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</row>
    <row r="451" spans="1:148" s="22" customFormat="1" x14ac:dyDescent="0.25">
      <c r="A451" s="20"/>
      <c r="B451" s="16"/>
      <c r="C451" s="473"/>
      <c r="D451" s="473"/>
      <c r="E451" s="1164"/>
      <c r="F451" s="473"/>
      <c r="G451" s="473"/>
      <c r="H451" s="1164"/>
      <c r="I451" s="473"/>
      <c r="J451" s="473"/>
      <c r="K451" s="1164"/>
      <c r="L451" s="473"/>
      <c r="M451" s="473"/>
      <c r="N451" s="1164"/>
      <c r="O451" s="473"/>
      <c r="P451" s="473"/>
      <c r="Q451" s="1164"/>
      <c r="R451" s="473"/>
      <c r="S451" s="473"/>
      <c r="T451" s="1164"/>
      <c r="U451" s="1164"/>
      <c r="V451" s="473"/>
      <c r="W451" s="473"/>
      <c r="X451" s="1164"/>
      <c r="Y451" s="473"/>
      <c r="Z451" s="473"/>
      <c r="AA451" s="1164"/>
      <c r="AB451" s="473"/>
      <c r="AC451" s="1164"/>
      <c r="AD451" s="473"/>
      <c r="AE451" s="1164"/>
      <c r="AF451" s="473"/>
      <c r="AG451" s="1164"/>
      <c r="AH451" s="473"/>
      <c r="AI451" s="473"/>
      <c r="AJ451" s="1164"/>
      <c r="AK451" s="473"/>
      <c r="AL451" s="473"/>
      <c r="AM451" s="1164"/>
      <c r="AN451" s="473"/>
      <c r="AO451" s="473"/>
      <c r="AP451" s="1164"/>
      <c r="AQ451" s="473"/>
      <c r="AR451" s="473"/>
      <c r="AS451" s="1236"/>
      <c r="AT451" s="473"/>
      <c r="AU451" s="473"/>
      <c r="AV451" s="1164"/>
      <c r="AW451" s="1164"/>
      <c r="AX451" s="1236"/>
      <c r="AY451" s="473"/>
      <c r="AZ451" s="1236"/>
      <c r="BA451" s="473"/>
      <c r="BB451" s="473"/>
      <c r="BC451" s="1164"/>
      <c r="BD451" s="20"/>
      <c r="BE451" s="473"/>
      <c r="BF451" s="610"/>
      <c r="BG451" s="610"/>
      <c r="BH451" s="610"/>
      <c r="BI451" s="610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</row>
    <row r="452" spans="1:148" s="22" customFormat="1" x14ac:dyDescent="0.25">
      <c r="A452" s="20"/>
      <c r="B452" s="16"/>
      <c r="C452" s="473"/>
      <c r="D452" s="473"/>
      <c r="E452" s="1164"/>
      <c r="F452" s="473"/>
      <c r="G452" s="473"/>
      <c r="H452" s="1164"/>
      <c r="I452" s="473"/>
      <c r="J452" s="473"/>
      <c r="K452" s="1164"/>
      <c r="L452" s="473"/>
      <c r="M452" s="473"/>
      <c r="N452" s="1164"/>
      <c r="O452" s="473"/>
      <c r="P452" s="473"/>
      <c r="Q452" s="1164"/>
      <c r="R452" s="473"/>
      <c r="S452" s="473"/>
      <c r="T452" s="1164"/>
      <c r="U452" s="1164"/>
      <c r="V452" s="473"/>
      <c r="W452" s="473"/>
      <c r="X452" s="1164"/>
      <c r="Y452" s="473"/>
      <c r="Z452" s="473"/>
      <c r="AA452" s="1164"/>
      <c r="AB452" s="473"/>
      <c r="AC452" s="1164"/>
      <c r="AD452" s="473"/>
      <c r="AE452" s="1164"/>
      <c r="AF452" s="473"/>
      <c r="AG452" s="1164"/>
      <c r="AH452" s="473"/>
      <c r="AI452" s="473"/>
      <c r="AJ452" s="1164"/>
      <c r="AK452" s="473"/>
      <c r="AL452" s="473"/>
      <c r="AM452" s="1164"/>
      <c r="AN452" s="473"/>
      <c r="AO452" s="473"/>
      <c r="AP452" s="1164"/>
      <c r="AQ452" s="473"/>
      <c r="AR452" s="473"/>
      <c r="AS452" s="1236"/>
      <c r="AT452" s="473"/>
      <c r="AU452" s="473"/>
      <c r="AV452" s="1164"/>
      <c r="AW452" s="1164"/>
      <c r="AX452" s="1236"/>
      <c r="AY452" s="473"/>
      <c r="AZ452" s="1236"/>
      <c r="BA452" s="473"/>
      <c r="BB452" s="473"/>
      <c r="BC452" s="1164"/>
      <c r="BD452" s="20"/>
      <c r="BE452" s="473"/>
      <c r="BF452" s="610"/>
      <c r="BG452" s="610"/>
      <c r="BH452" s="610"/>
      <c r="BI452" s="610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</row>
    <row r="453" spans="1:148" s="22" customFormat="1" x14ac:dyDescent="0.25">
      <c r="A453" s="20"/>
      <c r="B453" s="16"/>
      <c r="C453" s="473"/>
      <c r="D453" s="473"/>
      <c r="E453" s="1164"/>
      <c r="F453" s="473"/>
      <c r="G453" s="473"/>
      <c r="H453" s="1164"/>
      <c r="I453" s="473"/>
      <c r="J453" s="473"/>
      <c r="K453" s="1164"/>
      <c r="L453" s="473"/>
      <c r="M453" s="473"/>
      <c r="N453" s="1164"/>
      <c r="O453" s="473"/>
      <c r="P453" s="473"/>
      <c r="Q453" s="1164"/>
      <c r="R453" s="473"/>
      <c r="S453" s="473"/>
      <c r="T453" s="1164"/>
      <c r="U453" s="1164"/>
      <c r="V453" s="473"/>
      <c r="W453" s="473"/>
      <c r="X453" s="1164"/>
      <c r="Y453" s="473"/>
      <c r="Z453" s="473"/>
      <c r="AA453" s="1164"/>
      <c r="AB453" s="473"/>
      <c r="AC453" s="1164"/>
      <c r="AD453" s="473"/>
      <c r="AE453" s="1164"/>
      <c r="AF453" s="473"/>
      <c r="AG453" s="1164"/>
      <c r="AH453" s="473"/>
      <c r="AI453" s="473"/>
      <c r="AJ453" s="1164"/>
      <c r="AK453" s="473"/>
      <c r="AL453" s="473"/>
      <c r="AM453" s="1164"/>
      <c r="AN453" s="473"/>
      <c r="AO453" s="473"/>
      <c r="AP453" s="1164"/>
      <c r="AQ453" s="473"/>
      <c r="AR453" s="473"/>
      <c r="AS453" s="1236"/>
      <c r="AT453" s="473"/>
      <c r="AU453" s="473"/>
      <c r="AV453" s="1164"/>
      <c r="AW453" s="1164"/>
      <c r="AX453" s="1236"/>
      <c r="AY453" s="473"/>
      <c r="AZ453" s="1236"/>
      <c r="BA453" s="473"/>
      <c r="BB453" s="473"/>
      <c r="BC453" s="1164"/>
      <c r="BD453" s="20"/>
      <c r="BE453" s="473"/>
      <c r="BF453" s="610"/>
      <c r="BG453" s="610"/>
      <c r="BH453" s="610"/>
      <c r="BI453" s="610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</row>
    <row r="454" spans="1:148" s="22" customFormat="1" x14ac:dyDescent="0.25">
      <c r="A454" s="20"/>
      <c r="B454" s="16"/>
      <c r="C454" s="473"/>
      <c r="D454" s="473"/>
      <c r="E454" s="1164"/>
      <c r="F454" s="473"/>
      <c r="G454" s="473"/>
      <c r="H454" s="1164"/>
      <c r="I454" s="473"/>
      <c r="J454" s="473"/>
      <c r="K454" s="1164"/>
      <c r="L454" s="473"/>
      <c r="M454" s="473"/>
      <c r="N454" s="1164"/>
      <c r="O454" s="473"/>
      <c r="P454" s="473"/>
      <c r="Q454" s="1164"/>
      <c r="R454" s="473"/>
      <c r="S454" s="473"/>
      <c r="T454" s="1164"/>
      <c r="U454" s="1164"/>
      <c r="V454" s="473"/>
      <c r="W454" s="473"/>
      <c r="X454" s="1164"/>
      <c r="Y454" s="473"/>
      <c r="Z454" s="473"/>
      <c r="AA454" s="1164"/>
      <c r="AB454" s="473"/>
      <c r="AC454" s="1164"/>
      <c r="AD454" s="473"/>
      <c r="AE454" s="1164"/>
      <c r="AF454" s="473"/>
      <c r="AG454" s="1164"/>
      <c r="AH454" s="473"/>
      <c r="AI454" s="473"/>
      <c r="AJ454" s="1164"/>
      <c r="AK454" s="473"/>
      <c r="AL454" s="473"/>
      <c r="AM454" s="1164"/>
      <c r="AN454" s="473"/>
      <c r="AO454" s="473"/>
      <c r="AP454" s="1164"/>
      <c r="AQ454" s="473"/>
      <c r="AR454" s="473"/>
      <c r="AS454" s="1236"/>
      <c r="AT454" s="473"/>
      <c r="AU454" s="473"/>
      <c r="AV454" s="1164"/>
      <c r="AW454" s="1164"/>
      <c r="AX454" s="1236"/>
      <c r="AY454" s="473"/>
      <c r="AZ454" s="1236"/>
      <c r="BA454" s="473"/>
      <c r="BB454" s="473"/>
      <c r="BC454" s="1164"/>
      <c r="BD454" s="20"/>
      <c r="BE454" s="473"/>
      <c r="BF454" s="610"/>
      <c r="BG454" s="610"/>
      <c r="BH454" s="610"/>
      <c r="BI454" s="610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</row>
    <row r="455" spans="1:148" s="22" customFormat="1" x14ac:dyDescent="0.25">
      <c r="A455" s="20"/>
      <c r="B455" s="16"/>
      <c r="C455" s="473"/>
      <c r="D455" s="473"/>
      <c r="E455" s="1164"/>
      <c r="F455" s="473"/>
      <c r="G455" s="473"/>
      <c r="H455" s="1164"/>
      <c r="I455" s="473"/>
      <c r="J455" s="473"/>
      <c r="K455" s="1164"/>
      <c r="L455" s="473"/>
      <c r="M455" s="473"/>
      <c r="N455" s="1164"/>
      <c r="O455" s="473"/>
      <c r="P455" s="473"/>
      <c r="Q455" s="1164"/>
      <c r="R455" s="473"/>
      <c r="S455" s="473"/>
      <c r="T455" s="1164"/>
      <c r="U455" s="1164"/>
      <c r="V455" s="473"/>
      <c r="W455" s="473"/>
      <c r="X455" s="1164"/>
      <c r="Y455" s="473"/>
      <c r="Z455" s="473"/>
      <c r="AA455" s="1164"/>
      <c r="AB455" s="473"/>
      <c r="AC455" s="1164"/>
      <c r="AD455" s="473"/>
      <c r="AE455" s="1164"/>
      <c r="AF455" s="473"/>
      <c r="AG455" s="1164"/>
      <c r="AH455" s="473"/>
      <c r="AI455" s="473"/>
      <c r="AJ455" s="1164"/>
      <c r="AK455" s="473"/>
      <c r="AL455" s="473"/>
      <c r="AM455" s="1164"/>
      <c r="AN455" s="473"/>
      <c r="AO455" s="473"/>
      <c r="AP455" s="1164"/>
      <c r="AQ455" s="473"/>
      <c r="AR455" s="473"/>
      <c r="AS455" s="1236"/>
      <c r="AT455" s="473"/>
      <c r="AU455" s="473"/>
      <c r="AV455" s="1164"/>
      <c r="AW455" s="1164"/>
      <c r="AX455" s="1236"/>
      <c r="AY455" s="473"/>
      <c r="AZ455" s="1236"/>
      <c r="BA455" s="473"/>
      <c r="BB455" s="473"/>
      <c r="BC455" s="1164"/>
      <c r="BD455" s="20"/>
      <c r="BE455" s="473"/>
      <c r="BF455" s="610"/>
      <c r="BG455" s="610"/>
      <c r="BH455" s="610"/>
      <c r="BI455" s="610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</row>
    <row r="456" spans="1:148" s="22" customFormat="1" x14ac:dyDescent="0.25">
      <c r="A456" s="20"/>
      <c r="B456" s="16"/>
      <c r="C456" s="473"/>
      <c r="D456" s="473"/>
      <c r="E456" s="1164"/>
      <c r="F456" s="473"/>
      <c r="G456" s="473"/>
      <c r="H456" s="1164"/>
      <c r="I456" s="473"/>
      <c r="J456" s="473"/>
      <c r="K456" s="1164"/>
      <c r="L456" s="473"/>
      <c r="M456" s="473"/>
      <c r="N456" s="1164"/>
      <c r="O456" s="473"/>
      <c r="P456" s="473"/>
      <c r="Q456" s="1164"/>
      <c r="R456" s="473"/>
      <c r="S456" s="473"/>
      <c r="T456" s="1164"/>
      <c r="U456" s="1164"/>
      <c r="V456" s="473"/>
      <c r="W456" s="473"/>
      <c r="X456" s="1164"/>
      <c r="Y456" s="473"/>
      <c r="Z456" s="473"/>
      <c r="AA456" s="1164"/>
      <c r="AB456" s="473"/>
      <c r="AC456" s="1164"/>
      <c r="AD456" s="473"/>
      <c r="AE456" s="1164"/>
      <c r="AF456" s="473"/>
      <c r="AG456" s="1164"/>
      <c r="AH456" s="473"/>
      <c r="AI456" s="473"/>
      <c r="AJ456" s="1164"/>
      <c r="AK456" s="473"/>
      <c r="AL456" s="473"/>
      <c r="AM456" s="1164"/>
      <c r="AN456" s="473"/>
      <c r="AO456" s="473"/>
      <c r="AP456" s="1164"/>
      <c r="AQ456" s="473"/>
      <c r="AR456" s="473"/>
      <c r="AS456" s="1236"/>
      <c r="AT456" s="473"/>
      <c r="AU456" s="473"/>
      <c r="AV456" s="1164"/>
      <c r="AW456" s="1164"/>
      <c r="AX456" s="1236"/>
      <c r="AY456" s="473"/>
      <c r="AZ456" s="1236"/>
      <c r="BA456" s="473"/>
      <c r="BB456" s="473"/>
      <c r="BC456" s="1164"/>
      <c r="BD456" s="20"/>
      <c r="BE456" s="473"/>
      <c r="BF456" s="610"/>
      <c r="BG456" s="610"/>
      <c r="BH456" s="610"/>
      <c r="BI456" s="610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</row>
    <row r="457" spans="1:148" s="22" customFormat="1" x14ac:dyDescent="0.25">
      <c r="A457" s="20"/>
      <c r="B457" s="16"/>
      <c r="C457" s="473"/>
      <c r="D457" s="473"/>
      <c r="E457" s="1164"/>
      <c r="F457" s="473"/>
      <c r="G457" s="473"/>
      <c r="H457" s="1164"/>
      <c r="I457" s="473"/>
      <c r="J457" s="473"/>
      <c r="K457" s="1164"/>
      <c r="L457" s="473"/>
      <c r="M457" s="473"/>
      <c r="N457" s="1164"/>
      <c r="O457" s="473"/>
      <c r="P457" s="473"/>
      <c r="Q457" s="1164"/>
      <c r="R457" s="473"/>
      <c r="S457" s="473"/>
      <c r="T457" s="1164"/>
      <c r="U457" s="1164"/>
      <c r="V457" s="473"/>
      <c r="W457" s="473"/>
      <c r="X457" s="1164"/>
      <c r="Y457" s="473"/>
      <c r="Z457" s="473"/>
      <c r="AA457" s="1164"/>
      <c r="AB457" s="473"/>
      <c r="AC457" s="1164"/>
      <c r="AD457" s="473"/>
      <c r="AE457" s="1164"/>
      <c r="AF457" s="473"/>
      <c r="AG457" s="1164"/>
      <c r="AH457" s="473"/>
      <c r="AI457" s="473"/>
      <c r="AJ457" s="1164"/>
      <c r="AK457" s="473"/>
      <c r="AL457" s="473"/>
      <c r="AM457" s="1164"/>
      <c r="AN457" s="473"/>
      <c r="AO457" s="473"/>
      <c r="AP457" s="1164"/>
      <c r="AQ457" s="473"/>
      <c r="AR457" s="473"/>
      <c r="AS457" s="1236"/>
      <c r="AT457" s="473"/>
      <c r="AU457" s="473"/>
      <c r="AV457" s="1164"/>
      <c r="AW457" s="1164"/>
      <c r="AX457" s="1236"/>
      <c r="AY457" s="473"/>
      <c r="AZ457" s="1236"/>
      <c r="BA457" s="473"/>
      <c r="BB457" s="473"/>
      <c r="BC457" s="1164"/>
      <c r="BD457" s="20"/>
      <c r="BE457" s="473"/>
      <c r="BF457" s="610"/>
      <c r="BG457" s="610"/>
      <c r="BH457" s="610"/>
      <c r="BI457" s="610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</row>
    <row r="458" spans="1:148" s="22" customFormat="1" x14ac:dyDescent="0.25">
      <c r="A458" s="20"/>
      <c r="B458" s="16"/>
      <c r="C458" s="473"/>
      <c r="D458" s="473"/>
      <c r="E458" s="1164"/>
      <c r="F458" s="473"/>
      <c r="G458" s="473"/>
      <c r="H458" s="1164"/>
      <c r="I458" s="473"/>
      <c r="J458" s="473"/>
      <c r="K458" s="1164"/>
      <c r="L458" s="473"/>
      <c r="M458" s="473"/>
      <c r="N458" s="1164"/>
      <c r="O458" s="473"/>
      <c r="P458" s="473"/>
      <c r="Q458" s="1164"/>
      <c r="R458" s="473"/>
      <c r="S458" s="473"/>
      <c r="T458" s="1164"/>
      <c r="U458" s="1164"/>
      <c r="V458" s="473"/>
      <c r="W458" s="473"/>
      <c r="X458" s="1164"/>
      <c r="Y458" s="473"/>
      <c r="Z458" s="473"/>
      <c r="AA458" s="1164"/>
      <c r="AB458" s="473"/>
      <c r="AC458" s="1164"/>
      <c r="AD458" s="473"/>
      <c r="AE458" s="1164"/>
      <c r="AF458" s="473"/>
      <c r="AG458" s="1164"/>
      <c r="AH458" s="473"/>
      <c r="AI458" s="473"/>
      <c r="AJ458" s="1164"/>
      <c r="AK458" s="473"/>
      <c r="AL458" s="473"/>
      <c r="AM458" s="1164"/>
      <c r="AN458" s="473"/>
      <c r="AO458" s="473"/>
      <c r="AP458" s="1164"/>
      <c r="AQ458" s="473"/>
      <c r="AR458" s="473"/>
      <c r="AS458" s="1236"/>
      <c r="AT458" s="473"/>
      <c r="AU458" s="473"/>
      <c r="AV458" s="1164"/>
      <c r="AW458" s="1164"/>
      <c r="AX458" s="1236"/>
      <c r="AY458" s="473"/>
      <c r="AZ458" s="1236"/>
      <c r="BA458" s="473"/>
      <c r="BB458" s="473"/>
      <c r="BC458" s="1164"/>
      <c r="BD458" s="20"/>
      <c r="BE458" s="473"/>
      <c r="BF458" s="610"/>
      <c r="BG458" s="610"/>
      <c r="BH458" s="610"/>
      <c r="BI458" s="610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</row>
    <row r="459" spans="1:148" s="22" customFormat="1" x14ac:dyDescent="0.25">
      <c r="A459" s="20"/>
      <c r="B459" s="16"/>
      <c r="C459" s="473"/>
      <c r="D459" s="473"/>
      <c r="E459" s="1164"/>
      <c r="F459" s="473"/>
      <c r="G459" s="473"/>
      <c r="H459" s="1164"/>
      <c r="I459" s="473"/>
      <c r="J459" s="473"/>
      <c r="K459" s="1164"/>
      <c r="L459" s="473"/>
      <c r="M459" s="473"/>
      <c r="N459" s="1164"/>
      <c r="O459" s="473"/>
      <c r="P459" s="473"/>
      <c r="Q459" s="1164"/>
      <c r="R459" s="473"/>
      <c r="S459" s="473"/>
      <c r="T459" s="1164"/>
      <c r="U459" s="1164"/>
      <c r="V459" s="473"/>
      <c r="W459" s="473"/>
      <c r="X459" s="1164"/>
      <c r="Y459" s="473"/>
      <c r="Z459" s="473"/>
      <c r="AA459" s="1164"/>
      <c r="AB459" s="473"/>
      <c r="AC459" s="1164"/>
      <c r="AD459" s="473"/>
      <c r="AE459" s="1164"/>
      <c r="AF459" s="473"/>
      <c r="AG459" s="1164"/>
      <c r="AH459" s="473"/>
      <c r="AI459" s="473"/>
      <c r="AJ459" s="1164"/>
      <c r="AK459" s="473"/>
      <c r="AL459" s="473"/>
      <c r="AM459" s="1164"/>
      <c r="AN459" s="473"/>
      <c r="AO459" s="473"/>
      <c r="AP459" s="1164"/>
      <c r="AQ459" s="473"/>
      <c r="AR459" s="473"/>
      <c r="AS459" s="1236"/>
      <c r="AT459" s="473"/>
      <c r="AU459" s="473"/>
      <c r="AV459" s="1164"/>
      <c r="AW459" s="1164"/>
      <c r="AX459" s="1236"/>
      <c r="AY459" s="473"/>
      <c r="AZ459" s="1236"/>
      <c r="BA459" s="473"/>
      <c r="BB459" s="473"/>
      <c r="BC459" s="1164"/>
      <c r="BD459" s="20"/>
      <c r="BE459" s="473"/>
      <c r="BF459" s="610"/>
      <c r="BG459" s="610"/>
      <c r="BH459" s="610"/>
      <c r="BI459" s="610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</row>
    <row r="460" spans="1:148" s="22" customFormat="1" x14ac:dyDescent="0.25">
      <c r="A460" s="20"/>
      <c r="B460" s="16"/>
      <c r="C460" s="473"/>
      <c r="D460" s="473"/>
      <c r="E460" s="1164"/>
      <c r="F460" s="473"/>
      <c r="G460" s="473"/>
      <c r="H460" s="1164"/>
      <c r="I460" s="473"/>
      <c r="J460" s="473"/>
      <c r="K460" s="1164"/>
      <c r="L460" s="473"/>
      <c r="M460" s="473"/>
      <c r="N460" s="1164"/>
      <c r="O460" s="473"/>
      <c r="P460" s="473"/>
      <c r="Q460" s="1164"/>
      <c r="R460" s="473"/>
      <c r="S460" s="473"/>
      <c r="T460" s="1164"/>
      <c r="U460" s="1164"/>
      <c r="V460" s="473"/>
      <c r="W460" s="473"/>
      <c r="X460" s="1164"/>
      <c r="Y460" s="473"/>
      <c r="Z460" s="473"/>
      <c r="AA460" s="1164"/>
      <c r="AB460" s="473"/>
      <c r="AC460" s="1164"/>
      <c r="AD460" s="473"/>
      <c r="AE460" s="1164"/>
      <c r="AF460" s="473"/>
      <c r="AG460" s="1164"/>
      <c r="AH460" s="473"/>
      <c r="AI460" s="473"/>
      <c r="AJ460" s="1164"/>
      <c r="AK460" s="473"/>
      <c r="AL460" s="473"/>
      <c r="AM460" s="1164"/>
      <c r="AN460" s="473"/>
      <c r="AO460" s="473"/>
      <c r="AP460" s="1164"/>
      <c r="AQ460" s="473"/>
      <c r="AR460" s="473"/>
      <c r="AS460" s="1236"/>
      <c r="AT460" s="473"/>
      <c r="AU460" s="473"/>
      <c r="AV460" s="1164"/>
      <c r="AW460" s="1164"/>
      <c r="AX460" s="1236"/>
      <c r="AY460" s="473"/>
      <c r="AZ460" s="1236"/>
      <c r="BA460" s="473"/>
      <c r="BB460" s="473"/>
      <c r="BC460" s="1164"/>
      <c r="BD460" s="20"/>
      <c r="BE460" s="473"/>
      <c r="BF460" s="610"/>
      <c r="BG460" s="610"/>
      <c r="BH460" s="610"/>
      <c r="BI460" s="610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</row>
    <row r="461" spans="1:148" s="22" customFormat="1" x14ac:dyDescent="0.25">
      <c r="A461" s="20"/>
      <c r="B461" s="16"/>
      <c r="C461" s="473"/>
      <c r="D461" s="473"/>
      <c r="E461" s="1164"/>
      <c r="F461" s="473"/>
      <c r="G461" s="473"/>
      <c r="H461" s="1164"/>
      <c r="I461" s="473"/>
      <c r="J461" s="473"/>
      <c r="K461" s="1164"/>
      <c r="L461" s="473"/>
      <c r="M461" s="473"/>
      <c r="N461" s="1164"/>
      <c r="O461" s="473"/>
      <c r="P461" s="473"/>
      <c r="Q461" s="1164"/>
      <c r="R461" s="473"/>
      <c r="S461" s="473"/>
      <c r="T461" s="1164"/>
      <c r="U461" s="1164"/>
      <c r="V461" s="473"/>
      <c r="W461" s="473"/>
      <c r="X461" s="1164"/>
      <c r="Y461" s="473"/>
      <c r="Z461" s="473"/>
      <c r="AA461" s="1164"/>
      <c r="AB461" s="473"/>
      <c r="AC461" s="1164"/>
      <c r="AD461" s="473"/>
      <c r="AE461" s="1164"/>
      <c r="AF461" s="473"/>
      <c r="AG461" s="1164"/>
      <c r="AH461" s="473"/>
      <c r="AI461" s="473"/>
      <c r="AJ461" s="1164"/>
      <c r="AK461" s="473"/>
      <c r="AL461" s="473"/>
      <c r="AM461" s="1164"/>
      <c r="AN461" s="473"/>
      <c r="AO461" s="473"/>
      <c r="AP461" s="1164"/>
      <c r="AQ461" s="473"/>
      <c r="AR461" s="473"/>
      <c r="AS461" s="1236"/>
      <c r="AT461" s="473"/>
      <c r="AU461" s="473"/>
      <c r="AV461" s="1164"/>
      <c r="AW461" s="1164"/>
      <c r="AX461" s="1236"/>
      <c r="AY461" s="473"/>
      <c r="AZ461" s="1236"/>
      <c r="BA461" s="473"/>
      <c r="BB461" s="473"/>
      <c r="BC461" s="1164"/>
      <c r="BD461" s="20"/>
      <c r="BE461" s="473"/>
      <c r="BF461" s="610"/>
      <c r="BG461" s="610"/>
      <c r="BH461" s="610"/>
      <c r="BI461" s="610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</row>
    <row r="462" spans="1:148" s="22" customFormat="1" x14ac:dyDescent="0.25">
      <c r="A462" s="20"/>
      <c r="B462" s="16"/>
      <c r="C462" s="473"/>
      <c r="D462" s="473"/>
      <c r="E462" s="1164"/>
      <c r="F462" s="473"/>
      <c r="G462" s="473"/>
      <c r="H462" s="1164"/>
      <c r="I462" s="473"/>
      <c r="J462" s="473"/>
      <c r="K462" s="1164"/>
      <c r="L462" s="473"/>
      <c r="M462" s="473"/>
      <c r="N462" s="1164"/>
      <c r="O462" s="473"/>
      <c r="P462" s="473"/>
      <c r="Q462" s="1164"/>
      <c r="R462" s="473"/>
      <c r="S462" s="473"/>
      <c r="T462" s="1164"/>
      <c r="U462" s="1164"/>
      <c r="V462" s="473"/>
      <c r="W462" s="473"/>
      <c r="X462" s="1164"/>
      <c r="Y462" s="473"/>
      <c r="Z462" s="473"/>
      <c r="AA462" s="1164"/>
      <c r="AB462" s="473"/>
      <c r="AC462" s="1164"/>
      <c r="AD462" s="473"/>
      <c r="AE462" s="1164"/>
      <c r="AF462" s="473"/>
      <c r="AG462" s="1164"/>
      <c r="AH462" s="473"/>
      <c r="AI462" s="473"/>
      <c r="AJ462" s="1164"/>
      <c r="AK462" s="473"/>
      <c r="AL462" s="473"/>
      <c r="AM462" s="1164"/>
      <c r="AN462" s="473"/>
      <c r="AO462" s="473"/>
      <c r="AP462" s="1164"/>
      <c r="AQ462" s="473"/>
      <c r="AR462" s="473"/>
      <c r="AS462" s="1236"/>
      <c r="AT462" s="473"/>
      <c r="AU462" s="473"/>
      <c r="AV462" s="1164"/>
      <c r="AW462" s="1164"/>
      <c r="AX462" s="1236"/>
      <c r="AY462" s="473"/>
      <c r="AZ462" s="1236"/>
      <c r="BA462" s="473"/>
      <c r="BB462" s="473"/>
      <c r="BC462" s="1164"/>
      <c r="BD462" s="20"/>
      <c r="BE462" s="473"/>
      <c r="BF462" s="610"/>
      <c r="BG462" s="610"/>
      <c r="BH462" s="610"/>
      <c r="BI462" s="610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</row>
    <row r="463" spans="1:148" s="22" customFormat="1" x14ac:dyDescent="0.25">
      <c r="A463" s="20"/>
      <c r="B463" s="16"/>
      <c r="C463" s="473"/>
      <c r="D463" s="473"/>
      <c r="E463" s="1164"/>
      <c r="F463" s="473"/>
      <c r="G463" s="473"/>
      <c r="H463" s="1164"/>
      <c r="I463" s="473"/>
      <c r="J463" s="473"/>
      <c r="K463" s="1164"/>
      <c r="L463" s="473"/>
      <c r="M463" s="473"/>
      <c r="N463" s="1164"/>
      <c r="O463" s="473"/>
      <c r="P463" s="473"/>
      <c r="Q463" s="1164"/>
      <c r="R463" s="473"/>
      <c r="S463" s="473"/>
      <c r="T463" s="1164"/>
      <c r="U463" s="1164"/>
      <c r="V463" s="473"/>
      <c r="W463" s="473"/>
      <c r="X463" s="1164"/>
      <c r="Y463" s="473"/>
      <c r="Z463" s="473"/>
      <c r="AA463" s="1164"/>
      <c r="AB463" s="473"/>
      <c r="AC463" s="1164"/>
      <c r="AD463" s="473"/>
      <c r="AE463" s="1164"/>
      <c r="AF463" s="473"/>
      <c r="AG463" s="1164"/>
      <c r="AH463" s="473"/>
      <c r="AI463" s="473"/>
      <c r="AJ463" s="1164"/>
      <c r="AK463" s="473"/>
      <c r="AL463" s="473"/>
      <c r="AM463" s="1164"/>
      <c r="AN463" s="473"/>
      <c r="AO463" s="473"/>
      <c r="AP463" s="1164"/>
      <c r="AQ463" s="473"/>
      <c r="AR463" s="473"/>
      <c r="AS463" s="1236"/>
      <c r="AT463" s="473"/>
      <c r="AU463" s="473"/>
      <c r="AV463" s="1164"/>
      <c r="AW463" s="1164"/>
      <c r="AX463" s="1236"/>
      <c r="AY463" s="473"/>
      <c r="AZ463" s="1236"/>
      <c r="BA463" s="473"/>
      <c r="BB463" s="473"/>
      <c r="BC463" s="1164"/>
      <c r="BD463" s="20"/>
      <c r="BE463" s="473"/>
      <c r="BF463" s="610"/>
      <c r="BG463" s="610"/>
      <c r="BH463" s="610"/>
      <c r="BI463" s="610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</row>
    <row r="464" spans="1:148" s="22" customFormat="1" x14ac:dyDescent="0.25">
      <c r="A464" s="20"/>
      <c r="B464" s="16"/>
      <c r="C464" s="473"/>
      <c r="D464" s="473"/>
      <c r="E464" s="1164"/>
      <c r="F464" s="473"/>
      <c r="G464" s="473"/>
      <c r="H464" s="1164"/>
      <c r="I464" s="473"/>
      <c r="J464" s="473"/>
      <c r="K464" s="1164"/>
      <c r="L464" s="473"/>
      <c r="M464" s="473"/>
      <c r="N464" s="1164"/>
      <c r="O464" s="473"/>
      <c r="P464" s="473"/>
      <c r="Q464" s="1164"/>
      <c r="R464" s="473"/>
      <c r="S464" s="473"/>
      <c r="T464" s="1164"/>
      <c r="U464" s="1164"/>
      <c r="V464" s="473"/>
      <c r="W464" s="473"/>
      <c r="X464" s="1164"/>
      <c r="Y464" s="473"/>
      <c r="Z464" s="473"/>
      <c r="AA464" s="1164"/>
      <c r="AB464" s="473"/>
      <c r="AC464" s="1164"/>
      <c r="AD464" s="473"/>
      <c r="AE464" s="1164"/>
      <c r="AF464" s="473"/>
      <c r="AG464" s="1164"/>
      <c r="AH464" s="473"/>
      <c r="AI464" s="473"/>
      <c r="AJ464" s="1164"/>
      <c r="AK464" s="473"/>
      <c r="AL464" s="473"/>
      <c r="AM464" s="1164"/>
      <c r="AN464" s="473"/>
      <c r="AO464" s="473"/>
      <c r="AP464" s="1164"/>
      <c r="AQ464" s="473"/>
      <c r="AR464" s="473"/>
      <c r="AS464" s="1236"/>
      <c r="AT464" s="473"/>
      <c r="AU464" s="473"/>
      <c r="AV464" s="1164"/>
      <c r="AW464" s="1164"/>
      <c r="AX464" s="1236"/>
      <c r="AY464" s="473"/>
      <c r="AZ464" s="1236"/>
      <c r="BA464" s="473"/>
      <c r="BB464" s="473"/>
      <c r="BC464" s="1164"/>
      <c r="BD464" s="20"/>
      <c r="BE464" s="473"/>
      <c r="BF464" s="610"/>
      <c r="BG464" s="610"/>
      <c r="BH464" s="610"/>
      <c r="BI464" s="610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</row>
    <row r="465" spans="1:148" s="22" customFormat="1" x14ac:dyDescent="0.25">
      <c r="A465" s="20"/>
      <c r="B465" s="16"/>
      <c r="C465" s="473"/>
      <c r="D465" s="473"/>
      <c r="E465" s="1164"/>
      <c r="F465" s="473"/>
      <c r="G465" s="473"/>
      <c r="H465" s="1164"/>
      <c r="I465" s="473"/>
      <c r="J465" s="473"/>
      <c r="K465" s="1164"/>
      <c r="L465" s="473"/>
      <c r="M465" s="473"/>
      <c r="N465" s="1164"/>
      <c r="O465" s="473"/>
      <c r="P465" s="473"/>
      <c r="Q465" s="1164"/>
      <c r="R465" s="473"/>
      <c r="S465" s="473"/>
      <c r="T465" s="1164"/>
      <c r="U465" s="1164"/>
      <c r="V465" s="473"/>
      <c r="W465" s="473"/>
      <c r="X465" s="1164"/>
      <c r="Y465" s="473"/>
      <c r="Z465" s="473"/>
      <c r="AA465" s="1164"/>
      <c r="AB465" s="473"/>
      <c r="AC465" s="1164"/>
      <c r="AD465" s="473"/>
      <c r="AE465" s="1164"/>
      <c r="AF465" s="473"/>
      <c r="AG465" s="1164"/>
      <c r="AH465" s="473"/>
      <c r="AI465" s="473"/>
      <c r="AJ465" s="1164"/>
      <c r="AK465" s="473"/>
      <c r="AL465" s="473"/>
      <c r="AM465" s="1164"/>
      <c r="AN465" s="473"/>
      <c r="AO465" s="473"/>
      <c r="AP465" s="1164"/>
      <c r="AQ465" s="473"/>
      <c r="AR465" s="473"/>
      <c r="AS465" s="1236"/>
      <c r="AT465" s="473"/>
      <c r="AU465" s="473"/>
      <c r="AV465" s="1164"/>
      <c r="AW465" s="1164"/>
      <c r="AX465" s="1236"/>
      <c r="AY465" s="473"/>
      <c r="AZ465" s="1236"/>
      <c r="BA465" s="473"/>
      <c r="BB465" s="473"/>
      <c r="BC465" s="1164"/>
      <c r="BD465" s="20"/>
      <c r="BE465" s="473"/>
      <c r="BF465" s="610"/>
      <c r="BG465" s="610"/>
      <c r="BH465" s="610"/>
      <c r="BI465" s="610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</row>
    <row r="466" spans="1:148" s="22" customFormat="1" x14ac:dyDescent="0.25">
      <c r="A466" s="20"/>
      <c r="B466" s="16"/>
      <c r="C466" s="473"/>
      <c r="D466" s="473"/>
      <c r="E466" s="1164"/>
      <c r="F466" s="473"/>
      <c r="G466" s="473"/>
      <c r="H466" s="1164"/>
      <c r="I466" s="473"/>
      <c r="J466" s="473"/>
      <c r="K466" s="1164"/>
      <c r="L466" s="473"/>
      <c r="M466" s="473"/>
      <c r="N466" s="1164"/>
      <c r="O466" s="473"/>
      <c r="P466" s="473"/>
      <c r="Q466" s="1164"/>
      <c r="R466" s="473"/>
      <c r="S466" s="473"/>
      <c r="T466" s="1164"/>
      <c r="U466" s="1164"/>
      <c r="V466" s="473"/>
      <c r="W466" s="473"/>
      <c r="X466" s="1164"/>
      <c r="Y466" s="473"/>
      <c r="Z466" s="473"/>
      <c r="AA466" s="1164"/>
      <c r="AB466" s="473"/>
      <c r="AC466" s="1164"/>
      <c r="AD466" s="473"/>
      <c r="AE466" s="1164"/>
      <c r="AF466" s="473"/>
      <c r="AG466" s="1164"/>
      <c r="AH466" s="473"/>
      <c r="AI466" s="473"/>
      <c r="AJ466" s="1164"/>
      <c r="AK466" s="473"/>
      <c r="AL466" s="473"/>
      <c r="AM466" s="1164"/>
      <c r="AN466" s="473"/>
      <c r="AO466" s="473"/>
      <c r="AP466" s="1164"/>
      <c r="AQ466" s="473"/>
      <c r="AR466" s="473"/>
      <c r="AS466" s="1236"/>
      <c r="AT466" s="473"/>
      <c r="AU466" s="473"/>
      <c r="AV466" s="1164"/>
      <c r="AW466" s="1164"/>
      <c r="AX466" s="1236"/>
      <c r="AY466" s="473"/>
      <c r="AZ466" s="1236"/>
      <c r="BA466" s="473"/>
      <c r="BB466" s="473"/>
      <c r="BC466" s="1164"/>
      <c r="BD466" s="20"/>
      <c r="BE466" s="473"/>
      <c r="BF466" s="610"/>
      <c r="BG466" s="610"/>
      <c r="BH466" s="610"/>
      <c r="BI466" s="610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</row>
    <row r="467" spans="1:148" s="22" customFormat="1" x14ac:dyDescent="0.25">
      <c r="A467" s="20"/>
      <c r="B467" s="16"/>
      <c r="C467" s="473"/>
      <c r="D467" s="473"/>
      <c r="E467" s="1164"/>
      <c r="F467" s="473"/>
      <c r="G467" s="473"/>
      <c r="H467" s="1164"/>
      <c r="I467" s="473"/>
      <c r="J467" s="473"/>
      <c r="K467" s="1164"/>
      <c r="L467" s="473"/>
      <c r="M467" s="473"/>
      <c r="N467" s="1164"/>
      <c r="O467" s="473"/>
      <c r="P467" s="473"/>
      <c r="Q467" s="1164"/>
      <c r="R467" s="473"/>
      <c r="S467" s="473"/>
      <c r="T467" s="1164"/>
      <c r="U467" s="1164"/>
      <c r="V467" s="473"/>
      <c r="W467" s="473"/>
      <c r="X467" s="1164"/>
      <c r="Y467" s="473"/>
      <c r="Z467" s="473"/>
      <c r="AA467" s="1164"/>
      <c r="AB467" s="473"/>
      <c r="AC467" s="1164"/>
      <c r="AD467" s="473"/>
      <c r="AE467" s="1164"/>
      <c r="AF467" s="473"/>
      <c r="AG467" s="1164"/>
      <c r="AH467" s="473"/>
      <c r="AI467" s="473"/>
      <c r="AJ467" s="1164"/>
      <c r="AK467" s="473"/>
      <c r="AL467" s="473"/>
      <c r="AM467" s="1164"/>
      <c r="AN467" s="473"/>
      <c r="AO467" s="473"/>
      <c r="AP467" s="1164"/>
      <c r="AQ467" s="473"/>
      <c r="AR467" s="473"/>
      <c r="AS467" s="1236"/>
      <c r="AT467" s="473"/>
      <c r="AU467" s="473"/>
      <c r="AV467" s="1164"/>
      <c r="AW467" s="1164"/>
      <c r="AX467" s="1236"/>
      <c r="AY467" s="473"/>
      <c r="AZ467" s="1236"/>
      <c r="BA467" s="473"/>
      <c r="BB467" s="473"/>
      <c r="BC467" s="1164"/>
      <c r="BD467" s="20"/>
      <c r="BE467" s="473"/>
      <c r="BF467" s="610"/>
      <c r="BG467" s="610"/>
      <c r="BH467" s="610"/>
      <c r="BI467" s="610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</row>
    <row r="468" spans="1:148" s="22" customFormat="1" x14ac:dyDescent="0.25">
      <c r="A468" s="20"/>
      <c r="B468" s="16"/>
      <c r="C468" s="473"/>
      <c r="D468" s="473"/>
      <c r="E468" s="1164"/>
      <c r="F468" s="473"/>
      <c r="G468" s="473"/>
      <c r="H468" s="1164"/>
      <c r="I468" s="473"/>
      <c r="J468" s="473"/>
      <c r="K468" s="1164"/>
      <c r="L468" s="473"/>
      <c r="M468" s="473"/>
      <c r="N468" s="1164"/>
      <c r="O468" s="473"/>
      <c r="P468" s="473"/>
      <c r="Q468" s="1164"/>
      <c r="R468" s="473"/>
      <c r="S468" s="473"/>
      <c r="T468" s="1164"/>
      <c r="U468" s="1164"/>
      <c r="V468" s="473"/>
      <c r="W468" s="473"/>
      <c r="X468" s="1164"/>
      <c r="Y468" s="473"/>
      <c r="Z468" s="473"/>
      <c r="AA468" s="1164"/>
      <c r="AB468" s="473"/>
      <c r="AC468" s="1164"/>
      <c r="AD468" s="473"/>
      <c r="AE468" s="1164"/>
      <c r="AF468" s="473"/>
      <c r="AG468" s="1164"/>
      <c r="AH468" s="473"/>
      <c r="AI468" s="473"/>
      <c r="AJ468" s="1164"/>
      <c r="AK468" s="473"/>
      <c r="AL468" s="473"/>
      <c r="AM468" s="1164"/>
      <c r="AN468" s="473"/>
      <c r="AO468" s="473"/>
      <c r="AP468" s="1164"/>
      <c r="AQ468" s="473"/>
      <c r="AR468" s="473"/>
      <c r="AS468" s="1236"/>
      <c r="AT468" s="473"/>
      <c r="AU468" s="473"/>
      <c r="AV468" s="1164"/>
      <c r="AW468" s="1164"/>
      <c r="AX468" s="1236"/>
      <c r="AY468" s="473"/>
      <c r="AZ468" s="1236"/>
      <c r="BA468" s="473"/>
      <c r="BB468" s="473"/>
      <c r="BC468" s="1164"/>
      <c r="BD468" s="20"/>
      <c r="BE468" s="473"/>
      <c r="BF468" s="610"/>
      <c r="BG468" s="610"/>
      <c r="BH468" s="610"/>
      <c r="BI468" s="610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</row>
    <row r="469" spans="1:148" s="22" customFormat="1" x14ac:dyDescent="0.25">
      <c r="A469" s="20"/>
      <c r="B469" s="16"/>
      <c r="C469" s="473"/>
      <c r="D469" s="473"/>
      <c r="E469" s="1164"/>
      <c r="F469" s="473"/>
      <c r="G469" s="473"/>
      <c r="H469" s="1164"/>
      <c r="I469" s="473"/>
      <c r="J469" s="473"/>
      <c r="K469" s="1164"/>
      <c r="L469" s="473"/>
      <c r="M469" s="473"/>
      <c r="N469" s="1164"/>
      <c r="O469" s="473"/>
      <c r="P469" s="473"/>
      <c r="Q469" s="1164"/>
      <c r="R469" s="473"/>
      <c r="S469" s="473"/>
      <c r="T469" s="1164"/>
      <c r="U469" s="1164"/>
      <c r="V469" s="473"/>
      <c r="W469" s="473"/>
      <c r="X469" s="1164"/>
      <c r="Y469" s="473"/>
      <c r="Z469" s="473"/>
      <c r="AA469" s="1164"/>
      <c r="AB469" s="473"/>
      <c r="AC469" s="1164"/>
      <c r="AD469" s="473"/>
      <c r="AE469" s="1164"/>
      <c r="AF469" s="473"/>
      <c r="AG469" s="1164"/>
      <c r="AH469" s="473"/>
      <c r="AI469" s="473"/>
      <c r="AJ469" s="1164"/>
      <c r="AK469" s="473"/>
      <c r="AL469" s="473"/>
      <c r="AM469" s="1164"/>
      <c r="AN469" s="473"/>
      <c r="AO469" s="473"/>
      <c r="AP469" s="1164"/>
      <c r="AQ469" s="473"/>
      <c r="AR469" s="473"/>
      <c r="AS469" s="1236"/>
      <c r="AT469" s="473"/>
      <c r="AU469" s="473"/>
      <c r="AV469" s="1164"/>
      <c r="AW469" s="1164"/>
      <c r="AX469" s="1236"/>
      <c r="AY469" s="473"/>
      <c r="AZ469" s="1236"/>
      <c r="BA469" s="473"/>
      <c r="BB469" s="473"/>
      <c r="BC469" s="1164"/>
      <c r="BD469" s="20"/>
      <c r="BE469" s="473"/>
      <c r="BF469" s="610"/>
      <c r="BG469" s="610"/>
      <c r="BH469" s="610"/>
      <c r="BI469" s="610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</row>
    <row r="470" spans="1:148" s="22" customFormat="1" x14ac:dyDescent="0.25">
      <c r="A470" s="20"/>
      <c r="B470" s="16"/>
      <c r="C470" s="473"/>
      <c r="D470" s="473"/>
      <c r="E470" s="1164"/>
      <c r="F470" s="473"/>
      <c r="G470" s="473"/>
      <c r="H470" s="1164"/>
      <c r="I470" s="473"/>
      <c r="J470" s="473"/>
      <c r="K470" s="1164"/>
      <c r="L470" s="473"/>
      <c r="M470" s="473"/>
      <c r="N470" s="1164"/>
      <c r="O470" s="473"/>
      <c r="P470" s="473"/>
      <c r="Q470" s="1164"/>
      <c r="R470" s="473"/>
      <c r="S470" s="473"/>
      <c r="T470" s="1164"/>
      <c r="U470" s="1164"/>
      <c r="V470" s="473"/>
      <c r="W470" s="473"/>
      <c r="X470" s="1164"/>
      <c r="Y470" s="473"/>
      <c r="Z470" s="473"/>
      <c r="AA470" s="1164"/>
      <c r="AB470" s="473"/>
      <c r="AC470" s="1164"/>
      <c r="AD470" s="473"/>
      <c r="AE470" s="1164"/>
      <c r="AF470" s="473"/>
      <c r="AG470" s="1164"/>
      <c r="AH470" s="473"/>
      <c r="AI470" s="473"/>
      <c r="AJ470" s="1164"/>
      <c r="AK470" s="473"/>
      <c r="AL470" s="473"/>
      <c r="AM470" s="1164"/>
      <c r="AN470" s="473"/>
      <c r="AO470" s="473"/>
      <c r="AP470" s="1164"/>
      <c r="AQ470" s="473"/>
      <c r="AR470" s="473"/>
      <c r="AS470" s="1236"/>
      <c r="AT470" s="473"/>
      <c r="AU470" s="473"/>
      <c r="AV470" s="1164"/>
      <c r="AW470" s="1164"/>
      <c r="AX470" s="1236"/>
      <c r="AY470" s="473"/>
      <c r="AZ470" s="1236"/>
      <c r="BA470" s="473"/>
      <c r="BB470" s="473"/>
      <c r="BC470" s="1164"/>
      <c r="BD470" s="20"/>
      <c r="BE470" s="473"/>
      <c r="BF470" s="610"/>
      <c r="BG470" s="610"/>
      <c r="BH470" s="610"/>
      <c r="BI470" s="610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</row>
    <row r="471" spans="1:148" s="22" customFormat="1" x14ac:dyDescent="0.25">
      <c r="A471" s="20"/>
      <c r="B471" s="16"/>
      <c r="C471" s="473"/>
      <c r="D471" s="473"/>
      <c r="E471" s="1164"/>
      <c r="F471" s="473"/>
      <c r="G471" s="473"/>
      <c r="H471" s="1164"/>
      <c r="I471" s="473"/>
      <c r="J471" s="473"/>
      <c r="K471" s="1164"/>
      <c r="L471" s="473"/>
      <c r="M471" s="473"/>
      <c r="N471" s="1164"/>
      <c r="O471" s="473"/>
      <c r="P471" s="473"/>
      <c r="Q471" s="1164"/>
      <c r="R471" s="473"/>
      <c r="S471" s="473"/>
      <c r="T471" s="1164"/>
      <c r="U471" s="1164"/>
      <c r="V471" s="473"/>
      <c r="W471" s="473"/>
      <c r="X471" s="1164"/>
      <c r="Y471" s="473"/>
      <c r="Z471" s="473"/>
      <c r="AA471" s="1164"/>
      <c r="AB471" s="473"/>
      <c r="AC471" s="1164"/>
      <c r="AD471" s="473"/>
      <c r="AE471" s="1164"/>
      <c r="AF471" s="473"/>
      <c r="AG471" s="1164"/>
      <c r="AH471" s="473"/>
      <c r="AI471" s="473"/>
      <c r="AJ471" s="1164"/>
      <c r="AK471" s="473"/>
      <c r="AL471" s="473"/>
      <c r="AM471" s="1164"/>
      <c r="AN471" s="473"/>
      <c r="AO471" s="473"/>
      <c r="AP471" s="1164"/>
      <c r="AQ471" s="473"/>
      <c r="AR471" s="473"/>
      <c r="AS471" s="1236"/>
      <c r="AT471" s="473"/>
      <c r="AU471" s="473"/>
      <c r="AV471" s="1164"/>
      <c r="AW471" s="1164"/>
      <c r="AX471" s="1236"/>
      <c r="AY471" s="473"/>
      <c r="AZ471" s="1236"/>
      <c r="BA471" s="473"/>
      <c r="BB471" s="473"/>
      <c r="BC471" s="1164"/>
      <c r="BD471" s="20"/>
      <c r="BE471" s="473"/>
      <c r="BF471" s="610"/>
      <c r="BG471" s="610"/>
      <c r="BH471" s="610"/>
      <c r="BI471" s="610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</row>
    <row r="472" spans="1:148" s="22" customFormat="1" x14ac:dyDescent="0.25">
      <c r="A472" s="20"/>
      <c r="B472" s="16"/>
      <c r="C472" s="473"/>
      <c r="D472" s="473"/>
      <c r="E472" s="1164"/>
      <c r="F472" s="473"/>
      <c r="G472" s="473"/>
      <c r="H472" s="1164"/>
      <c r="I472" s="473"/>
      <c r="J472" s="473"/>
      <c r="K472" s="1164"/>
      <c r="L472" s="473"/>
      <c r="M472" s="473"/>
      <c r="N472" s="1164"/>
      <c r="O472" s="473"/>
      <c r="P472" s="473"/>
      <c r="Q472" s="1164"/>
      <c r="R472" s="473"/>
      <c r="S472" s="473"/>
      <c r="T472" s="1164"/>
      <c r="U472" s="1164"/>
      <c r="V472" s="473"/>
      <c r="W472" s="473"/>
      <c r="X472" s="1164"/>
      <c r="Y472" s="473"/>
      <c r="Z472" s="473"/>
      <c r="AA472" s="1164"/>
      <c r="AB472" s="473"/>
      <c r="AC472" s="1164"/>
      <c r="AD472" s="473"/>
      <c r="AE472" s="1164"/>
      <c r="AF472" s="473"/>
      <c r="AG472" s="1164"/>
      <c r="AH472" s="473"/>
      <c r="AI472" s="473"/>
      <c r="AJ472" s="1164"/>
      <c r="AK472" s="473"/>
      <c r="AL472" s="473"/>
      <c r="AM472" s="1164"/>
      <c r="AN472" s="473"/>
      <c r="AO472" s="473"/>
      <c r="AP472" s="1164"/>
      <c r="AQ472" s="473"/>
      <c r="AR472" s="473"/>
      <c r="AS472" s="1236"/>
      <c r="AT472" s="473"/>
      <c r="AU472" s="473"/>
      <c r="AV472" s="1164"/>
      <c r="AW472" s="1164"/>
      <c r="AX472" s="1236"/>
      <c r="AY472" s="473"/>
      <c r="AZ472" s="1236"/>
      <c r="BA472" s="473"/>
      <c r="BB472" s="473"/>
      <c r="BC472" s="1164"/>
      <c r="BD472" s="20"/>
      <c r="BE472" s="473"/>
      <c r="BF472" s="610"/>
      <c r="BG472" s="610"/>
      <c r="BH472" s="610"/>
      <c r="BI472" s="610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</row>
    <row r="473" spans="1:148" s="22" customFormat="1" x14ac:dyDescent="0.25">
      <c r="A473" s="20"/>
      <c r="B473" s="16"/>
      <c r="C473" s="473"/>
      <c r="D473" s="473"/>
      <c r="E473" s="1164"/>
      <c r="F473" s="473"/>
      <c r="G473" s="473"/>
      <c r="H473" s="1164"/>
      <c r="I473" s="473"/>
      <c r="J473" s="473"/>
      <c r="K473" s="1164"/>
      <c r="L473" s="473"/>
      <c r="M473" s="473"/>
      <c r="N473" s="1164"/>
      <c r="O473" s="473"/>
      <c r="P473" s="473"/>
      <c r="Q473" s="1164"/>
      <c r="R473" s="473"/>
      <c r="S473" s="473"/>
      <c r="T473" s="1164"/>
      <c r="U473" s="1164"/>
      <c r="V473" s="473"/>
      <c r="W473" s="473"/>
      <c r="X473" s="1164"/>
      <c r="Y473" s="473"/>
      <c r="Z473" s="473"/>
      <c r="AA473" s="1164"/>
      <c r="AB473" s="473"/>
      <c r="AC473" s="1164"/>
      <c r="AD473" s="473"/>
      <c r="AE473" s="1164"/>
      <c r="AF473" s="473"/>
      <c r="AG473" s="1164"/>
      <c r="AH473" s="473"/>
      <c r="AI473" s="473"/>
      <c r="AJ473" s="1164"/>
      <c r="AK473" s="473"/>
      <c r="AL473" s="473"/>
      <c r="AM473" s="1164"/>
      <c r="AN473" s="473"/>
      <c r="AO473" s="473"/>
      <c r="AP473" s="1164"/>
      <c r="AQ473" s="473"/>
      <c r="AR473" s="473"/>
      <c r="AS473" s="1236"/>
      <c r="AT473" s="473"/>
      <c r="AU473" s="473"/>
      <c r="AV473" s="1164"/>
      <c r="AW473" s="1164"/>
      <c r="AX473" s="1236"/>
      <c r="AY473" s="473"/>
      <c r="AZ473" s="1236"/>
      <c r="BA473" s="473"/>
      <c r="BB473" s="473"/>
      <c r="BC473" s="1164"/>
      <c r="BD473" s="20"/>
      <c r="BE473" s="473"/>
      <c r="BF473" s="610"/>
      <c r="BG473" s="610"/>
      <c r="BH473" s="610"/>
      <c r="BI473" s="610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</row>
    <row r="474" spans="1:148" s="22" customFormat="1" x14ac:dyDescent="0.25">
      <c r="A474" s="20"/>
      <c r="B474" s="16"/>
      <c r="C474" s="473"/>
      <c r="D474" s="473"/>
      <c r="E474" s="1164"/>
      <c r="F474" s="473"/>
      <c r="G474" s="473"/>
      <c r="H474" s="1164"/>
      <c r="I474" s="473"/>
      <c r="J474" s="473"/>
      <c r="K474" s="1164"/>
      <c r="L474" s="473"/>
      <c r="M474" s="473"/>
      <c r="N474" s="1164"/>
      <c r="O474" s="473"/>
      <c r="P474" s="473"/>
      <c r="Q474" s="1164"/>
      <c r="R474" s="473"/>
      <c r="S474" s="473"/>
      <c r="T474" s="1164"/>
      <c r="U474" s="1164"/>
      <c r="V474" s="473"/>
      <c r="W474" s="473"/>
      <c r="X474" s="1164"/>
      <c r="Y474" s="473"/>
      <c r="Z474" s="473"/>
      <c r="AA474" s="1164"/>
      <c r="AB474" s="473"/>
      <c r="AC474" s="1164"/>
      <c r="AD474" s="473"/>
      <c r="AE474" s="1164"/>
      <c r="AF474" s="473"/>
      <c r="AG474" s="1164"/>
      <c r="AH474" s="473"/>
      <c r="AI474" s="473"/>
      <c r="AJ474" s="1164"/>
      <c r="AK474" s="473"/>
      <c r="AL474" s="473"/>
      <c r="AM474" s="1164"/>
      <c r="AN474" s="473"/>
      <c r="AO474" s="473"/>
      <c r="AP474" s="1164"/>
      <c r="AQ474" s="473"/>
      <c r="AR474" s="473"/>
      <c r="AS474" s="1236"/>
      <c r="AT474" s="473"/>
      <c r="AU474" s="473"/>
      <c r="AV474" s="1164"/>
      <c r="AW474" s="1164"/>
      <c r="AX474" s="1236"/>
      <c r="AY474" s="473"/>
      <c r="AZ474" s="1236"/>
      <c r="BA474" s="473"/>
      <c r="BB474" s="473"/>
      <c r="BC474" s="1164"/>
      <c r="BD474" s="20"/>
      <c r="BE474" s="473"/>
      <c r="BF474" s="610"/>
      <c r="BG474" s="610"/>
      <c r="BH474" s="610"/>
      <c r="BI474" s="610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</row>
    <row r="475" spans="1:148" s="22" customFormat="1" x14ac:dyDescent="0.25">
      <c r="A475" s="20"/>
      <c r="B475" s="16"/>
      <c r="C475" s="473"/>
      <c r="D475" s="473"/>
      <c r="E475" s="1164"/>
      <c r="F475" s="473"/>
      <c r="G475" s="473"/>
      <c r="H475" s="1164"/>
      <c r="I475" s="473"/>
      <c r="J475" s="473"/>
      <c r="K475" s="1164"/>
      <c r="L475" s="473"/>
      <c r="M475" s="473"/>
      <c r="N475" s="1164"/>
      <c r="O475" s="473"/>
      <c r="P475" s="473"/>
      <c r="Q475" s="1164"/>
      <c r="R475" s="473"/>
      <c r="S475" s="473"/>
      <c r="T475" s="1164"/>
      <c r="U475" s="1164"/>
      <c r="V475" s="473"/>
      <c r="W475" s="473"/>
      <c r="X475" s="1164"/>
      <c r="Y475" s="473"/>
      <c r="Z475" s="473"/>
      <c r="AA475" s="1164"/>
      <c r="AB475" s="473"/>
      <c r="AC475" s="1164"/>
      <c r="AD475" s="473"/>
      <c r="AE475" s="1164"/>
      <c r="AF475" s="473"/>
      <c r="AG475" s="1164"/>
      <c r="AH475" s="473"/>
      <c r="AI475" s="473"/>
      <c r="AJ475" s="1164"/>
      <c r="AK475" s="473"/>
      <c r="AL475" s="473"/>
      <c r="AM475" s="1164"/>
      <c r="AN475" s="473"/>
      <c r="AO475" s="473"/>
      <c r="AP475" s="1164"/>
      <c r="AQ475" s="473"/>
      <c r="AR475" s="473"/>
      <c r="AS475" s="1236"/>
      <c r="AT475" s="473"/>
      <c r="AU475" s="473"/>
      <c r="AV475" s="1164"/>
      <c r="AW475" s="1164"/>
      <c r="AX475" s="1236"/>
      <c r="AY475" s="473"/>
      <c r="AZ475" s="1236"/>
      <c r="BA475" s="473"/>
      <c r="BB475" s="473"/>
      <c r="BC475" s="1164"/>
      <c r="BD475" s="20"/>
      <c r="BE475" s="473"/>
      <c r="BF475" s="610"/>
      <c r="BG475" s="610"/>
      <c r="BH475" s="610"/>
      <c r="BI475" s="610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</row>
    <row r="476" spans="1:148" s="22" customFormat="1" x14ac:dyDescent="0.25">
      <c r="A476" s="20"/>
      <c r="B476" s="16"/>
      <c r="C476" s="473"/>
      <c r="D476" s="473"/>
      <c r="E476" s="1164"/>
      <c r="F476" s="473"/>
      <c r="G476" s="473"/>
      <c r="H476" s="1164"/>
      <c r="I476" s="473"/>
      <c r="J476" s="473"/>
      <c r="K476" s="1164"/>
      <c r="L476" s="473"/>
      <c r="M476" s="473"/>
      <c r="N476" s="1164"/>
      <c r="O476" s="473"/>
      <c r="P476" s="473"/>
      <c r="Q476" s="1164"/>
      <c r="R476" s="473"/>
      <c r="S476" s="473"/>
      <c r="T476" s="1164"/>
      <c r="U476" s="1164"/>
      <c r="V476" s="473"/>
      <c r="W476" s="473"/>
      <c r="X476" s="1164"/>
      <c r="Y476" s="473"/>
      <c r="Z476" s="473"/>
      <c r="AA476" s="1164"/>
      <c r="AB476" s="473"/>
      <c r="AC476" s="1164"/>
      <c r="AD476" s="473"/>
      <c r="AE476" s="1164"/>
      <c r="AF476" s="473"/>
      <c r="AG476" s="1164"/>
      <c r="AH476" s="473"/>
      <c r="AI476" s="473"/>
      <c r="AJ476" s="1164"/>
      <c r="AK476" s="473"/>
      <c r="AL476" s="473"/>
      <c r="AM476" s="1164"/>
      <c r="AN476" s="473"/>
      <c r="AO476" s="473"/>
      <c r="AP476" s="1164"/>
      <c r="AQ476" s="473"/>
      <c r="AR476" s="473"/>
      <c r="AS476" s="1236"/>
      <c r="AT476" s="473"/>
      <c r="AU476" s="473"/>
      <c r="AV476" s="1164"/>
      <c r="AW476" s="1164"/>
      <c r="AX476" s="1236"/>
      <c r="AY476" s="473"/>
      <c r="AZ476" s="1236"/>
      <c r="BA476" s="473"/>
      <c r="BB476" s="473"/>
      <c r="BC476" s="1164"/>
      <c r="BD476" s="20"/>
      <c r="BE476" s="473"/>
      <c r="BF476" s="610"/>
      <c r="BG476" s="610"/>
      <c r="BH476" s="610"/>
      <c r="BI476" s="610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</row>
    <row r="477" spans="1:148" s="22" customFormat="1" x14ac:dyDescent="0.25">
      <c r="A477" s="20"/>
      <c r="B477" s="16"/>
      <c r="C477" s="473"/>
      <c r="D477" s="473"/>
      <c r="E477" s="1164"/>
      <c r="F477" s="473"/>
      <c r="G477" s="473"/>
      <c r="H477" s="1164"/>
      <c r="I477" s="473"/>
      <c r="J477" s="473"/>
      <c r="K477" s="1164"/>
      <c r="L477" s="473"/>
      <c r="M477" s="473"/>
      <c r="N477" s="1164"/>
      <c r="O477" s="473"/>
      <c r="P477" s="473"/>
      <c r="Q477" s="1164"/>
      <c r="R477" s="473"/>
      <c r="S477" s="473"/>
      <c r="T477" s="1164"/>
      <c r="U477" s="1164"/>
      <c r="V477" s="473"/>
      <c r="W477" s="473"/>
      <c r="X477" s="1164"/>
      <c r="Y477" s="473"/>
      <c r="Z477" s="473"/>
      <c r="AA477" s="1164"/>
      <c r="AB477" s="473"/>
      <c r="AC477" s="1164"/>
      <c r="AD477" s="473"/>
      <c r="AE477" s="1164"/>
      <c r="AF477" s="473"/>
      <c r="AG477" s="1164"/>
      <c r="AH477" s="473"/>
      <c r="AI477" s="473"/>
      <c r="AJ477" s="1164"/>
      <c r="AK477" s="473"/>
      <c r="AL477" s="473"/>
      <c r="AM477" s="1164"/>
      <c r="AN477" s="473"/>
      <c r="AO477" s="473"/>
      <c r="AP477" s="1164"/>
      <c r="AQ477" s="473"/>
      <c r="AR477" s="473"/>
      <c r="AS477" s="1236"/>
      <c r="AT477" s="473"/>
      <c r="AU477" s="473"/>
      <c r="AV477" s="1164"/>
      <c r="AW477" s="1164"/>
      <c r="AX477" s="1236"/>
      <c r="AY477" s="473"/>
      <c r="AZ477" s="1236"/>
      <c r="BA477" s="473"/>
      <c r="BB477" s="473"/>
      <c r="BC477" s="1164"/>
      <c r="BD477" s="20"/>
      <c r="BE477" s="473"/>
      <c r="BF477" s="610"/>
      <c r="BG477" s="610"/>
      <c r="BH477" s="610"/>
      <c r="BI477" s="610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</row>
    <row r="478" spans="1:148" s="22" customFormat="1" x14ac:dyDescent="0.25">
      <c r="A478" s="20"/>
      <c r="B478" s="16"/>
      <c r="C478" s="473"/>
      <c r="D478" s="473"/>
      <c r="E478" s="1164"/>
      <c r="F478" s="473"/>
      <c r="G478" s="473"/>
      <c r="H478" s="1164"/>
      <c r="I478" s="473"/>
      <c r="J478" s="473"/>
      <c r="K478" s="1164"/>
      <c r="L478" s="473"/>
      <c r="M478" s="473"/>
      <c r="N478" s="1164"/>
      <c r="O478" s="473"/>
      <c r="P478" s="473"/>
      <c r="Q478" s="1164"/>
      <c r="R478" s="473"/>
      <c r="S478" s="473"/>
      <c r="T478" s="1164"/>
      <c r="U478" s="1164"/>
      <c r="V478" s="473"/>
      <c r="W478" s="473"/>
      <c r="X478" s="1164"/>
      <c r="Y478" s="473"/>
      <c r="Z478" s="473"/>
      <c r="AA478" s="1164"/>
      <c r="AB478" s="473"/>
      <c r="AC478" s="1164"/>
      <c r="AD478" s="473"/>
      <c r="AE478" s="1164"/>
      <c r="AF478" s="473"/>
      <c r="AG478" s="1164"/>
      <c r="AH478" s="473"/>
      <c r="AI478" s="473"/>
      <c r="AJ478" s="1164"/>
      <c r="AK478" s="473"/>
      <c r="AL478" s="473"/>
      <c r="AM478" s="1164"/>
      <c r="AN478" s="473"/>
      <c r="AO478" s="473"/>
      <c r="AP478" s="1164"/>
      <c r="AQ478" s="473"/>
      <c r="AR478" s="473"/>
      <c r="AS478" s="1236"/>
      <c r="AT478" s="473"/>
      <c r="AU478" s="473"/>
      <c r="AV478" s="1164"/>
      <c r="AW478" s="1164"/>
      <c r="AX478" s="1236"/>
      <c r="AY478" s="473"/>
      <c r="AZ478" s="1236"/>
      <c r="BA478" s="473"/>
      <c r="BB478" s="473"/>
      <c r="BC478" s="1164"/>
      <c r="BD478" s="20"/>
      <c r="BE478" s="473"/>
      <c r="BF478" s="610"/>
      <c r="BG478" s="610"/>
      <c r="BH478" s="610"/>
      <c r="BI478" s="610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</row>
    <row r="479" spans="1:148" s="22" customFormat="1" x14ac:dyDescent="0.25">
      <c r="A479" s="20"/>
      <c r="B479" s="16"/>
      <c r="C479" s="473"/>
      <c r="D479" s="473"/>
      <c r="E479" s="1164"/>
      <c r="F479" s="473"/>
      <c r="G479" s="473"/>
      <c r="H479" s="1164"/>
      <c r="I479" s="473"/>
      <c r="J479" s="473"/>
      <c r="K479" s="1164"/>
      <c r="L479" s="473"/>
      <c r="M479" s="473"/>
      <c r="N479" s="1164"/>
      <c r="O479" s="473"/>
      <c r="P479" s="473"/>
      <c r="Q479" s="1164"/>
      <c r="R479" s="473"/>
      <c r="S479" s="473"/>
      <c r="T479" s="1164"/>
      <c r="U479" s="1164"/>
      <c r="V479" s="473"/>
      <c r="W479" s="473"/>
      <c r="X479" s="1164"/>
      <c r="Y479" s="473"/>
      <c r="Z479" s="473"/>
      <c r="AA479" s="1164"/>
      <c r="AB479" s="473"/>
      <c r="AC479" s="1164"/>
      <c r="AD479" s="473"/>
      <c r="AE479" s="1164"/>
      <c r="AF479" s="473"/>
      <c r="AG479" s="1164"/>
      <c r="AH479" s="473"/>
      <c r="AI479" s="473"/>
      <c r="AJ479" s="1164"/>
      <c r="AK479" s="473"/>
      <c r="AL479" s="473"/>
      <c r="AM479" s="1164"/>
      <c r="AN479" s="473"/>
      <c r="AO479" s="473"/>
      <c r="AP479" s="1164"/>
      <c r="AQ479" s="473"/>
      <c r="AR479" s="473"/>
      <c r="AS479" s="1236"/>
      <c r="AT479" s="473"/>
      <c r="AU479" s="473"/>
      <c r="AV479" s="1164"/>
      <c r="AW479" s="1164"/>
      <c r="AX479" s="1236"/>
      <c r="AY479" s="473"/>
      <c r="AZ479" s="1236"/>
      <c r="BA479" s="473"/>
      <c r="BB479" s="473"/>
      <c r="BC479" s="1164"/>
      <c r="BD479" s="20"/>
      <c r="BE479" s="473"/>
      <c r="BF479" s="610"/>
      <c r="BG479" s="610"/>
      <c r="BH479" s="610"/>
      <c r="BI479" s="610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</row>
    <row r="480" spans="1:148" s="22" customFormat="1" x14ac:dyDescent="0.25">
      <c r="A480" s="20"/>
      <c r="B480" s="16"/>
      <c r="C480" s="473"/>
      <c r="D480" s="473"/>
      <c r="E480" s="1164"/>
      <c r="F480" s="473"/>
      <c r="G480" s="473"/>
      <c r="H480" s="1164"/>
      <c r="I480" s="473"/>
      <c r="J480" s="473"/>
      <c r="K480" s="1164"/>
      <c r="L480" s="473"/>
      <c r="M480" s="473"/>
      <c r="N480" s="1164"/>
      <c r="O480" s="473"/>
      <c r="P480" s="473"/>
      <c r="Q480" s="1164"/>
      <c r="R480" s="473"/>
      <c r="S480" s="473"/>
      <c r="T480" s="1164"/>
      <c r="U480" s="1164"/>
      <c r="V480" s="473"/>
      <c r="W480" s="473"/>
      <c r="X480" s="1164"/>
      <c r="Y480" s="473"/>
      <c r="Z480" s="473"/>
      <c r="AA480" s="1164"/>
      <c r="AB480" s="473"/>
      <c r="AC480" s="1164"/>
      <c r="AD480" s="473"/>
      <c r="AE480" s="1164"/>
      <c r="AF480" s="473"/>
      <c r="AG480" s="1164"/>
      <c r="AH480" s="473"/>
      <c r="AI480" s="473"/>
      <c r="AJ480" s="1164"/>
      <c r="AK480" s="473"/>
      <c r="AL480" s="473"/>
      <c r="AM480" s="1164"/>
      <c r="AN480" s="473"/>
      <c r="AO480" s="473"/>
      <c r="AP480" s="1164"/>
      <c r="AQ480" s="473"/>
      <c r="AR480" s="473"/>
      <c r="AS480" s="1236"/>
      <c r="AT480" s="473"/>
      <c r="AU480" s="473"/>
      <c r="AV480" s="1164"/>
      <c r="AW480" s="1164"/>
      <c r="AX480" s="1236"/>
      <c r="AY480" s="473"/>
      <c r="AZ480" s="1236"/>
      <c r="BA480" s="473"/>
      <c r="BB480" s="473"/>
      <c r="BC480" s="1164"/>
      <c r="BD480" s="20"/>
      <c r="BE480" s="473"/>
      <c r="BF480" s="610"/>
      <c r="BG480" s="610"/>
      <c r="BH480" s="610"/>
      <c r="BI480" s="610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</row>
    <row r="481" spans="1:148" s="22" customFormat="1" x14ac:dyDescent="0.25">
      <c r="A481" s="20"/>
      <c r="B481" s="16"/>
      <c r="C481" s="473"/>
      <c r="D481" s="473"/>
      <c r="E481" s="1164"/>
      <c r="F481" s="473"/>
      <c r="G481" s="473"/>
      <c r="H481" s="1164"/>
      <c r="I481" s="473"/>
      <c r="J481" s="473"/>
      <c r="K481" s="1164"/>
      <c r="L481" s="473"/>
      <c r="M481" s="473"/>
      <c r="N481" s="1164"/>
      <c r="O481" s="473"/>
      <c r="P481" s="473"/>
      <c r="Q481" s="1164"/>
      <c r="R481" s="473"/>
      <c r="S481" s="473"/>
      <c r="T481" s="1164"/>
      <c r="U481" s="1164"/>
      <c r="V481" s="473"/>
      <c r="W481" s="473"/>
      <c r="X481" s="1164"/>
      <c r="Y481" s="473"/>
      <c r="Z481" s="473"/>
      <c r="AA481" s="1164"/>
      <c r="AB481" s="473"/>
      <c r="AC481" s="1164"/>
      <c r="AD481" s="473"/>
      <c r="AE481" s="1164"/>
      <c r="AF481" s="473"/>
      <c r="AG481" s="1164"/>
      <c r="AH481" s="473"/>
      <c r="AI481" s="473"/>
      <c r="AJ481" s="1164"/>
      <c r="AK481" s="473"/>
      <c r="AL481" s="473"/>
      <c r="AM481" s="1164"/>
      <c r="AN481" s="473"/>
      <c r="AO481" s="473"/>
      <c r="AP481" s="1164"/>
      <c r="AQ481" s="473"/>
      <c r="AR481" s="473"/>
      <c r="AS481" s="1236"/>
      <c r="AT481" s="473"/>
      <c r="AU481" s="473"/>
      <c r="AV481" s="1164"/>
      <c r="AW481" s="1164"/>
      <c r="AX481" s="1236"/>
      <c r="AY481" s="473"/>
      <c r="AZ481" s="1236"/>
      <c r="BA481" s="473"/>
      <c r="BB481" s="473"/>
      <c r="BC481" s="1164"/>
      <c r="BD481" s="20"/>
      <c r="BE481" s="473"/>
      <c r="BF481" s="610"/>
      <c r="BG481" s="610"/>
      <c r="BH481" s="610"/>
      <c r="BI481" s="610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</row>
    <row r="482" spans="1:148" s="22" customFormat="1" x14ac:dyDescent="0.25">
      <c r="A482" s="20"/>
      <c r="B482" s="16"/>
      <c r="C482" s="473"/>
      <c r="D482" s="473"/>
      <c r="E482" s="1164"/>
      <c r="F482" s="473"/>
      <c r="G482" s="473"/>
      <c r="H482" s="1164"/>
      <c r="I482" s="473"/>
      <c r="J482" s="473"/>
      <c r="K482" s="1164"/>
      <c r="L482" s="473"/>
      <c r="M482" s="473"/>
      <c r="N482" s="1164"/>
      <c r="O482" s="473"/>
      <c r="P482" s="473"/>
      <c r="Q482" s="1164"/>
      <c r="R482" s="473"/>
      <c r="S482" s="473"/>
      <c r="T482" s="1164"/>
      <c r="U482" s="1164"/>
      <c r="V482" s="473"/>
      <c r="W482" s="473"/>
      <c r="X482" s="1164"/>
      <c r="Y482" s="473"/>
      <c r="Z482" s="473"/>
      <c r="AA482" s="1164"/>
      <c r="AB482" s="473"/>
      <c r="AC482" s="1164"/>
      <c r="AD482" s="473"/>
      <c r="AE482" s="1164"/>
      <c r="AF482" s="473"/>
      <c r="AG482" s="1164"/>
      <c r="AH482" s="473"/>
      <c r="AI482" s="473"/>
      <c r="AJ482" s="1164"/>
      <c r="AK482" s="473"/>
      <c r="AL482" s="473"/>
      <c r="AM482" s="1164"/>
      <c r="AN482" s="473"/>
      <c r="AO482" s="473"/>
      <c r="AP482" s="1164"/>
      <c r="AQ482" s="473"/>
      <c r="AR482" s="473"/>
      <c r="AS482" s="1236"/>
      <c r="AT482" s="473"/>
      <c r="AU482" s="473"/>
      <c r="AV482" s="1164"/>
      <c r="AW482" s="1164"/>
      <c r="AX482" s="1236"/>
      <c r="AY482" s="473"/>
      <c r="AZ482" s="1236"/>
      <c r="BA482" s="473"/>
      <c r="BB482" s="473"/>
      <c r="BC482" s="1164"/>
      <c r="BD482" s="20"/>
      <c r="BE482" s="473"/>
      <c r="BF482" s="610"/>
      <c r="BG482" s="610"/>
      <c r="BH482" s="610"/>
      <c r="BI482" s="610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</row>
    <row r="483" spans="1:148" s="22" customFormat="1" x14ac:dyDescent="0.25">
      <c r="A483" s="20"/>
      <c r="B483" s="16"/>
      <c r="C483" s="473"/>
      <c r="D483" s="473"/>
      <c r="E483" s="1164"/>
      <c r="F483" s="473"/>
      <c r="G483" s="473"/>
      <c r="H483" s="1164"/>
      <c r="I483" s="473"/>
      <c r="J483" s="473"/>
      <c r="K483" s="1164"/>
      <c r="L483" s="473"/>
      <c r="M483" s="473"/>
      <c r="N483" s="1164"/>
      <c r="O483" s="473"/>
      <c r="P483" s="473"/>
      <c r="Q483" s="1164"/>
      <c r="R483" s="473"/>
      <c r="S483" s="473"/>
      <c r="T483" s="1164"/>
      <c r="U483" s="1164"/>
      <c r="V483" s="473"/>
      <c r="W483" s="473"/>
      <c r="X483" s="1164"/>
      <c r="Y483" s="473"/>
      <c r="Z483" s="473"/>
      <c r="AA483" s="1164"/>
      <c r="AB483" s="473"/>
      <c r="AC483" s="1164"/>
      <c r="AD483" s="473"/>
      <c r="AE483" s="1164"/>
      <c r="AF483" s="473"/>
      <c r="AG483" s="1164"/>
      <c r="AH483" s="473"/>
      <c r="AI483" s="473"/>
      <c r="AJ483" s="1164"/>
      <c r="AK483" s="473"/>
      <c r="AL483" s="473"/>
      <c r="AM483" s="1164"/>
      <c r="AN483" s="473"/>
      <c r="AO483" s="473"/>
      <c r="AP483" s="1164"/>
      <c r="AQ483" s="473"/>
      <c r="AR483" s="473"/>
      <c r="AS483" s="1236"/>
      <c r="AT483" s="473"/>
      <c r="AU483" s="473"/>
      <c r="AV483" s="1164"/>
      <c r="AW483" s="1164"/>
      <c r="AX483" s="1236"/>
      <c r="AY483" s="473"/>
      <c r="AZ483" s="1236"/>
      <c r="BA483" s="473"/>
      <c r="BB483" s="473"/>
      <c r="BC483" s="1164"/>
      <c r="BD483" s="20"/>
      <c r="BE483" s="473"/>
      <c r="BF483" s="610"/>
      <c r="BG483" s="610"/>
      <c r="BH483" s="610"/>
      <c r="BI483" s="610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</row>
    <row r="484" spans="1:148" s="22" customFormat="1" x14ac:dyDescent="0.25">
      <c r="A484" s="20"/>
      <c r="B484" s="16"/>
      <c r="C484" s="473"/>
      <c r="D484" s="473"/>
      <c r="E484" s="1164"/>
      <c r="F484" s="473"/>
      <c r="G484" s="473"/>
      <c r="H484" s="1164"/>
      <c r="I484" s="473"/>
      <c r="J484" s="473"/>
      <c r="K484" s="1164"/>
      <c r="L484" s="473"/>
      <c r="M484" s="473"/>
      <c r="N484" s="1164"/>
      <c r="O484" s="473"/>
      <c r="P484" s="473"/>
      <c r="Q484" s="1164"/>
      <c r="R484" s="473"/>
      <c r="S484" s="473"/>
      <c r="T484" s="1164"/>
      <c r="U484" s="1164"/>
      <c r="V484" s="473"/>
      <c r="W484" s="473"/>
      <c r="X484" s="1164"/>
      <c r="Y484" s="473"/>
      <c r="Z484" s="473"/>
      <c r="AA484" s="1164"/>
      <c r="AB484" s="473"/>
      <c r="AC484" s="1164"/>
      <c r="AD484" s="473"/>
      <c r="AE484" s="1164"/>
      <c r="AF484" s="473"/>
      <c r="AG484" s="1164"/>
      <c r="AH484" s="473"/>
      <c r="AI484" s="473"/>
      <c r="AJ484" s="1164"/>
      <c r="AK484" s="473"/>
      <c r="AL484" s="473"/>
      <c r="AM484" s="1164"/>
      <c r="AN484" s="473"/>
      <c r="AO484" s="473"/>
      <c r="AP484" s="1164"/>
      <c r="AQ484" s="473"/>
      <c r="AR484" s="473"/>
      <c r="AS484" s="1236"/>
      <c r="AT484" s="473"/>
      <c r="AU484" s="473"/>
      <c r="AV484" s="1164"/>
      <c r="AW484" s="1164"/>
      <c r="AX484" s="1236"/>
      <c r="AY484" s="473"/>
      <c r="AZ484" s="1236"/>
      <c r="BA484" s="473"/>
      <c r="BB484" s="473"/>
      <c r="BC484" s="1164"/>
      <c r="BD484" s="20"/>
      <c r="BE484" s="473"/>
      <c r="BF484" s="610"/>
      <c r="BG484" s="610"/>
      <c r="BH484" s="610"/>
      <c r="BI484" s="610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</row>
    <row r="485" spans="1:148" s="22" customFormat="1" x14ac:dyDescent="0.25">
      <c r="A485" s="20"/>
      <c r="B485" s="16"/>
      <c r="C485" s="473"/>
      <c r="D485" s="473"/>
      <c r="E485" s="1164"/>
      <c r="F485" s="473"/>
      <c r="G485" s="473"/>
      <c r="H485" s="1164"/>
      <c r="I485" s="473"/>
      <c r="J485" s="473"/>
      <c r="K485" s="1164"/>
      <c r="L485" s="473"/>
      <c r="M485" s="473"/>
      <c r="N485" s="1164"/>
      <c r="O485" s="473"/>
      <c r="P485" s="473"/>
      <c r="Q485" s="1164"/>
      <c r="R485" s="473"/>
      <c r="S485" s="473"/>
      <c r="T485" s="1164"/>
      <c r="U485" s="1164"/>
      <c r="V485" s="473"/>
      <c r="W485" s="473"/>
      <c r="X485" s="1164"/>
      <c r="Y485" s="473"/>
      <c r="Z485" s="473"/>
      <c r="AA485" s="1164"/>
      <c r="AB485" s="473"/>
      <c r="AC485" s="1164"/>
      <c r="AD485" s="473"/>
      <c r="AE485" s="1164"/>
      <c r="AF485" s="473"/>
      <c r="AG485" s="1164"/>
      <c r="AH485" s="473"/>
      <c r="AI485" s="473"/>
      <c r="AJ485" s="1164"/>
      <c r="AK485" s="473"/>
      <c r="AL485" s="473"/>
      <c r="AM485" s="1164"/>
      <c r="AN485" s="473"/>
      <c r="AO485" s="473"/>
      <c r="AP485" s="1164"/>
      <c r="AQ485" s="473"/>
      <c r="AR485" s="473"/>
      <c r="AS485" s="1236"/>
      <c r="AT485" s="473"/>
      <c r="AU485" s="473"/>
      <c r="AV485" s="1164"/>
      <c r="AW485" s="1164"/>
      <c r="AX485" s="1236"/>
      <c r="AY485" s="473"/>
      <c r="AZ485" s="1236"/>
      <c r="BA485" s="473"/>
      <c r="BB485" s="473"/>
      <c r="BC485" s="1164"/>
      <c r="BD485" s="20"/>
      <c r="BE485" s="473"/>
      <c r="BF485" s="610"/>
      <c r="BG485" s="610"/>
      <c r="BH485" s="610"/>
      <c r="BI485" s="610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</row>
    <row r="486" spans="1:148" s="22" customFormat="1" x14ac:dyDescent="0.25">
      <c r="A486" s="20"/>
      <c r="B486" s="16"/>
      <c r="C486" s="473"/>
      <c r="D486" s="473"/>
      <c r="E486" s="1164"/>
      <c r="F486" s="473"/>
      <c r="G486" s="473"/>
      <c r="H486" s="1164"/>
      <c r="I486" s="473"/>
      <c r="J486" s="473"/>
      <c r="K486" s="1164"/>
      <c r="L486" s="473"/>
      <c r="M486" s="473"/>
      <c r="N486" s="1164"/>
      <c r="O486" s="473"/>
      <c r="P486" s="473"/>
      <c r="Q486" s="1164"/>
      <c r="R486" s="473"/>
      <c r="S486" s="473"/>
      <c r="T486" s="1164"/>
      <c r="U486" s="1164"/>
      <c r="V486" s="473"/>
      <c r="W486" s="473"/>
      <c r="X486" s="1164"/>
      <c r="Y486" s="473"/>
      <c r="Z486" s="473"/>
      <c r="AA486" s="1164"/>
      <c r="AB486" s="473"/>
      <c r="AC486" s="1164"/>
      <c r="AD486" s="473"/>
      <c r="AE486" s="1164"/>
      <c r="AF486" s="473"/>
      <c r="AG486" s="1164"/>
      <c r="AH486" s="473"/>
      <c r="AI486" s="473"/>
      <c r="AJ486" s="1164"/>
      <c r="AK486" s="473"/>
      <c r="AL486" s="473"/>
      <c r="AM486" s="1164"/>
      <c r="AN486" s="473"/>
      <c r="AO486" s="473"/>
      <c r="AP486" s="1164"/>
      <c r="AQ486" s="473"/>
      <c r="AR486" s="473"/>
      <c r="AS486" s="1236"/>
      <c r="AT486" s="473"/>
      <c r="AU486" s="473"/>
      <c r="AV486" s="1164"/>
      <c r="AW486" s="1164"/>
      <c r="AX486" s="1236"/>
      <c r="AY486" s="473"/>
      <c r="AZ486" s="1236"/>
      <c r="BA486" s="473"/>
      <c r="BB486" s="473"/>
      <c r="BC486" s="1164"/>
      <c r="BD486" s="20"/>
      <c r="BE486" s="473"/>
      <c r="BF486" s="610"/>
      <c r="BG486" s="610"/>
      <c r="BH486" s="610"/>
      <c r="BI486" s="610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</row>
    <row r="487" spans="1:148" s="22" customFormat="1" x14ac:dyDescent="0.25">
      <c r="A487" s="20"/>
      <c r="B487" s="16"/>
      <c r="C487" s="473"/>
      <c r="D487" s="473"/>
      <c r="E487" s="1164"/>
      <c r="F487" s="473"/>
      <c r="G487" s="473"/>
      <c r="H487" s="1164"/>
      <c r="I487" s="473"/>
      <c r="J487" s="473"/>
      <c r="K487" s="1164"/>
      <c r="L487" s="473"/>
      <c r="M487" s="473"/>
      <c r="N487" s="1164"/>
      <c r="O487" s="473"/>
      <c r="P487" s="473"/>
      <c r="Q487" s="1164"/>
      <c r="R487" s="473"/>
      <c r="S487" s="473"/>
      <c r="T487" s="1164"/>
      <c r="U487" s="1164"/>
      <c r="V487" s="473"/>
      <c r="W487" s="473"/>
      <c r="X487" s="1164"/>
      <c r="Y487" s="473"/>
      <c r="Z487" s="473"/>
      <c r="AA487" s="1164"/>
      <c r="AB487" s="473"/>
      <c r="AC487" s="1164"/>
      <c r="AD487" s="473"/>
      <c r="AE487" s="1164"/>
      <c r="AF487" s="473"/>
      <c r="AG487" s="1164"/>
      <c r="AH487" s="473"/>
      <c r="AI487" s="473"/>
      <c r="AJ487" s="1164"/>
      <c r="AK487" s="473"/>
      <c r="AL487" s="473"/>
      <c r="AM487" s="1164"/>
      <c r="AN487" s="473"/>
      <c r="AO487" s="473"/>
      <c r="AP487" s="1164"/>
      <c r="AQ487" s="473"/>
      <c r="AR487" s="473"/>
      <c r="AS487" s="1236"/>
      <c r="AT487" s="473"/>
      <c r="AU487" s="473"/>
      <c r="AV487" s="1164"/>
      <c r="AW487" s="1164"/>
      <c r="AX487" s="1236"/>
      <c r="AY487" s="473"/>
      <c r="AZ487" s="1236"/>
      <c r="BA487" s="473"/>
      <c r="BB487" s="473"/>
      <c r="BC487" s="1164"/>
      <c r="BD487" s="20"/>
      <c r="BE487" s="473"/>
      <c r="BF487" s="610"/>
      <c r="BG487" s="610"/>
      <c r="BH487" s="610"/>
      <c r="BI487" s="610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</row>
    <row r="488" spans="1:148" s="22" customFormat="1" x14ac:dyDescent="0.25">
      <c r="A488" s="20"/>
      <c r="B488" s="16"/>
      <c r="C488" s="473"/>
      <c r="D488" s="473"/>
      <c r="E488" s="1164"/>
      <c r="F488" s="473"/>
      <c r="G488" s="473"/>
      <c r="H488" s="1164"/>
      <c r="I488" s="473"/>
      <c r="J488" s="473"/>
      <c r="K488" s="1164"/>
      <c r="L488" s="473"/>
      <c r="M488" s="473"/>
      <c r="N488" s="1164"/>
      <c r="O488" s="473"/>
      <c r="P488" s="473"/>
      <c r="Q488" s="1164"/>
      <c r="R488" s="473"/>
      <c r="S488" s="473"/>
      <c r="T488" s="1164"/>
      <c r="U488" s="1164"/>
      <c r="V488" s="473"/>
      <c r="W488" s="473"/>
      <c r="X488" s="1164"/>
      <c r="Y488" s="473"/>
      <c r="Z488" s="473"/>
      <c r="AA488" s="1164"/>
      <c r="AB488" s="473"/>
      <c r="AC488" s="1164"/>
      <c r="AD488" s="473"/>
      <c r="AE488" s="1164"/>
      <c r="AF488" s="473"/>
      <c r="AG488" s="1164"/>
      <c r="AH488" s="473"/>
      <c r="AI488" s="473"/>
      <c r="AJ488" s="1164"/>
      <c r="AK488" s="473"/>
      <c r="AL488" s="473"/>
      <c r="AM488" s="1164"/>
      <c r="AN488" s="473"/>
      <c r="AO488" s="473"/>
      <c r="AP488" s="1164"/>
      <c r="AQ488" s="473"/>
      <c r="AR488" s="473"/>
      <c r="AS488" s="1236"/>
      <c r="AT488" s="473"/>
      <c r="AU488" s="473"/>
      <c r="AV488" s="1164"/>
      <c r="AW488" s="1164"/>
      <c r="AX488" s="1236"/>
      <c r="AY488" s="473"/>
      <c r="AZ488" s="1236"/>
      <c r="BA488" s="473"/>
      <c r="BB488" s="473"/>
      <c r="BC488" s="1164"/>
      <c r="BD488" s="20"/>
      <c r="BE488" s="473"/>
      <c r="BF488" s="610"/>
      <c r="BG488" s="610"/>
      <c r="BH488" s="610"/>
      <c r="BI488" s="610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</row>
    <row r="489" spans="1:148" s="22" customFormat="1" x14ac:dyDescent="0.25">
      <c r="A489" s="20"/>
      <c r="B489" s="16"/>
      <c r="C489" s="473"/>
      <c r="D489" s="473"/>
      <c r="E489" s="1164"/>
      <c r="F489" s="473"/>
      <c r="G489" s="473"/>
      <c r="H489" s="1164"/>
      <c r="I489" s="473"/>
      <c r="J489" s="473"/>
      <c r="K489" s="1164"/>
      <c r="L489" s="473"/>
      <c r="M489" s="473"/>
      <c r="N489" s="1164"/>
      <c r="O489" s="473"/>
      <c r="P489" s="473"/>
      <c r="Q489" s="1164"/>
      <c r="R489" s="473"/>
      <c r="S489" s="473"/>
      <c r="T489" s="1164"/>
      <c r="U489" s="1164"/>
      <c r="V489" s="473"/>
      <c r="W489" s="473"/>
      <c r="X489" s="1164"/>
      <c r="Y489" s="473"/>
      <c r="Z489" s="473"/>
      <c r="AA489" s="1164"/>
      <c r="AB489" s="473"/>
      <c r="AC489" s="1164"/>
      <c r="AD489" s="473"/>
      <c r="AE489" s="1164"/>
      <c r="AF489" s="473"/>
      <c r="AG489" s="1164"/>
      <c r="AH489" s="473"/>
      <c r="AI489" s="473"/>
      <c r="AJ489" s="1164"/>
      <c r="AK489" s="473"/>
      <c r="AL489" s="473"/>
      <c r="AM489" s="1164"/>
      <c r="AN489" s="473"/>
      <c r="AO489" s="473"/>
      <c r="AP489" s="1164"/>
      <c r="AQ489" s="473"/>
      <c r="AR489" s="473"/>
      <c r="AS489" s="1236"/>
      <c r="AT489" s="473"/>
      <c r="AU489" s="473"/>
      <c r="AV489" s="1164"/>
      <c r="AW489" s="1164"/>
      <c r="AX489" s="1236"/>
      <c r="AY489" s="473"/>
      <c r="AZ489" s="1236"/>
      <c r="BA489" s="473"/>
      <c r="BB489" s="473"/>
      <c r="BC489" s="1164"/>
      <c r="BD489" s="20"/>
      <c r="BE489" s="473"/>
      <c r="BF489" s="610"/>
      <c r="BG489" s="610"/>
      <c r="BH489" s="610"/>
      <c r="BI489" s="610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</row>
    <row r="490" spans="1:148" s="22" customFormat="1" x14ac:dyDescent="0.25">
      <c r="A490" s="20"/>
      <c r="B490" s="16"/>
      <c r="C490" s="473"/>
      <c r="D490" s="473"/>
      <c r="E490" s="1164"/>
      <c r="F490" s="473"/>
      <c r="G490" s="473"/>
      <c r="H490" s="1164"/>
      <c r="I490" s="473"/>
      <c r="J490" s="473"/>
      <c r="K490" s="1164"/>
      <c r="L490" s="473"/>
      <c r="M490" s="473"/>
      <c r="N490" s="1164"/>
      <c r="O490" s="473"/>
      <c r="P490" s="473"/>
      <c r="Q490" s="1164"/>
      <c r="R490" s="473"/>
      <c r="S490" s="473"/>
      <c r="T490" s="1164"/>
      <c r="U490" s="1164"/>
      <c r="V490" s="473"/>
      <c r="W490" s="473"/>
      <c r="X490" s="1164"/>
      <c r="Y490" s="473"/>
      <c r="Z490" s="473"/>
      <c r="AA490" s="1164"/>
      <c r="AB490" s="473"/>
      <c r="AC490" s="1164"/>
      <c r="AD490" s="473"/>
      <c r="AE490" s="1164"/>
      <c r="AF490" s="473"/>
      <c r="AG490" s="1164"/>
      <c r="AH490" s="473"/>
      <c r="AI490" s="473"/>
      <c r="AJ490" s="1164"/>
      <c r="AK490" s="473"/>
      <c r="AL490" s="473"/>
      <c r="AM490" s="1164"/>
      <c r="AN490" s="473"/>
      <c r="AO490" s="473"/>
      <c r="AP490" s="1164"/>
      <c r="AQ490" s="473"/>
      <c r="AR490" s="473"/>
      <c r="AS490" s="1236"/>
      <c r="AT490" s="473"/>
      <c r="AU490" s="473"/>
      <c r="AV490" s="1164"/>
      <c r="AW490" s="1164"/>
      <c r="AX490" s="1236"/>
      <c r="AY490" s="473"/>
      <c r="AZ490" s="1236"/>
      <c r="BA490" s="473"/>
      <c r="BB490" s="473"/>
      <c r="BC490" s="1164"/>
      <c r="BD490" s="20"/>
      <c r="BE490" s="473"/>
      <c r="BF490" s="610"/>
      <c r="BG490" s="610"/>
      <c r="BH490" s="610"/>
      <c r="BI490" s="610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</row>
    <row r="491" spans="1:148" s="22" customFormat="1" x14ac:dyDescent="0.25">
      <c r="A491" s="20"/>
      <c r="B491" s="16"/>
      <c r="C491" s="473"/>
      <c r="D491" s="473"/>
      <c r="E491" s="1164"/>
      <c r="F491" s="473"/>
      <c r="G491" s="473"/>
      <c r="H491" s="1164"/>
      <c r="I491" s="473"/>
      <c r="J491" s="473"/>
      <c r="K491" s="1164"/>
      <c r="L491" s="473"/>
      <c r="M491" s="473"/>
      <c r="N491" s="1164"/>
      <c r="O491" s="473"/>
      <c r="P491" s="473"/>
      <c r="Q491" s="1164"/>
      <c r="R491" s="473"/>
      <c r="S491" s="473"/>
      <c r="T491" s="1164"/>
      <c r="U491" s="1164"/>
      <c r="V491" s="473"/>
      <c r="W491" s="473"/>
      <c r="X491" s="1164"/>
      <c r="Y491" s="473"/>
      <c r="Z491" s="473"/>
      <c r="AA491" s="1164"/>
      <c r="AB491" s="473"/>
      <c r="AC491" s="1164"/>
      <c r="AD491" s="473"/>
      <c r="AE491" s="1164"/>
      <c r="AF491" s="473"/>
      <c r="AG491" s="1164"/>
      <c r="AH491" s="473"/>
      <c r="AI491" s="473"/>
      <c r="AJ491" s="1164"/>
      <c r="AK491" s="473"/>
      <c r="AL491" s="473"/>
      <c r="AM491" s="1164"/>
      <c r="AN491" s="473"/>
      <c r="AO491" s="473"/>
      <c r="AP491" s="1164"/>
      <c r="AQ491" s="473"/>
      <c r="AR491" s="473"/>
      <c r="AS491" s="1236"/>
      <c r="AT491" s="473"/>
      <c r="AU491" s="473"/>
      <c r="AV491" s="1164"/>
      <c r="AW491" s="1164"/>
      <c r="AX491" s="1236"/>
      <c r="AY491" s="473"/>
      <c r="AZ491" s="1236"/>
      <c r="BA491" s="473"/>
      <c r="BB491" s="473"/>
      <c r="BC491" s="1164"/>
      <c r="BD491" s="20"/>
      <c r="BE491" s="473"/>
      <c r="BF491" s="610"/>
      <c r="BG491" s="610"/>
      <c r="BH491" s="610"/>
      <c r="BI491" s="610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</row>
    <row r="492" spans="1:148" s="22" customFormat="1" x14ac:dyDescent="0.25">
      <c r="A492" s="20"/>
      <c r="B492" s="16"/>
      <c r="C492" s="473"/>
      <c r="D492" s="473"/>
      <c r="E492" s="1164"/>
      <c r="F492" s="473"/>
      <c r="G492" s="473"/>
      <c r="H492" s="1164"/>
      <c r="I492" s="473"/>
      <c r="J492" s="473"/>
      <c r="K492" s="1164"/>
      <c r="L492" s="473"/>
      <c r="M492" s="473"/>
      <c r="N492" s="1164"/>
      <c r="O492" s="473"/>
      <c r="P492" s="473"/>
      <c r="Q492" s="1164"/>
      <c r="R492" s="473"/>
      <c r="S492" s="473"/>
      <c r="T492" s="1164"/>
      <c r="U492" s="1164"/>
      <c r="V492" s="473"/>
      <c r="W492" s="473"/>
      <c r="X492" s="1164"/>
      <c r="Y492" s="473"/>
      <c r="Z492" s="473"/>
      <c r="AA492" s="1164"/>
      <c r="AB492" s="473"/>
      <c r="AC492" s="1164"/>
      <c r="AD492" s="473"/>
      <c r="AE492" s="1164"/>
      <c r="AF492" s="473"/>
      <c r="AG492" s="1164"/>
      <c r="AH492" s="473"/>
      <c r="AI492" s="473"/>
      <c r="AJ492" s="1164"/>
      <c r="AK492" s="473"/>
      <c r="AL492" s="473"/>
      <c r="AM492" s="1164"/>
      <c r="AN492" s="473"/>
      <c r="AO492" s="473"/>
      <c r="AP492" s="1164"/>
      <c r="AQ492" s="473"/>
      <c r="AR492" s="473"/>
      <c r="AS492" s="1236"/>
      <c r="AT492" s="473"/>
      <c r="AU492" s="473"/>
      <c r="AV492" s="1164"/>
      <c r="AW492" s="1164"/>
      <c r="AX492" s="1236"/>
      <c r="AY492" s="473"/>
      <c r="AZ492" s="1236"/>
      <c r="BA492" s="473"/>
      <c r="BB492" s="473"/>
      <c r="BC492" s="1164"/>
      <c r="BD492" s="20"/>
      <c r="BE492" s="473"/>
      <c r="BF492" s="610"/>
      <c r="BG492" s="610"/>
      <c r="BH492" s="610"/>
      <c r="BI492" s="610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</row>
    <row r="493" spans="1:148" s="22" customFormat="1" x14ac:dyDescent="0.25">
      <c r="A493" s="20"/>
      <c r="B493" s="16"/>
      <c r="C493" s="473"/>
      <c r="D493" s="473"/>
      <c r="E493" s="1164"/>
      <c r="F493" s="473"/>
      <c r="G493" s="473"/>
      <c r="H493" s="1164"/>
      <c r="I493" s="473"/>
      <c r="J493" s="473"/>
      <c r="K493" s="1164"/>
      <c r="L493" s="473"/>
      <c r="M493" s="473"/>
      <c r="N493" s="1164"/>
      <c r="O493" s="473"/>
      <c r="P493" s="473"/>
      <c r="Q493" s="1164"/>
      <c r="R493" s="473"/>
      <c r="S493" s="473"/>
      <c r="T493" s="1164"/>
      <c r="U493" s="1164"/>
      <c r="V493" s="473"/>
      <c r="W493" s="473"/>
      <c r="X493" s="1164"/>
      <c r="Y493" s="473"/>
      <c r="Z493" s="473"/>
      <c r="AA493" s="1164"/>
      <c r="AB493" s="473"/>
      <c r="AC493" s="1164"/>
      <c r="AD493" s="473"/>
      <c r="AE493" s="1164"/>
      <c r="AF493" s="473"/>
      <c r="AG493" s="1164"/>
      <c r="AH493" s="473"/>
      <c r="AI493" s="473"/>
      <c r="AJ493" s="1164"/>
      <c r="AK493" s="473"/>
      <c r="AL493" s="473"/>
      <c r="AM493" s="1164"/>
      <c r="AN493" s="473"/>
      <c r="AO493" s="473"/>
      <c r="AP493" s="1164"/>
      <c r="AQ493" s="473"/>
      <c r="AR493" s="473"/>
      <c r="AS493" s="1236"/>
      <c r="AT493" s="473"/>
      <c r="AU493" s="473"/>
      <c r="AV493" s="1164"/>
      <c r="AW493" s="1164"/>
      <c r="AX493" s="1236"/>
      <c r="AY493" s="473"/>
      <c r="AZ493" s="1236"/>
      <c r="BA493" s="473"/>
      <c r="BB493" s="473"/>
      <c r="BC493" s="1164"/>
      <c r="BD493" s="20"/>
      <c r="BE493" s="473"/>
      <c r="BF493" s="610"/>
      <c r="BG493" s="610"/>
      <c r="BH493" s="610"/>
      <c r="BI493" s="610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</row>
    <row r="494" spans="1:148" s="22" customFormat="1" x14ac:dyDescent="0.25">
      <c r="A494" s="20"/>
      <c r="B494" s="16"/>
      <c r="C494" s="473"/>
      <c r="D494" s="473"/>
      <c r="E494" s="1164"/>
      <c r="F494" s="473"/>
      <c r="G494" s="473"/>
      <c r="H494" s="1164"/>
      <c r="I494" s="473"/>
      <c r="J494" s="473"/>
      <c r="K494" s="1164"/>
      <c r="L494" s="473"/>
      <c r="M494" s="473"/>
      <c r="N494" s="1164"/>
      <c r="O494" s="473"/>
      <c r="P494" s="473"/>
      <c r="Q494" s="1164"/>
      <c r="R494" s="473"/>
      <c r="S494" s="473"/>
      <c r="T494" s="1164"/>
      <c r="U494" s="1164"/>
      <c r="V494" s="473"/>
      <c r="W494" s="473"/>
      <c r="X494" s="1164"/>
      <c r="Y494" s="473"/>
      <c r="Z494" s="473"/>
      <c r="AA494" s="1164"/>
      <c r="AB494" s="473"/>
      <c r="AC494" s="1164"/>
      <c r="AD494" s="473"/>
      <c r="AE494" s="1164"/>
      <c r="AF494" s="473"/>
      <c r="AG494" s="1164"/>
      <c r="AH494" s="473"/>
      <c r="AI494" s="473"/>
      <c r="AJ494" s="1164"/>
      <c r="AK494" s="473"/>
      <c r="AL494" s="473"/>
      <c r="AM494" s="1164"/>
      <c r="AN494" s="473"/>
      <c r="AO494" s="473"/>
      <c r="AP494" s="1164"/>
      <c r="AQ494" s="473"/>
      <c r="AR494" s="473"/>
      <c r="AS494" s="1236"/>
      <c r="AT494" s="473"/>
      <c r="AU494" s="473"/>
      <c r="AV494" s="1164"/>
      <c r="AW494" s="1164"/>
      <c r="AX494" s="1236"/>
      <c r="AY494" s="473"/>
      <c r="AZ494" s="1236"/>
      <c r="BA494" s="473"/>
      <c r="BB494" s="473"/>
      <c r="BC494" s="1164"/>
      <c r="BD494" s="20"/>
      <c r="BE494" s="473"/>
      <c r="BF494" s="610"/>
      <c r="BG494" s="610"/>
      <c r="BH494" s="610"/>
      <c r="BI494" s="610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</row>
    <row r="495" spans="1:148" s="22" customFormat="1" x14ac:dyDescent="0.25">
      <c r="A495" s="20"/>
      <c r="B495" s="16"/>
      <c r="C495" s="473"/>
      <c r="D495" s="473"/>
      <c r="E495" s="1164"/>
      <c r="F495" s="473"/>
      <c r="G495" s="473"/>
      <c r="H495" s="1164"/>
      <c r="I495" s="473"/>
      <c r="J495" s="473"/>
      <c r="K495" s="1164"/>
      <c r="L495" s="473"/>
      <c r="M495" s="473"/>
      <c r="N495" s="1164"/>
      <c r="O495" s="473"/>
      <c r="P495" s="473"/>
      <c r="Q495" s="1164"/>
      <c r="R495" s="473"/>
      <c r="S495" s="473"/>
      <c r="T495" s="1164"/>
      <c r="U495" s="1164"/>
      <c r="V495" s="473"/>
      <c r="W495" s="473"/>
      <c r="X495" s="1164"/>
      <c r="Y495" s="473"/>
      <c r="Z495" s="473"/>
      <c r="AA495" s="1164"/>
      <c r="AB495" s="473"/>
      <c r="AC495" s="1164"/>
      <c r="AD495" s="473"/>
      <c r="AE495" s="1164"/>
      <c r="AF495" s="473"/>
      <c r="AG495" s="1164"/>
      <c r="AH495" s="473"/>
      <c r="AI495" s="473"/>
      <c r="AJ495" s="1164"/>
      <c r="AK495" s="473"/>
      <c r="AL495" s="473"/>
      <c r="AM495" s="1164"/>
      <c r="AN495" s="473"/>
      <c r="AO495" s="473"/>
      <c r="AP495" s="1164"/>
      <c r="AQ495" s="473"/>
      <c r="AR495" s="473"/>
      <c r="AS495" s="1236"/>
      <c r="AT495" s="473"/>
      <c r="AU495" s="473"/>
      <c r="AV495" s="1164"/>
      <c r="AW495" s="1164"/>
      <c r="AX495" s="1236"/>
      <c r="AY495" s="473"/>
      <c r="AZ495" s="1236"/>
      <c r="BA495" s="473"/>
      <c r="BB495" s="473"/>
      <c r="BC495" s="1164"/>
      <c r="BD495" s="20"/>
      <c r="BE495" s="473"/>
      <c r="BF495" s="610"/>
      <c r="BG495" s="610"/>
      <c r="BH495" s="610"/>
      <c r="BI495" s="610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</row>
    <row r="496" spans="1:148" s="22" customFormat="1" x14ac:dyDescent="0.25">
      <c r="A496" s="20"/>
      <c r="B496" s="16"/>
      <c r="C496" s="473"/>
      <c r="D496" s="473"/>
      <c r="E496" s="1164"/>
      <c r="F496" s="473"/>
      <c r="G496" s="473"/>
      <c r="H496" s="1164"/>
      <c r="I496" s="473"/>
      <c r="J496" s="473"/>
      <c r="K496" s="1164"/>
      <c r="L496" s="473"/>
      <c r="M496" s="473"/>
      <c r="N496" s="1164"/>
      <c r="O496" s="473"/>
      <c r="P496" s="473"/>
      <c r="Q496" s="1164"/>
      <c r="R496" s="473"/>
      <c r="S496" s="473"/>
      <c r="T496" s="1164"/>
      <c r="U496" s="1164"/>
      <c r="V496" s="473"/>
      <c r="W496" s="473"/>
      <c r="X496" s="1164"/>
      <c r="Y496" s="473"/>
      <c r="Z496" s="473"/>
      <c r="AA496" s="1164"/>
      <c r="AB496" s="473"/>
      <c r="AC496" s="1164"/>
      <c r="AD496" s="473"/>
      <c r="AE496" s="1164"/>
      <c r="AF496" s="473"/>
      <c r="AG496" s="1164"/>
      <c r="AH496" s="473"/>
      <c r="AI496" s="473"/>
      <c r="AJ496" s="1164"/>
      <c r="AK496" s="473"/>
      <c r="AL496" s="473"/>
      <c r="AM496" s="1164"/>
      <c r="AN496" s="473"/>
      <c r="AO496" s="473"/>
      <c r="AP496" s="1164"/>
      <c r="AQ496" s="473"/>
      <c r="AR496" s="473"/>
      <c r="AS496" s="1236"/>
      <c r="AT496" s="473"/>
      <c r="AU496" s="473"/>
      <c r="AV496" s="1164"/>
      <c r="AW496" s="1164"/>
      <c r="AX496" s="1236"/>
      <c r="AY496" s="473"/>
      <c r="AZ496" s="1236"/>
      <c r="BA496" s="473"/>
      <c r="BB496" s="473"/>
      <c r="BC496" s="1164"/>
      <c r="BD496" s="20"/>
      <c r="BE496" s="473"/>
      <c r="BF496" s="610"/>
      <c r="BG496" s="610"/>
      <c r="BH496" s="610"/>
      <c r="BI496" s="610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</row>
    <row r="497" spans="1:148" s="22" customFormat="1" x14ac:dyDescent="0.25">
      <c r="A497" s="20"/>
      <c r="B497" s="16"/>
      <c r="C497" s="473"/>
      <c r="D497" s="473"/>
      <c r="E497" s="1164"/>
      <c r="F497" s="473"/>
      <c r="G497" s="473"/>
      <c r="H497" s="1164"/>
      <c r="I497" s="473"/>
      <c r="J497" s="473"/>
      <c r="K497" s="1164"/>
      <c r="L497" s="473"/>
      <c r="M497" s="473"/>
      <c r="N497" s="1164"/>
      <c r="O497" s="473"/>
      <c r="P497" s="473"/>
      <c r="Q497" s="1164"/>
      <c r="R497" s="473"/>
      <c r="S497" s="473"/>
      <c r="T497" s="1164"/>
      <c r="U497" s="1164"/>
      <c r="V497" s="473"/>
      <c r="W497" s="473"/>
      <c r="X497" s="1164"/>
      <c r="Y497" s="473"/>
      <c r="Z497" s="473"/>
      <c r="AA497" s="1164"/>
      <c r="AB497" s="473"/>
      <c r="AC497" s="1164"/>
      <c r="AD497" s="473"/>
      <c r="AE497" s="1164"/>
      <c r="AF497" s="473"/>
      <c r="AG497" s="1164"/>
      <c r="AH497" s="473"/>
      <c r="AI497" s="473"/>
      <c r="AJ497" s="1164"/>
      <c r="AK497" s="473"/>
      <c r="AL497" s="473"/>
      <c r="AM497" s="1164"/>
      <c r="AN497" s="473"/>
      <c r="AO497" s="473"/>
      <c r="AP497" s="1164"/>
      <c r="AQ497" s="473"/>
      <c r="AR497" s="473"/>
      <c r="AS497" s="1236"/>
      <c r="AT497" s="473"/>
      <c r="AU497" s="473"/>
      <c r="AV497" s="1164"/>
      <c r="AW497" s="1164"/>
      <c r="AX497" s="1236"/>
      <c r="AY497" s="473"/>
      <c r="AZ497" s="1236"/>
      <c r="BA497" s="473"/>
      <c r="BB497" s="473"/>
      <c r="BC497" s="1164"/>
      <c r="BD497" s="20"/>
      <c r="BE497" s="473"/>
      <c r="BF497" s="610"/>
      <c r="BG497" s="610"/>
      <c r="BH497" s="610"/>
      <c r="BI497" s="610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</row>
    <row r="498" spans="1:148" s="22" customFormat="1" x14ac:dyDescent="0.25">
      <c r="A498" s="20"/>
      <c r="B498" s="16"/>
      <c r="C498" s="473"/>
      <c r="D498" s="473"/>
      <c r="E498" s="1164"/>
      <c r="F498" s="473"/>
      <c r="G498" s="473"/>
      <c r="H498" s="1164"/>
      <c r="I498" s="473"/>
      <c r="J498" s="473"/>
      <c r="K498" s="1164"/>
      <c r="L498" s="473"/>
      <c r="M498" s="473"/>
      <c r="N498" s="1164"/>
      <c r="O498" s="473"/>
      <c r="P498" s="473"/>
      <c r="Q498" s="1164"/>
      <c r="R498" s="473"/>
      <c r="S498" s="473"/>
      <c r="T498" s="1164"/>
      <c r="U498" s="1164"/>
      <c r="V498" s="473"/>
      <c r="W498" s="473"/>
      <c r="X498" s="1164"/>
      <c r="Y498" s="473"/>
      <c r="Z498" s="473"/>
      <c r="AA498" s="1164"/>
      <c r="AB498" s="473"/>
      <c r="AC498" s="1164"/>
      <c r="AD498" s="473"/>
      <c r="AE498" s="1164"/>
      <c r="AF498" s="473"/>
      <c r="AG498" s="1164"/>
      <c r="AH498" s="473"/>
      <c r="AI498" s="473"/>
      <c r="AJ498" s="1164"/>
      <c r="AK498" s="473"/>
      <c r="AL498" s="473"/>
      <c r="AM498" s="1164"/>
      <c r="AN498" s="473"/>
      <c r="AO498" s="473"/>
      <c r="AP498" s="1164"/>
      <c r="AQ498" s="473"/>
      <c r="AR498" s="473"/>
      <c r="AS498" s="1236"/>
      <c r="AT498" s="473"/>
      <c r="AU498" s="473"/>
      <c r="AV498" s="1164"/>
      <c r="AW498" s="1164"/>
      <c r="AX498" s="1236"/>
      <c r="AY498" s="473"/>
      <c r="AZ498" s="1236"/>
      <c r="BA498" s="473"/>
      <c r="BB498" s="473"/>
      <c r="BC498" s="1164"/>
      <c r="BD498" s="20"/>
      <c r="BE498" s="473"/>
      <c r="BF498" s="610"/>
      <c r="BG498" s="610"/>
      <c r="BH498" s="610"/>
      <c r="BI498" s="610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</row>
    <row r="499" spans="1:148" s="22" customFormat="1" x14ac:dyDescent="0.25">
      <c r="A499" s="20"/>
      <c r="B499" s="16"/>
      <c r="C499" s="473"/>
      <c r="D499" s="473"/>
      <c r="E499" s="1164"/>
      <c r="F499" s="473"/>
      <c r="G499" s="473"/>
      <c r="H499" s="1164"/>
      <c r="I499" s="473"/>
      <c r="J499" s="473"/>
      <c r="K499" s="1164"/>
      <c r="L499" s="473"/>
      <c r="M499" s="473"/>
      <c r="N499" s="1164"/>
      <c r="O499" s="473"/>
      <c r="P499" s="473"/>
      <c r="Q499" s="1164"/>
      <c r="R499" s="473"/>
      <c r="S499" s="473"/>
      <c r="T499" s="1164"/>
      <c r="U499" s="1164"/>
      <c r="V499" s="473"/>
      <c r="W499" s="473"/>
      <c r="X499" s="1164"/>
      <c r="Y499" s="473"/>
      <c r="Z499" s="473"/>
      <c r="AA499" s="1164"/>
      <c r="AB499" s="473"/>
      <c r="AC499" s="1164"/>
      <c r="AD499" s="473"/>
      <c r="AE499" s="1164"/>
      <c r="AF499" s="473"/>
      <c r="AG499" s="1164"/>
      <c r="AH499" s="473"/>
      <c r="AI499" s="473"/>
      <c r="AJ499" s="1164"/>
      <c r="AK499" s="473"/>
      <c r="AL499" s="473"/>
      <c r="AM499" s="1164"/>
      <c r="AN499" s="473"/>
      <c r="AO499" s="473"/>
      <c r="AP499" s="1164"/>
      <c r="AQ499" s="473"/>
      <c r="AR499" s="473"/>
      <c r="AS499" s="1236"/>
      <c r="AT499" s="473"/>
      <c r="AU499" s="473"/>
      <c r="AV499" s="1164"/>
      <c r="AW499" s="1164"/>
      <c r="AX499" s="1236"/>
      <c r="AY499" s="473"/>
      <c r="AZ499" s="1236"/>
      <c r="BA499" s="473"/>
      <c r="BB499" s="473"/>
      <c r="BC499" s="1164"/>
      <c r="BD499" s="20"/>
      <c r="BE499" s="473"/>
      <c r="BF499" s="610"/>
      <c r="BG499" s="610"/>
      <c r="BH499" s="610"/>
      <c r="BI499" s="610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</row>
    <row r="500" spans="1:148" s="22" customFormat="1" x14ac:dyDescent="0.25">
      <c r="A500" s="20"/>
      <c r="B500" s="16"/>
      <c r="C500" s="473"/>
      <c r="D500" s="473"/>
      <c r="E500" s="1164"/>
      <c r="F500" s="473"/>
      <c r="G500" s="473"/>
      <c r="H500" s="1164"/>
      <c r="I500" s="473"/>
      <c r="J500" s="473"/>
      <c r="K500" s="1164"/>
      <c r="L500" s="473"/>
      <c r="M500" s="473"/>
      <c r="N500" s="1164"/>
      <c r="O500" s="473"/>
      <c r="P500" s="473"/>
      <c r="Q500" s="1164"/>
      <c r="R500" s="473"/>
      <c r="S500" s="473"/>
      <c r="T500" s="1164"/>
      <c r="U500" s="1164"/>
      <c r="V500" s="473"/>
      <c r="W500" s="473"/>
      <c r="X500" s="1164"/>
      <c r="Y500" s="473"/>
      <c r="Z500" s="473"/>
      <c r="AA500" s="1164"/>
      <c r="AB500" s="473"/>
      <c r="AC500" s="1164"/>
      <c r="AD500" s="473"/>
      <c r="AE500" s="1164"/>
      <c r="AF500" s="473"/>
      <c r="AG500" s="1164"/>
      <c r="AH500" s="473"/>
      <c r="AI500" s="473"/>
      <c r="AJ500" s="1164"/>
      <c r="AK500" s="473"/>
      <c r="AL500" s="473"/>
      <c r="AM500" s="1164"/>
      <c r="AN500" s="473"/>
      <c r="AO500" s="473"/>
      <c r="AP500" s="1164"/>
      <c r="AQ500" s="473"/>
      <c r="AR500" s="473"/>
      <c r="AS500" s="1236"/>
      <c r="AT500" s="473"/>
      <c r="AU500" s="473"/>
      <c r="AV500" s="1164"/>
      <c r="AW500" s="1164"/>
      <c r="AX500" s="1236"/>
      <c r="AY500" s="473"/>
      <c r="AZ500" s="1236"/>
      <c r="BA500" s="473"/>
      <c r="BB500" s="473"/>
      <c r="BC500" s="1164"/>
      <c r="BD500" s="20"/>
      <c r="BE500" s="473"/>
      <c r="BF500" s="610"/>
      <c r="BG500" s="610"/>
      <c r="BH500" s="610"/>
      <c r="BI500" s="610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</row>
    <row r="501" spans="1:148" s="22" customFormat="1" x14ac:dyDescent="0.25">
      <c r="A501" s="20"/>
      <c r="B501" s="16"/>
      <c r="C501" s="473"/>
      <c r="D501" s="473"/>
      <c r="E501" s="1164"/>
      <c r="F501" s="473"/>
      <c r="G501" s="473"/>
      <c r="H501" s="1164"/>
      <c r="I501" s="473"/>
      <c r="J501" s="473"/>
      <c r="K501" s="1164"/>
      <c r="L501" s="473"/>
      <c r="M501" s="473"/>
      <c r="N501" s="1164"/>
      <c r="O501" s="473"/>
      <c r="P501" s="473"/>
      <c r="Q501" s="1164"/>
      <c r="R501" s="473"/>
      <c r="S501" s="473"/>
      <c r="T501" s="1164"/>
      <c r="U501" s="1164"/>
      <c r="V501" s="473"/>
      <c r="W501" s="473"/>
      <c r="X501" s="1164"/>
      <c r="Y501" s="473"/>
      <c r="Z501" s="473"/>
      <c r="AA501" s="1164"/>
      <c r="AB501" s="473"/>
      <c r="AC501" s="1164"/>
      <c r="AD501" s="473"/>
      <c r="AE501" s="1164"/>
      <c r="AF501" s="473"/>
      <c r="AG501" s="1164"/>
      <c r="AH501" s="473"/>
      <c r="AI501" s="473"/>
      <c r="AJ501" s="1164"/>
      <c r="AK501" s="473"/>
      <c r="AL501" s="473"/>
      <c r="AM501" s="1164"/>
      <c r="AN501" s="473"/>
      <c r="AO501" s="473"/>
      <c r="AP501" s="1164"/>
      <c r="AQ501" s="473"/>
      <c r="AR501" s="473"/>
      <c r="AS501" s="1236"/>
      <c r="AT501" s="473"/>
      <c r="AU501" s="473"/>
      <c r="AV501" s="1164"/>
      <c r="AW501" s="1164"/>
      <c r="AX501" s="1236"/>
      <c r="AY501" s="473"/>
      <c r="AZ501" s="1236"/>
      <c r="BA501" s="473"/>
      <c r="BB501" s="473"/>
      <c r="BC501" s="1164"/>
      <c r="BD501" s="20"/>
      <c r="BE501" s="473"/>
      <c r="BF501" s="610"/>
      <c r="BG501" s="610"/>
      <c r="BH501" s="610"/>
      <c r="BI501" s="610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</row>
    <row r="502" spans="1:148" s="22" customFormat="1" x14ac:dyDescent="0.25">
      <c r="A502" s="20"/>
      <c r="B502" s="16"/>
      <c r="C502" s="473"/>
      <c r="D502" s="473"/>
      <c r="E502" s="1164"/>
      <c r="F502" s="473"/>
      <c r="G502" s="473"/>
      <c r="H502" s="1164"/>
      <c r="I502" s="473"/>
      <c r="J502" s="473"/>
      <c r="K502" s="1164"/>
      <c r="L502" s="473"/>
      <c r="M502" s="473"/>
      <c r="N502" s="1164"/>
      <c r="O502" s="473"/>
      <c r="P502" s="473"/>
      <c r="Q502" s="1164"/>
      <c r="R502" s="473"/>
      <c r="S502" s="473"/>
      <c r="T502" s="1164"/>
      <c r="U502" s="1164"/>
      <c r="V502" s="473"/>
      <c r="W502" s="473"/>
      <c r="X502" s="1164"/>
      <c r="Y502" s="473"/>
      <c r="Z502" s="473"/>
      <c r="AA502" s="1164"/>
      <c r="AB502" s="473"/>
      <c r="AC502" s="1164"/>
      <c r="AD502" s="473"/>
      <c r="AE502" s="1164"/>
      <c r="AF502" s="473"/>
      <c r="AG502" s="1164"/>
      <c r="AH502" s="473"/>
      <c r="AI502" s="473"/>
      <c r="AJ502" s="1164"/>
      <c r="AK502" s="473"/>
      <c r="AL502" s="473"/>
      <c r="AM502" s="1164"/>
      <c r="AN502" s="473"/>
      <c r="AO502" s="473"/>
      <c r="AP502" s="1164"/>
      <c r="AQ502" s="473"/>
      <c r="AR502" s="473"/>
      <c r="AS502" s="1236"/>
      <c r="AT502" s="473"/>
      <c r="AU502" s="473"/>
      <c r="AV502" s="1164"/>
      <c r="AW502" s="1164"/>
      <c r="AX502" s="1236"/>
      <c r="AY502" s="473"/>
      <c r="AZ502" s="1236"/>
      <c r="BA502" s="473"/>
      <c r="BB502" s="473"/>
      <c r="BC502" s="1164"/>
      <c r="BD502" s="20"/>
      <c r="BE502" s="473"/>
      <c r="BF502" s="610"/>
      <c r="BG502" s="610"/>
      <c r="BH502" s="610"/>
      <c r="BI502" s="610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</row>
    <row r="503" spans="1:148" s="22" customFormat="1" x14ac:dyDescent="0.25">
      <c r="A503" s="20"/>
      <c r="B503" s="16"/>
      <c r="C503" s="473"/>
      <c r="D503" s="473"/>
      <c r="E503" s="1164"/>
      <c r="F503" s="473"/>
      <c r="G503" s="473"/>
      <c r="H503" s="1164"/>
      <c r="I503" s="473"/>
      <c r="J503" s="473"/>
      <c r="K503" s="1164"/>
      <c r="L503" s="473"/>
      <c r="M503" s="473"/>
      <c r="N503" s="1164"/>
      <c r="O503" s="473"/>
      <c r="P503" s="473"/>
      <c r="Q503" s="1164"/>
      <c r="R503" s="473"/>
      <c r="S503" s="473"/>
      <c r="T503" s="1164"/>
      <c r="U503" s="1164"/>
      <c r="V503" s="473"/>
      <c r="W503" s="473"/>
      <c r="X503" s="1164"/>
      <c r="Y503" s="473"/>
      <c r="Z503" s="473"/>
      <c r="AA503" s="1164"/>
      <c r="AB503" s="473"/>
      <c r="AC503" s="1164"/>
      <c r="AD503" s="473"/>
      <c r="AE503" s="1164"/>
      <c r="AF503" s="473"/>
      <c r="AG503" s="1164"/>
      <c r="AH503" s="473"/>
      <c r="AI503" s="473"/>
      <c r="AJ503" s="1164"/>
      <c r="AK503" s="473"/>
      <c r="AL503" s="473"/>
      <c r="AM503" s="1164"/>
      <c r="AN503" s="473"/>
      <c r="AO503" s="473"/>
      <c r="AP503" s="1164"/>
      <c r="AQ503" s="473"/>
      <c r="AR503" s="473"/>
      <c r="AS503" s="1236"/>
      <c r="AT503" s="473"/>
      <c r="AU503" s="473"/>
      <c r="AV503" s="1164"/>
      <c r="AW503" s="1164"/>
      <c r="AX503" s="1236"/>
      <c r="AY503" s="473"/>
      <c r="AZ503" s="1236"/>
      <c r="BA503" s="473"/>
      <c r="BB503" s="473"/>
      <c r="BC503" s="1164"/>
      <c r="BD503" s="20"/>
      <c r="BE503" s="473"/>
      <c r="BF503" s="610"/>
      <c r="BG503" s="610"/>
      <c r="BH503" s="610"/>
      <c r="BI503" s="610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</row>
    <row r="504" spans="1:148" s="22" customFormat="1" x14ac:dyDescent="0.25">
      <c r="A504" s="20"/>
      <c r="B504" s="16"/>
      <c r="C504" s="473"/>
      <c r="D504" s="473"/>
      <c r="E504" s="1164"/>
      <c r="F504" s="473"/>
      <c r="G504" s="473"/>
      <c r="H504" s="1164"/>
      <c r="I504" s="473"/>
      <c r="J504" s="473"/>
      <c r="K504" s="1164"/>
      <c r="L504" s="473"/>
      <c r="M504" s="473"/>
      <c r="N504" s="1164"/>
      <c r="O504" s="473"/>
      <c r="P504" s="473"/>
      <c r="Q504" s="1164"/>
      <c r="R504" s="473"/>
      <c r="S504" s="473"/>
      <c r="T504" s="1164"/>
      <c r="U504" s="1164"/>
      <c r="V504" s="473"/>
      <c r="W504" s="473"/>
      <c r="X504" s="1164"/>
      <c r="Y504" s="473"/>
      <c r="Z504" s="473"/>
      <c r="AA504" s="1164"/>
      <c r="AB504" s="473"/>
      <c r="AC504" s="1164"/>
      <c r="AD504" s="473"/>
      <c r="AE504" s="1164"/>
      <c r="AF504" s="473"/>
      <c r="AG504" s="1164"/>
      <c r="AH504" s="473"/>
      <c r="AI504" s="473"/>
      <c r="AJ504" s="1164"/>
      <c r="AK504" s="473"/>
      <c r="AL504" s="473"/>
      <c r="AM504" s="1164"/>
      <c r="AN504" s="473"/>
      <c r="AO504" s="473"/>
      <c r="AP504" s="1164"/>
      <c r="AQ504" s="473"/>
      <c r="AR504" s="473"/>
      <c r="AS504" s="1236"/>
      <c r="AT504" s="473"/>
      <c r="AU504" s="473"/>
      <c r="AV504" s="1164"/>
      <c r="AW504" s="1164"/>
      <c r="AX504" s="1236"/>
      <c r="AY504" s="473"/>
      <c r="AZ504" s="1236"/>
      <c r="BA504" s="473"/>
      <c r="BB504" s="473"/>
      <c r="BC504" s="1164"/>
      <c r="BD504" s="20"/>
      <c r="BE504" s="473"/>
      <c r="BF504" s="610"/>
      <c r="BG504" s="610"/>
      <c r="BH504" s="610"/>
      <c r="BI504" s="610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</row>
    <row r="505" spans="1:148" s="22" customFormat="1" x14ac:dyDescent="0.25">
      <c r="A505" s="20"/>
      <c r="B505" s="16"/>
      <c r="C505" s="473"/>
      <c r="D505" s="473"/>
      <c r="E505" s="1164"/>
      <c r="F505" s="473"/>
      <c r="G505" s="473"/>
      <c r="H505" s="1164"/>
      <c r="I505" s="473"/>
      <c r="J505" s="473"/>
      <c r="K505" s="1164"/>
      <c r="L505" s="473"/>
      <c r="M505" s="473"/>
      <c r="N505" s="1164"/>
      <c r="O505" s="473"/>
      <c r="P505" s="473"/>
      <c r="Q505" s="1164"/>
      <c r="R505" s="473"/>
      <c r="S505" s="473"/>
      <c r="T505" s="1164"/>
      <c r="U505" s="1164"/>
      <c r="V505" s="473"/>
      <c r="W505" s="473"/>
      <c r="X505" s="1164"/>
      <c r="Y505" s="473"/>
      <c r="Z505" s="473"/>
      <c r="AA505" s="1164"/>
      <c r="AB505" s="473"/>
      <c r="AC505" s="1164"/>
      <c r="AD505" s="473"/>
      <c r="AE505" s="1164"/>
      <c r="AF505" s="473"/>
      <c r="AG505" s="1164"/>
      <c r="AH505" s="473"/>
      <c r="AI505" s="473"/>
      <c r="AJ505" s="1164"/>
      <c r="AK505" s="473"/>
      <c r="AL505" s="473"/>
      <c r="AM505" s="1164"/>
      <c r="AN505" s="473"/>
      <c r="AO505" s="473"/>
      <c r="AP505" s="1164"/>
      <c r="AQ505" s="473"/>
      <c r="AR505" s="473"/>
      <c r="AS505" s="1236"/>
      <c r="AT505" s="473"/>
      <c r="AU505" s="473"/>
      <c r="AV505" s="1164"/>
      <c r="AW505" s="1164"/>
      <c r="AX505" s="1236"/>
      <c r="AY505" s="473"/>
      <c r="AZ505" s="1236"/>
      <c r="BA505" s="473"/>
      <c r="BB505" s="473"/>
      <c r="BC505" s="1164"/>
      <c r="BD505" s="20"/>
      <c r="BE505" s="473"/>
      <c r="BF505" s="610"/>
      <c r="BG505" s="610"/>
      <c r="BH505" s="610"/>
      <c r="BI505" s="610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</row>
    <row r="506" spans="1:148" s="22" customFormat="1" x14ac:dyDescent="0.25">
      <c r="A506" s="20"/>
      <c r="B506" s="16"/>
      <c r="C506" s="473"/>
      <c r="D506" s="473"/>
      <c r="E506" s="1164"/>
      <c r="F506" s="473"/>
      <c r="G506" s="473"/>
      <c r="H506" s="1164"/>
      <c r="I506" s="473"/>
      <c r="J506" s="473"/>
      <c r="K506" s="1164"/>
      <c r="L506" s="473"/>
      <c r="M506" s="473"/>
      <c r="N506" s="1164"/>
      <c r="O506" s="473"/>
      <c r="P506" s="473"/>
      <c r="Q506" s="1164"/>
      <c r="R506" s="473"/>
      <c r="S506" s="473"/>
      <c r="T506" s="1164"/>
      <c r="U506" s="1164"/>
      <c r="V506" s="473"/>
      <c r="W506" s="473"/>
      <c r="X506" s="1164"/>
      <c r="Y506" s="473"/>
      <c r="Z506" s="473"/>
      <c r="AA506" s="1164"/>
      <c r="AB506" s="473"/>
      <c r="AC506" s="1164"/>
      <c r="AD506" s="473"/>
      <c r="AE506" s="1164"/>
      <c r="AF506" s="473"/>
      <c r="AG506" s="1164"/>
      <c r="AH506" s="473"/>
      <c r="AI506" s="473"/>
      <c r="AJ506" s="1164"/>
      <c r="AK506" s="473"/>
      <c r="AL506" s="473"/>
      <c r="AM506" s="1164"/>
      <c r="AN506" s="473"/>
      <c r="AO506" s="473"/>
      <c r="AP506" s="1164"/>
      <c r="AQ506" s="473"/>
      <c r="AR506" s="473"/>
      <c r="AS506" s="1236"/>
      <c r="AT506" s="473"/>
      <c r="AU506" s="473"/>
      <c r="AV506" s="1164"/>
      <c r="AW506" s="1164"/>
      <c r="AX506" s="1236"/>
      <c r="AY506" s="473"/>
      <c r="AZ506" s="1236"/>
      <c r="BA506" s="473"/>
      <c r="BB506" s="473"/>
      <c r="BC506" s="1164"/>
      <c r="BD506" s="20"/>
      <c r="BE506" s="473"/>
      <c r="BF506" s="610"/>
      <c r="BG506" s="610"/>
      <c r="BH506" s="610"/>
      <c r="BI506" s="610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</row>
    <row r="507" spans="1:148" s="22" customFormat="1" x14ac:dyDescent="0.25">
      <c r="A507" s="20"/>
      <c r="B507" s="16"/>
      <c r="C507" s="473"/>
      <c r="D507" s="473"/>
      <c r="E507" s="1164"/>
      <c r="F507" s="473"/>
      <c r="G507" s="473"/>
      <c r="H507" s="1164"/>
      <c r="I507" s="473"/>
      <c r="J507" s="473"/>
      <c r="K507" s="1164"/>
      <c r="L507" s="473"/>
      <c r="M507" s="473"/>
      <c r="N507" s="1164"/>
      <c r="O507" s="473"/>
      <c r="P507" s="473"/>
      <c r="Q507" s="1164"/>
      <c r="R507" s="473"/>
      <c r="S507" s="473"/>
      <c r="T507" s="1164"/>
      <c r="U507" s="1164"/>
      <c r="V507" s="473"/>
      <c r="W507" s="473"/>
      <c r="X507" s="1164"/>
      <c r="Y507" s="473"/>
      <c r="Z507" s="473"/>
      <c r="AA507" s="1164"/>
      <c r="AB507" s="473"/>
      <c r="AC507" s="1164"/>
      <c r="AD507" s="473"/>
      <c r="AE507" s="1164"/>
      <c r="AF507" s="473"/>
      <c r="AG507" s="1164"/>
      <c r="AH507" s="473"/>
      <c r="AI507" s="473"/>
      <c r="AJ507" s="1164"/>
      <c r="AK507" s="473"/>
      <c r="AL507" s="473"/>
      <c r="AM507" s="1164"/>
      <c r="AN507" s="473"/>
      <c r="AO507" s="473"/>
      <c r="AP507" s="1164"/>
      <c r="AQ507" s="473"/>
      <c r="AR507" s="473"/>
      <c r="AS507" s="1236"/>
      <c r="AT507" s="473"/>
      <c r="AU507" s="473"/>
      <c r="AV507" s="1164"/>
      <c r="AW507" s="1164"/>
      <c r="AX507" s="1236"/>
      <c r="AY507" s="473"/>
      <c r="AZ507" s="1236"/>
      <c r="BA507" s="473"/>
      <c r="BB507" s="473"/>
      <c r="BC507" s="1164"/>
      <c r="BD507" s="20"/>
      <c r="BE507" s="473"/>
      <c r="BF507" s="610"/>
      <c r="BG507" s="610"/>
      <c r="BH507" s="610"/>
      <c r="BI507" s="610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</row>
    <row r="508" spans="1:148" s="22" customFormat="1" x14ac:dyDescent="0.25">
      <c r="A508" s="20"/>
      <c r="B508" s="16"/>
      <c r="C508" s="473"/>
      <c r="D508" s="473"/>
      <c r="E508" s="1164"/>
      <c r="F508" s="473"/>
      <c r="G508" s="473"/>
      <c r="H508" s="1164"/>
      <c r="I508" s="473"/>
      <c r="J508" s="473"/>
      <c r="K508" s="1164"/>
      <c r="L508" s="473"/>
      <c r="M508" s="473"/>
      <c r="N508" s="1164"/>
      <c r="O508" s="473"/>
      <c r="P508" s="473"/>
      <c r="Q508" s="1164"/>
      <c r="R508" s="473"/>
      <c r="S508" s="473"/>
      <c r="T508" s="1164"/>
      <c r="U508" s="1164"/>
      <c r="V508" s="473"/>
      <c r="W508" s="473"/>
      <c r="X508" s="1164"/>
      <c r="Y508" s="473"/>
      <c r="Z508" s="473"/>
      <c r="AA508" s="1164"/>
      <c r="AB508" s="473"/>
      <c r="AC508" s="1164"/>
      <c r="AD508" s="473"/>
      <c r="AE508" s="1164"/>
      <c r="AF508" s="473"/>
      <c r="AG508" s="1164"/>
      <c r="AH508" s="473"/>
      <c r="AI508" s="473"/>
      <c r="AJ508" s="1164"/>
      <c r="AK508" s="473"/>
      <c r="AL508" s="473"/>
      <c r="AM508" s="1164"/>
      <c r="AN508" s="473"/>
      <c r="AO508" s="473"/>
      <c r="AP508" s="1164"/>
      <c r="AQ508" s="473"/>
      <c r="AR508" s="473"/>
      <c r="AS508" s="1236"/>
      <c r="AT508" s="473"/>
      <c r="AU508" s="473"/>
      <c r="AV508" s="1164"/>
      <c r="AW508" s="1164"/>
      <c r="AX508" s="1236"/>
      <c r="AY508" s="473"/>
      <c r="AZ508" s="1236"/>
      <c r="BA508" s="473"/>
      <c r="BB508" s="473"/>
      <c r="BC508" s="1164"/>
      <c r="BD508" s="20"/>
      <c r="BE508" s="473"/>
      <c r="BF508" s="610"/>
      <c r="BG508" s="610"/>
      <c r="BH508" s="610"/>
      <c r="BI508" s="610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</row>
    <row r="509" spans="1:148" s="22" customFormat="1" x14ac:dyDescent="0.25">
      <c r="A509" s="20"/>
      <c r="B509" s="16"/>
      <c r="C509" s="473"/>
      <c r="D509" s="473"/>
      <c r="E509" s="1164"/>
      <c r="F509" s="473"/>
      <c r="G509" s="473"/>
      <c r="H509" s="1164"/>
      <c r="I509" s="473"/>
      <c r="J509" s="473"/>
      <c r="K509" s="1164"/>
      <c r="L509" s="473"/>
      <c r="M509" s="473"/>
      <c r="N509" s="1164"/>
      <c r="O509" s="473"/>
      <c r="P509" s="473"/>
      <c r="Q509" s="1164"/>
      <c r="R509" s="473"/>
      <c r="S509" s="473"/>
      <c r="T509" s="1164"/>
      <c r="U509" s="1164"/>
      <c r="V509" s="473"/>
      <c r="W509" s="473"/>
      <c r="X509" s="1164"/>
      <c r="Y509" s="473"/>
      <c r="Z509" s="473"/>
      <c r="AA509" s="1164"/>
      <c r="AB509" s="473"/>
      <c r="AC509" s="1164"/>
      <c r="AD509" s="473"/>
      <c r="AE509" s="1164"/>
      <c r="AF509" s="473"/>
      <c r="AG509" s="1164"/>
      <c r="AH509" s="473"/>
      <c r="AI509" s="473"/>
      <c r="AJ509" s="1164"/>
      <c r="AK509" s="473"/>
      <c r="AL509" s="473"/>
      <c r="AM509" s="1164"/>
      <c r="AN509" s="473"/>
      <c r="AO509" s="473"/>
      <c r="AP509" s="1164"/>
      <c r="AQ509" s="473"/>
      <c r="AR509" s="473"/>
      <c r="AS509" s="1236"/>
      <c r="AT509" s="473"/>
      <c r="AU509" s="473"/>
      <c r="AV509" s="1164"/>
      <c r="AW509" s="1164"/>
      <c r="AX509" s="1236"/>
      <c r="AY509" s="473"/>
      <c r="AZ509" s="1236"/>
      <c r="BA509" s="473"/>
      <c r="BB509" s="473"/>
      <c r="BC509" s="1164"/>
      <c r="BD509" s="20"/>
      <c r="BE509" s="473"/>
      <c r="BF509" s="610"/>
      <c r="BG509" s="610"/>
      <c r="BH509" s="610"/>
      <c r="BI509" s="610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</row>
    <row r="510" spans="1:148" s="22" customFormat="1" x14ac:dyDescent="0.25">
      <c r="A510" s="20"/>
      <c r="B510" s="16"/>
      <c r="C510" s="473"/>
      <c r="D510" s="473"/>
      <c r="E510" s="1164"/>
      <c r="F510" s="473"/>
      <c r="G510" s="473"/>
      <c r="H510" s="1164"/>
      <c r="I510" s="473"/>
      <c r="J510" s="473"/>
      <c r="K510" s="1164"/>
      <c r="L510" s="473"/>
      <c r="M510" s="473"/>
      <c r="N510" s="1164"/>
      <c r="O510" s="473"/>
      <c r="P510" s="473"/>
      <c r="Q510" s="1164"/>
      <c r="R510" s="473"/>
      <c r="S510" s="473"/>
      <c r="T510" s="1164"/>
      <c r="U510" s="1164"/>
      <c r="V510" s="473"/>
      <c r="W510" s="473"/>
      <c r="X510" s="1164"/>
      <c r="Y510" s="473"/>
      <c r="Z510" s="473"/>
      <c r="AA510" s="1164"/>
      <c r="AB510" s="473"/>
      <c r="AC510" s="1164"/>
      <c r="AD510" s="473"/>
      <c r="AE510" s="1164"/>
      <c r="AF510" s="473"/>
      <c r="AG510" s="1164"/>
      <c r="AH510" s="473"/>
      <c r="AI510" s="473"/>
      <c r="AJ510" s="1164"/>
      <c r="AK510" s="473"/>
      <c r="AL510" s="473"/>
      <c r="AM510" s="1164"/>
      <c r="AN510" s="473"/>
      <c r="AO510" s="473"/>
      <c r="AP510" s="1164"/>
      <c r="AQ510" s="473"/>
      <c r="AR510" s="473"/>
      <c r="AS510" s="1236"/>
      <c r="AT510" s="473"/>
      <c r="AU510" s="473"/>
      <c r="AV510" s="1164"/>
      <c r="AW510" s="1164"/>
      <c r="AX510" s="1236"/>
      <c r="AY510" s="473"/>
      <c r="AZ510" s="1236"/>
      <c r="BA510" s="473"/>
      <c r="BB510" s="473"/>
      <c r="BC510" s="1164"/>
      <c r="BD510" s="20"/>
      <c r="BE510" s="473"/>
      <c r="BF510" s="610"/>
      <c r="BG510" s="610"/>
      <c r="BH510" s="610"/>
      <c r="BI510" s="610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</row>
    <row r="511" spans="1:148" s="22" customFormat="1" x14ac:dyDescent="0.25">
      <c r="A511" s="20"/>
      <c r="B511" s="16"/>
      <c r="C511" s="473"/>
      <c r="D511" s="473"/>
      <c r="E511" s="1164"/>
      <c r="F511" s="473"/>
      <c r="G511" s="473"/>
      <c r="H511" s="1164"/>
      <c r="I511" s="473"/>
      <c r="J511" s="473"/>
      <c r="K511" s="1164"/>
      <c r="L511" s="473"/>
      <c r="M511" s="473"/>
      <c r="N511" s="1164"/>
      <c r="O511" s="473"/>
      <c r="P511" s="473"/>
      <c r="Q511" s="1164"/>
      <c r="R511" s="473"/>
      <c r="S511" s="473"/>
      <c r="T511" s="1164"/>
      <c r="U511" s="1164"/>
      <c r="V511" s="473"/>
      <c r="W511" s="473"/>
      <c r="X511" s="1164"/>
      <c r="Y511" s="473"/>
      <c r="Z511" s="473"/>
      <c r="AA511" s="1164"/>
      <c r="AB511" s="473"/>
      <c r="AC511" s="1164"/>
      <c r="AD511" s="473"/>
      <c r="AE511" s="1164"/>
      <c r="AF511" s="473"/>
      <c r="AG511" s="1164"/>
      <c r="AH511" s="473"/>
      <c r="AI511" s="473"/>
      <c r="AJ511" s="1164"/>
      <c r="AK511" s="473"/>
      <c r="AL511" s="473"/>
      <c r="AM511" s="1164"/>
      <c r="AN511" s="473"/>
      <c r="AO511" s="473"/>
      <c r="AP511" s="1164"/>
      <c r="AQ511" s="473"/>
      <c r="AR511" s="473"/>
      <c r="AS511" s="1236"/>
      <c r="AT511" s="473"/>
      <c r="AU511" s="473"/>
      <c r="AV511" s="1164"/>
      <c r="AW511" s="1164"/>
      <c r="AX511" s="1236"/>
      <c r="AY511" s="473"/>
      <c r="AZ511" s="1236"/>
      <c r="BA511" s="473"/>
      <c r="BB511" s="473"/>
      <c r="BC511" s="1164"/>
      <c r="BD511" s="20"/>
      <c r="BE511" s="473"/>
      <c r="BF511" s="610"/>
      <c r="BG511" s="610"/>
      <c r="BH511" s="610"/>
      <c r="BI511" s="610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</row>
    <row r="512" spans="1:148" s="22" customFormat="1" x14ac:dyDescent="0.25">
      <c r="A512" s="20"/>
      <c r="B512" s="16"/>
      <c r="C512" s="473"/>
      <c r="D512" s="473"/>
      <c r="E512" s="1164"/>
      <c r="F512" s="473"/>
      <c r="G512" s="473"/>
      <c r="H512" s="1164"/>
      <c r="I512" s="473"/>
      <c r="J512" s="473"/>
      <c r="K512" s="1164"/>
      <c r="L512" s="473"/>
      <c r="M512" s="473"/>
      <c r="N512" s="1164"/>
      <c r="O512" s="473"/>
      <c r="P512" s="473"/>
      <c r="Q512" s="1164"/>
      <c r="R512" s="473"/>
      <c r="S512" s="473"/>
      <c r="T512" s="1164"/>
      <c r="U512" s="1164"/>
      <c r="V512" s="473"/>
      <c r="W512" s="473"/>
      <c r="X512" s="1164"/>
      <c r="Y512" s="473"/>
      <c r="Z512" s="473"/>
      <c r="AA512" s="1164"/>
      <c r="AB512" s="473"/>
      <c r="AC512" s="1164"/>
      <c r="AD512" s="473"/>
      <c r="AE512" s="1164"/>
      <c r="AF512" s="473"/>
      <c r="AG512" s="1164"/>
      <c r="AH512" s="473"/>
      <c r="AI512" s="473"/>
      <c r="AJ512" s="1164"/>
      <c r="AK512" s="473"/>
      <c r="AL512" s="473"/>
      <c r="AM512" s="1164"/>
      <c r="AN512" s="473"/>
      <c r="AO512" s="473"/>
      <c r="AP512" s="1164"/>
      <c r="AQ512" s="473"/>
      <c r="AR512" s="473"/>
      <c r="AS512" s="1236"/>
      <c r="AT512" s="473"/>
      <c r="AU512" s="473"/>
      <c r="AV512" s="1164"/>
      <c r="AW512" s="1164"/>
      <c r="AX512" s="1236"/>
      <c r="AY512" s="473"/>
      <c r="AZ512" s="1236"/>
      <c r="BA512" s="473"/>
      <c r="BB512" s="473"/>
      <c r="BC512" s="1164"/>
      <c r="BD512" s="20"/>
      <c r="BE512" s="473"/>
      <c r="BF512" s="610"/>
      <c r="BG512" s="610"/>
      <c r="BH512" s="610"/>
      <c r="BI512" s="610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</row>
    <row r="513" spans="1:148" s="22" customFormat="1" x14ac:dyDescent="0.25">
      <c r="A513" s="20"/>
      <c r="B513" s="16"/>
      <c r="C513" s="473"/>
      <c r="D513" s="473"/>
      <c r="E513" s="1164"/>
      <c r="F513" s="473"/>
      <c r="G513" s="473"/>
      <c r="H513" s="1164"/>
      <c r="I513" s="473"/>
      <c r="J513" s="473"/>
      <c r="K513" s="1164"/>
      <c r="L513" s="473"/>
      <c r="M513" s="473"/>
      <c r="N513" s="1164"/>
      <c r="O513" s="473"/>
      <c r="P513" s="473"/>
      <c r="Q513" s="1164"/>
      <c r="R513" s="473"/>
      <c r="S513" s="473"/>
      <c r="T513" s="1164"/>
      <c r="U513" s="1164"/>
      <c r="V513" s="473"/>
      <c r="W513" s="473"/>
      <c r="X513" s="1164"/>
      <c r="Y513" s="473"/>
      <c r="Z513" s="473"/>
      <c r="AA513" s="1164"/>
      <c r="AB513" s="473"/>
      <c r="AC513" s="1164"/>
      <c r="AD513" s="473"/>
      <c r="AE513" s="1164"/>
      <c r="AF513" s="473"/>
      <c r="AG513" s="1164"/>
      <c r="AH513" s="473"/>
      <c r="AI513" s="473"/>
      <c r="AJ513" s="1164"/>
      <c r="AK513" s="473"/>
      <c r="AL513" s="473"/>
      <c r="AM513" s="1164"/>
      <c r="AN513" s="473"/>
      <c r="AO513" s="473"/>
      <c r="AP513" s="1164"/>
      <c r="AQ513" s="473"/>
      <c r="AR513" s="473"/>
      <c r="AS513" s="1236"/>
      <c r="AT513" s="473"/>
      <c r="AU513" s="473"/>
      <c r="AV513" s="1164"/>
      <c r="AW513" s="1164"/>
      <c r="AX513" s="1236"/>
      <c r="AY513" s="473"/>
      <c r="AZ513" s="1236"/>
      <c r="BA513" s="473"/>
      <c r="BB513" s="473"/>
      <c r="BC513" s="1164"/>
      <c r="BD513" s="20"/>
      <c r="BE513" s="473"/>
      <c r="BF513" s="610"/>
      <c r="BG513" s="610"/>
      <c r="BH513" s="610"/>
      <c r="BI513" s="610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</row>
    <row r="514" spans="1:148" s="22" customFormat="1" x14ac:dyDescent="0.25">
      <c r="A514" s="20"/>
      <c r="B514" s="16"/>
      <c r="C514" s="473"/>
      <c r="D514" s="473"/>
      <c r="E514" s="1164"/>
      <c r="F514" s="473"/>
      <c r="G514" s="473"/>
      <c r="H514" s="1164"/>
      <c r="I514" s="473"/>
      <c r="J514" s="473"/>
      <c r="K514" s="1164"/>
      <c r="L514" s="473"/>
      <c r="M514" s="473"/>
      <c r="N514" s="1164"/>
      <c r="O514" s="473"/>
      <c r="P514" s="473"/>
      <c r="Q514" s="1164"/>
      <c r="R514" s="473"/>
      <c r="S514" s="473"/>
      <c r="T514" s="1164"/>
      <c r="U514" s="1164"/>
      <c r="V514" s="473"/>
      <c r="W514" s="473"/>
      <c r="X514" s="1164"/>
      <c r="Y514" s="473"/>
      <c r="Z514" s="473"/>
      <c r="AA514" s="1164"/>
      <c r="AB514" s="473"/>
      <c r="AC514" s="1164"/>
      <c r="AD514" s="473"/>
      <c r="AE514" s="1164"/>
      <c r="AF514" s="473"/>
      <c r="AG514" s="1164"/>
      <c r="AH514" s="473"/>
      <c r="AI514" s="473"/>
      <c r="AJ514" s="1164"/>
      <c r="AK514" s="473"/>
      <c r="AL514" s="473"/>
      <c r="AM514" s="1164"/>
      <c r="AN514" s="473"/>
      <c r="AO514" s="473"/>
      <c r="AP514" s="1164"/>
      <c r="AQ514" s="473"/>
      <c r="AR514" s="473"/>
      <c r="AS514" s="1236"/>
      <c r="AT514" s="473"/>
      <c r="AU514" s="473"/>
      <c r="AV514" s="1164"/>
      <c r="AW514" s="1164"/>
      <c r="AX514" s="1236"/>
      <c r="AY514" s="473"/>
      <c r="AZ514" s="1236"/>
      <c r="BA514" s="473"/>
      <c r="BB514" s="473"/>
      <c r="BC514" s="1164"/>
      <c r="BD514" s="20"/>
      <c r="BE514" s="473"/>
      <c r="BF514" s="610"/>
      <c r="BG514" s="610"/>
      <c r="BH514" s="610"/>
      <c r="BI514" s="610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</row>
    <row r="515" spans="1:148" s="22" customFormat="1" x14ac:dyDescent="0.25">
      <c r="A515" s="20"/>
      <c r="B515" s="16"/>
      <c r="C515" s="473"/>
      <c r="D515" s="473"/>
      <c r="E515" s="1164"/>
      <c r="F515" s="473"/>
      <c r="G515" s="473"/>
      <c r="H515" s="1164"/>
      <c r="I515" s="473"/>
      <c r="J515" s="473"/>
      <c r="K515" s="1164"/>
      <c r="L515" s="473"/>
      <c r="M515" s="473"/>
      <c r="N515" s="1164"/>
      <c r="O515" s="473"/>
      <c r="P515" s="473"/>
      <c r="Q515" s="1164"/>
      <c r="R515" s="473"/>
      <c r="S515" s="473"/>
      <c r="T515" s="1164"/>
      <c r="U515" s="1164"/>
      <c r="V515" s="473"/>
      <c r="W515" s="473"/>
      <c r="X515" s="1164"/>
      <c r="Y515" s="473"/>
      <c r="Z515" s="473"/>
      <c r="AA515" s="1164"/>
      <c r="AB515" s="473"/>
      <c r="AC515" s="1164"/>
      <c r="AD515" s="473"/>
      <c r="AE515" s="1164"/>
      <c r="AF515" s="473"/>
      <c r="AG515" s="1164"/>
      <c r="AH515" s="473"/>
      <c r="AI515" s="473"/>
      <c r="AJ515" s="1164"/>
      <c r="AK515" s="473"/>
      <c r="AL515" s="473"/>
      <c r="AM515" s="1164"/>
      <c r="AN515" s="473"/>
      <c r="AO515" s="473"/>
      <c r="AP515" s="1164"/>
      <c r="AQ515" s="473"/>
      <c r="AR515" s="473"/>
      <c r="AS515" s="1236"/>
      <c r="AT515" s="473"/>
      <c r="AU515" s="473"/>
      <c r="AV515" s="1164"/>
      <c r="AW515" s="1164"/>
      <c r="AX515" s="1236"/>
      <c r="AY515" s="473"/>
      <c r="AZ515" s="1236"/>
      <c r="BA515" s="473"/>
      <c r="BB515" s="473"/>
      <c r="BC515" s="1164"/>
      <c r="BD515" s="20"/>
      <c r="BE515" s="473"/>
      <c r="BF515" s="610"/>
      <c r="BG515" s="610"/>
      <c r="BH515" s="610"/>
      <c r="BI515" s="610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</row>
    <row r="516" spans="1:148" s="22" customFormat="1" x14ac:dyDescent="0.25">
      <c r="A516" s="20"/>
      <c r="B516" s="16"/>
      <c r="C516" s="473"/>
      <c r="D516" s="473"/>
      <c r="E516" s="1164"/>
      <c r="F516" s="473"/>
      <c r="G516" s="473"/>
      <c r="H516" s="1164"/>
      <c r="I516" s="473"/>
      <c r="J516" s="473"/>
      <c r="K516" s="1164"/>
      <c r="L516" s="473"/>
      <c r="M516" s="473"/>
      <c r="N516" s="1164"/>
      <c r="O516" s="473"/>
      <c r="P516" s="473"/>
      <c r="Q516" s="1164"/>
      <c r="R516" s="473"/>
      <c r="S516" s="473"/>
      <c r="T516" s="1164"/>
      <c r="U516" s="1164"/>
      <c r="V516" s="473"/>
      <c r="W516" s="473"/>
      <c r="X516" s="1164"/>
      <c r="Y516" s="473"/>
      <c r="Z516" s="473"/>
      <c r="AA516" s="1164"/>
      <c r="AB516" s="473"/>
      <c r="AC516" s="1164"/>
      <c r="AD516" s="473"/>
      <c r="AE516" s="1164"/>
      <c r="AF516" s="473"/>
      <c r="AG516" s="1164"/>
      <c r="AH516" s="473"/>
      <c r="AI516" s="473"/>
      <c r="AJ516" s="1164"/>
      <c r="AK516" s="473"/>
      <c r="AL516" s="473"/>
      <c r="AM516" s="1164"/>
      <c r="AN516" s="473"/>
      <c r="AO516" s="473"/>
      <c r="AP516" s="1164"/>
      <c r="AQ516" s="473"/>
      <c r="AR516" s="473"/>
      <c r="AS516" s="1236"/>
      <c r="AT516" s="473"/>
      <c r="AU516" s="473"/>
      <c r="AV516" s="1164"/>
      <c r="AW516" s="1164"/>
      <c r="AX516" s="1236"/>
      <c r="AY516" s="473"/>
      <c r="AZ516" s="1236"/>
      <c r="BA516" s="473"/>
      <c r="BB516" s="473"/>
      <c r="BC516" s="1164"/>
      <c r="BD516" s="20"/>
      <c r="BE516" s="473"/>
      <c r="BF516" s="610"/>
      <c r="BG516" s="610"/>
      <c r="BH516" s="610"/>
      <c r="BI516" s="610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</row>
    <row r="517" spans="1:148" s="22" customFormat="1" x14ac:dyDescent="0.25">
      <c r="A517" s="20"/>
      <c r="B517" s="16"/>
      <c r="C517" s="473"/>
      <c r="D517" s="473"/>
      <c r="E517" s="1164"/>
      <c r="F517" s="473"/>
      <c r="G517" s="473"/>
      <c r="H517" s="1164"/>
      <c r="I517" s="473"/>
      <c r="J517" s="473"/>
      <c r="K517" s="1164"/>
      <c r="L517" s="473"/>
      <c r="M517" s="473"/>
      <c r="N517" s="1164"/>
      <c r="O517" s="473"/>
      <c r="P517" s="473"/>
      <c r="Q517" s="1164"/>
      <c r="R517" s="473"/>
      <c r="S517" s="473"/>
      <c r="T517" s="1164"/>
      <c r="U517" s="1164"/>
      <c r="V517" s="473"/>
      <c r="W517" s="473"/>
      <c r="X517" s="1164"/>
      <c r="Y517" s="473"/>
      <c r="Z517" s="473"/>
      <c r="AA517" s="1164"/>
      <c r="AB517" s="473"/>
      <c r="AC517" s="1164"/>
      <c r="AD517" s="473"/>
      <c r="AE517" s="1164"/>
      <c r="AF517" s="473"/>
      <c r="AG517" s="1164"/>
      <c r="AH517" s="473"/>
      <c r="AI517" s="473"/>
      <c r="AJ517" s="1164"/>
      <c r="AK517" s="473"/>
      <c r="AL517" s="473"/>
      <c r="AM517" s="1164"/>
      <c r="AN517" s="473"/>
      <c r="AO517" s="473"/>
      <c r="AP517" s="1164"/>
      <c r="AQ517" s="473"/>
      <c r="AR517" s="473"/>
      <c r="AS517" s="1236"/>
      <c r="AT517" s="473"/>
      <c r="AU517" s="473"/>
      <c r="AV517" s="1164"/>
      <c r="AW517" s="1164"/>
      <c r="AX517" s="1236"/>
      <c r="AY517" s="473"/>
      <c r="AZ517" s="1236"/>
      <c r="BA517" s="473"/>
      <c r="BB517" s="473"/>
      <c r="BC517" s="1164"/>
      <c r="BD517" s="20"/>
      <c r="BE517" s="473"/>
      <c r="BF517" s="610"/>
      <c r="BG517" s="610"/>
      <c r="BH517" s="610"/>
      <c r="BI517" s="610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</row>
    <row r="518" spans="1:148" s="22" customFormat="1" x14ac:dyDescent="0.25">
      <c r="A518" s="20"/>
      <c r="B518" s="16"/>
      <c r="C518" s="473"/>
      <c r="D518" s="473"/>
      <c r="E518" s="1164"/>
      <c r="F518" s="473"/>
      <c r="G518" s="473"/>
      <c r="H518" s="1164"/>
      <c r="I518" s="473"/>
      <c r="J518" s="473"/>
      <c r="K518" s="1164"/>
      <c r="L518" s="473"/>
      <c r="M518" s="473"/>
      <c r="N518" s="1164"/>
      <c r="O518" s="473"/>
      <c r="P518" s="473"/>
      <c r="Q518" s="1164"/>
      <c r="R518" s="473"/>
      <c r="S518" s="473"/>
      <c r="T518" s="1164"/>
      <c r="U518" s="1164"/>
      <c r="V518" s="473"/>
      <c r="W518" s="473"/>
      <c r="X518" s="1164"/>
      <c r="Y518" s="473"/>
      <c r="Z518" s="473"/>
      <c r="AA518" s="1164"/>
      <c r="AB518" s="473"/>
      <c r="AC518" s="1164"/>
      <c r="AD518" s="473"/>
      <c r="AE518" s="1164"/>
      <c r="AF518" s="473"/>
      <c r="AG518" s="1164"/>
      <c r="AH518" s="473"/>
      <c r="AI518" s="473"/>
      <c r="AJ518" s="1164"/>
      <c r="AK518" s="473"/>
      <c r="AL518" s="473"/>
      <c r="AM518" s="1164"/>
      <c r="AN518" s="473"/>
      <c r="AO518" s="473"/>
      <c r="AP518" s="1164"/>
      <c r="AQ518" s="473"/>
      <c r="AR518" s="473"/>
      <c r="AS518" s="1236"/>
      <c r="AT518" s="473"/>
      <c r="AU518" s="473"/>
      <c r="AV518" s="1164"/>
      <c r="AW518" s="1164"/>
      <c r="AX518" s="1236"/>
      <c r="AY518" s="473"/>
      <c r="AZ518" s="1236"/>
      <c r="BA518" s="473"/>
      <c r="BB518" s="473"/>
      <c r="BC518" s="1164"/>
      <c r="BD518" s="20"/>
      <c r="BE518" s="473"/>
      <c r="BF518" s="610"/>
      <c r="BG518" s="610"/>
      <c r="BH518" s="610"/>
      <c r="BI518" s="610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</row>
    <row r="519" spans="1:148" s="22" customFormat="1" x14ac:dyDescent="0.25">
      <c r="A519" s="20"/>
      <c r="B519" s="16"/>
      <c r="C519" s="473"/>
      <c r="D519" s="473"/>
      <c r="E519" s="1164"/>
      <c r="F519" s="473"/>
      <c r="G519" s="473"/>
      <c r="H519" s="1164"/>
      <c r="I519" s="473"/>
      <c r="J519" s="473"/>
      <c r="K519" s="1164"/>
      <c r="L519" s="473"/>
      <c r="M519" s="473"/>
      <c r="N519" s="1164"/>
      <c r="O519" s="473"/>
      <c r="P519" s="473"/>
      <c r="Q519" s="1164"/>
      <c r="R519" s="473"/>
      <c r="S519" s="473"/>
      <c r="T519" s="1164"/>
      <c r="U519" s="1164"/>
      <c r="V519" s="473"/>
      <c r="W519" s="473"/>
      <c r="X519" s="1164"/>
      <c r="Y519" s="473"/>
      <c r="Z519" s="473"/>
      <c r="AA519" s="1164"/>
      <c r="AB519" s="473"/>
      <c r="AC519" s="1164"/>
      <c r="AD519" s="473"/>
      <c r="AE519" s="1164"/>
      <c r="AF519" s="473"/>
      <c r="AG519" s="1164"/>
      <c r="AH519" s="473"/>
      <c r="AI519" s="473"/>
      <c r="AJ519" s="1164"/>
      <c r="AK519" s="473"/>
      <c r="AL519" s="473"/>
      <c r="AM519" s="1164"/>
      <c r="AN519" s="473"/>
      <c r="AO519" s="473"/>
      <c r="AP519" s="1164"/>
      <c r="AQ519" s="473"/>
      <c r="AR519" s="473"/>
      <c r="AS519" s="1236"/>
      <c r="AT519" s="473"/>
      <c r="AU519" s="473"/>
      <c r="AV519" s="1164"/>
      <c r="AW519" s="1164"/>
      <c r="AX519" s="1236"/>
      <c r="AY519" s="473"/>
      <c r="AZ519" s="1236"/>
      <c r="BA519" s="473"/>
      <c r="BB519" s="473"/>
      <c r="BC519" s="1164"/>
      <c r="BD519" s="20"/>
      <c r="BE519" s="473"/>
      <c r="BF519" s="610"/>
      <c r="BG519" s="610"/>
      <c r="BH519" s="610"/>
      <c r="BI519" s="610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</row>
    <row r="520" spans="1:148" s="22" customFormat="1" x14ac:dyDescent="0.25">
      <c r="A520" s="20"/>
      <c r="B520" s="16"/>
      <c r="C520" s="473"/>
      <c r="D520" s="473"/>
      <c r="E520" s="1164"/>
      <c r="F520" s="473"/>
      <c r="G520" s="473"/>
      <c r="H520" s="1164"/>
      <c r="I520" s="473"/>
      <c r="J520" s="473"/>
      <c r="K520" s="1164"/>
      <c r="L520" s="473"/>
      <c r="M520" s="473"/>
      <c r="N520" s="1164"/>
      <c r="O520" s="473"/>
      <c r="P520" s="473"/>
      <c r="Q520" s="1164"/>
      <c r="R520" s="473"/>
      <c r="S520" s="473"/>
      <c r="T520" s="1164"/>
      <c r="U520" s="1164"/>
      <c r="V520" s="473"/>
      <c r="W520" s="473"/>
      <c r="X520" s="1164"/>
      <c r="Y520" s="473"/>
      <c r="Z520" s="473"/>
      <c r="AA520" s="1164"/>
      <c r="AB520" s="473"/>
      <c r="AC520" s="1164"/>
      <c r="AD520" s="473"/>
      <c r="AE520" s="1164"/>
      <c r="AF520" s="473"/>
      <c r="AG520" s="1164"/>
      <c r="AH520" s="473"/>
      <c r="AI520" s="473"/>
      <c r="AJ520" s="1164"/>
      <c r="AK520" s="473"/>
      <c r="AL520" s="473"/>
      <c r="AM520" s="1164"/>
      <c r="AN520" s="473"/>
      <c r="AO520" s="473"/>
      <c r="AP520" s="1164"/>
      <c r="AQ520" s="473"/>
      <c r="AR520" s="473"/>
      <c r="AS520" s="1236"/>
      <c r="AT520" s="473"/>
      <c r="AU520" s="473"/>
      <c r="AV520" s="1164"/>
      <c r="AW520" s="1164"/>
      <c r="AX520" s="1236"/>
      <c r="AY520" s="473"/>
      <c r="AZ520" s="1236"/>
      <c r="BA520" s="473"/>
      <c r="BB520" s="473"/>
      <c r="BC520" s="1164"/>
      <c r="BD520" s="20"/>
      <c r="BE520" s="473"/>
      <c r="BF520" s="610"/>
      <c r="BG520" s="610"/>
      <c r="BH520" s="610"/>
      <c r="BI520" s="610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</row>
    <row r="521" spans="1:148" s="22" customFormat="1" x14ac:dyDescent="0.25">
      <c r="A521" s="20"/>
      <c r="B521" s="16"/>
      <c r="C521" s="473"/>
      <c r="D521" s="473"/>
      <c r="E521" s="1164"/>
      <c r="F521" s="473"/>
      <c r="G521" s="473"/>
      <c r="H521" s="1164"/>
      <c r="I521" s="473"/>
      <c r="J521" s="473"/>
      <c r="K521" s="1164"/>
      <c r="L521" s="473"/>
      <c r="M521" s="473"/>
      <c r="N521" s="1164"/>
      <c r="O521" s="473"/>
      <c r="P521" s="473"/>
      <c r="Q521" s="1164"/>
      <c r="R521" s="473"/>
      <c r="S521" s="473"/>
      <c r="T521" s="1164"/>
      <c r="U521" s="1164"/>
      <c r="V521" s="473"/>
      <c r="W521" s="473"/>
      <c r="X521" s="1164"/>
      <c r="Y521" s="473"/>
      <c r="Z521" s="473"/>
      <c r="AA521" s="1164"/>
      <c r="AB521" s="473"/>
      <c r="AC521" s="1164"/>
      <c r="AD521" s="473"/>
      <c r="AE521" s="1164"/>
      <c r="AF521" s="473"/>
      <c r="AG521" s="1164"/>
      <c r="AH521" s="473"/>
      <c r="AI521" s="473"/>
      <c r="AJ521" s="1164"/>
      <c r="AK521" s="473"/>
      <c r="AL521" s="473"/>
      <c r="AM521" s="1164"/>
      <c r="AN521" s="473"/>
      <c r="AO521" s="473"/>
      <c r="AP521" s="1164"/>
      <c r="AQ521" s="473"/>
      <c r="AR521" s="473"/>
      <c r="AS521" s="1236"/>
      <c r="AT521" s="473"/>
      <c r="AU521" s="473"/>
      <c r="AV521" s="1164"/>
      <c r="AW521" s="1164"/>
      <c r="AX521" s="1236"/>
      <c r="AY521" s="473"/>
      <c r="AZ521" s="1236"/>
      <c r="BA521" s="473"/>
      <c r="BB521" s="473"/>
      <c r="BC521" s="1164"/>
      <c r="BD521" s="20"/>
      <c r="BE521" s="473"/>
      <c r="BF521" s="610"/>
      <c r="BG521" s="610"/>
      <c r="BH521" s="610"/>
      <c r="BI521" s="610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</row>
    <row r="522" spans="1:148" s="22" customFormat="1" x14ac:dyDescent="0.25">
      <c r="A522" s="20"/>
      <c r="B522" s="16"/>
      <c r="C522" s="473"/>
      <c r="D522" s="473"/>
      <c r="E522" s="1164"/>
      <c r="F522" s="473"/>
      <c r="G522" s="473"/>
      <c r="H522" s="1164"/>
      <c r="I522" s="473"/>
      <c r="J522" s="473"/>
      <c r="K522" s="1164"/>
      <c r="L522" s="473"/>
      <c r="M522" s="473"/>
      <c r="N522" s="1164"/>
      <c r="O522" s="473"/>
      <c r="P522" s="473"/>
      <c r="Q522" s="1164"/>
      <c r="R522" s="473"/>
      <c r="S522" s="473"/>
      <c r="T522" s="1164"/>
      <c r="U522" s="1164"/>
      <c r="V522" s="473"/>
      <c r="W522" s="473"/>
      <c r="X522" s="1164"/>
      <c r="Y522" s="473"/>
      <c r="Z522" s="473"/>
      <c r="AA522" s="1164"/>
      <c r="AB522" s="473"/>
      <c r="AC522" s="1164"/>
      <c r="AD522" s="473"/>
      <c r="AE522" s="1164"/>
      <c r="AF522" s="473"/>
      <c r="AG522" s="1164"/>
      <c r="AH522" s="473"/>
      <c r="AI522" s="473"/>
      <c r="AJ522" s="1164"/>
      <c r="AK522" s="473"/>
      <c r="AL522" s="473"/>
      <c r="AM522" s="1164"/>
      <c r="AN522" s="473"/>
      <c r="AO522" s="473"/>
      <c r="AP522" s="1164"/>
      <c r="AQ522" s="473"/>
      <c r="AR522" s="473"/>
      <c r="AS522" s="1236"/>
      <c r="AT522" s="473"/>
      <c r="AU522" s="473"/>
      <c r="AV522" s="1164"/>
      <c r="AW522" s="1164"/>
      <c r="AX522" s="1236"/>
      <c r="AY522" s="473"/>
      <c r="AZ522" s="1236"/>
      <c r="BA522" s="473"/>
      <c r="BB522" s="473"/>
      <c r="BC522" s="1164"/>
      <c r="BD522" s="20"/>
      <c r="BE522" s="473"/>
      <c r="BF522" s="610"/>
      <c r="BG522" s="610"/>
      <c r="BH522" s="610"/>
      <c r="BI522" s="610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</row>
    <row r="523" spans="1:148" s="22" customFormat="1" x14ac:dyDescent="0.25">
      <c r="A523" s="20"/>
      <c r="B523" s="16"/>
      <c r="C523" s="473"/>
      <c r="D523" s="473"/>
      <c r="E523" s="1164"/>
      <c r="F523" s="473"/>
      <c r="G523" s="473"/>
      <c r="H523" s="1164"/>
      <c r="I523" s="473"/>
      <c r="J523" s="473"/>
      <c r="K523" s="1164"/>
      <c r="L523" s="473"/>
      <c r="M523" s="473"/>
      <c r="N523" s="1164"/>
      <c r="O523" s="473"/>
      <c r="P523" s="473"/>
      <c r="Q523" s="1164"/>
      <c r="R523" s="473"/>
      <c r="S523" s="473"/>
      <c r="T523" s="1164"/>
      <c r="U523" s="1164"/>
      <c r="V523" s="473"/>
      <c r="W523" s="473"/>
      <c r="X523" s="1164"/>
      <c r="Y523" s="473"/>
      <c r="Z523" s="473"/>
      <c r="AA523" s="1164"/>
      <c r="AB523" s="473"/>
      <c r="AC523" s="1164"/>
      <c r="AD523" s="473"/>
      <c r="AE523" s="1164"/>
      <c r="AF523" s="473"/>
      <c r="AG523" s="1164"/>
      <c r="AH523" s="473"/>
      <c r="AI523" s="473"/>
      <c r="AJ523" s="1164"/>
      <c r="AK523" s="473"/>
      <c r="AL523" s="473"/>
      <c r="AM523" s="1164"/>
      <c r="AN523" s="473"/>
      <c r="AO523" s="473"/>
      <c r="AP523" s="1164"/>
      <c r="AQ523" s="473"/>
      <c r="AR523" s="473"/>
      <c r="AS523" s="1236"/>
      <c r="AT523" s="473"/>
      <c r="AU523" s="473"/>
      <c r="AV523" s="1164"/>
      <c r="AW523" s="1164"/>
      <c r="AX523" s="1236"/>
      <c r="AY523" s="473"/>
      <c r="AZ523" s="1236"/>
      <c r="BA523" s="473"/>
      <c r="BB523" s="473"/>
      <c r="BC523" s="1164"/>
      <c r="BD523" s="20"/>
      <c r="BE523" s="473"/>
      <c r="BF523" s="610"/>
      <c r="BG523" s="610"/>
      <c r="BH523" s="610"/>
      <c r="BI523" s="610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</row>
    <row r="524" spans="1:148" s="22" customFormat="1" x14ac:dyDescent="0.25">
      <c r="A524" s="20"/>
      <c r="B524" s="16"/>
      <c r="C524" s="473"/>
      <c r="D524" s="473"/>
      <c r="E524" s="1164"/>
      <c r="F524" s="473"/>
      <c r="G524" s="473"/>
      <c r="H524" s="1164"/>
      <c r="I524" s="473"/>
      <c r="J524" s="473"/>
      <c r="K524" s="1164"/>
      <c r="L524" s="473"/>
      <c r="M524" s="473"/>
      <c r="N524" s="1164"/>
      <c r="O524" s="473"/>
      <c r="P524" s="473"/>
      <c r="Q524" s="1164"/>
      <c r="R524" s="473"/>
      <c r="S524" s="473"/>
      <c r="T524" s="1164"/>
      <c r="U524" s="1164"/>
      <c r="V524" s="473"/>
      <c r="W524" s="473"/>
      <c r="X524" s="1164"/>
      <c r="Y524" s="473"/>
      <c r="Z524" s="473"/>
      <c r="AA524" s="1164"/>
      <c r="AB524" s="473"/>
      <c r="AC524" s="1164"/>
      <c r="AD524" s="473"/>
      <c r="AE524" s="1164"/>
      <c r="AF524" s="473"/>
      <c r="AG524" s="1164"/>
      <c r="AH524" s="473"/>
      <c r="AI524" s="473"/>
      <c r="AJ524" s="1164"/>
      <c r="AK524" s="473"/>
      <c r="AL524" s="473"/>
      <c r="AM524" s="1164"/>
      <c r="AN524" s="473"/>
      <c r="AO524" s="473"/>
      <c r="AP524" s="1164"/>
      <c r="AQ524" s="473"/>
      <c r="AR524" s="473"/>
      <c r="AS524" s="1236"/>
      <c r="AT524" s="473"/>
      <c r="AU524" s="473"/>
      <c r="AV524" s="1164"/>
      <c r="AW524" s="1164"/>
      <c r="AX524" s="1236"/>
      <c r="AY524" s="473"/>
      <c r="AZ524" s="1236"/>
      <c r="BA524" s="473"/>
      <c r="BB524" s="473"/>
      <c r="BC524" s="1164"/>
      <c r="BD524" s="20"/>
      <c r="BE524" s="473"/>
      <c r="BF524" s="610"/>
      <c r="BG524" s="610"/>
      <c r="BH524" s="610"/>
      <c r="BI524" s="610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</row>
    <row r="525" spans="1:148" s="22" customFormat="1" x14ac:dyDescent="0.25">
      <c r="A525" s="20"/>
      <c r="B525" s="16"/>
      <c r="C525" s="473"/>
      <c r="D525" s="473"/>
      <c r="E525" s="1164"/>
      <c r="F525" s="473"/>
      <c r="G525" s="473"/>
      <c r="H525" s="1164"/>
      <c r="I525" s="473"/>
      <c r="J525" s="473"/>
      <c r="K525" s="1164"/>
      <c r="L525" s="473"/>
      <c r="M525" s="473"/>
      <c r="N525" s="1164"/>
      <c r="O525" s="473"/>
      <c r="P525" s="473"/>
      <c r="Q525" s="1164"/>
      <c r="R525" s="473"/>
      <c r="S525" s="473"/>
      <c r="T525" s="1164"/>
      <c r="U525" s="1164"/>
      <c r="V525" s="473"/>
      <c r="W525" s="473"/>
      <c r="X525" s="1164"/>
      <c r="Y525" s="473"/>
      <c r="Z525" s="473"/>
      <c r="AA525" s="1164"/>
      <c r="AB525" s="473"/>
      <c r="AC525" s="1164"/>
      <c r="AD525" s="473"/>
      <c r="AE525" s="1164"/>
      <c r="AF525" s="473"/>
      <c r="AG525" s="1164"/>
      <c r="AH525" s="473"/>
      <c r="AI525" s="473"/>
      <c r="AJ525" s="1164"/>
      <c r="AK525" s="473"/>
      <c r="AL525" s="473"/>
      <c r="AM525" s="1164"/>
      <c r="AN525" s="473"/>
      <c r="AO525" s="473"/>
      <c r="AP525" s="1164"/>
      <c r="AQ525" s="473"/>
      <c r="AR525" s="473"/>
      <c r="AS525" s="1236"/>
      <c r="AT525" s="473"/>
      <c r="AU525" s="473"/>
      <c r="AV525" s="1164"/>
      <c r="AW525" s="1164"/>
      <c r="AX525" s="1236"/>
      <c r="AY525" s="473"/>
      <c r="AZ525" s="1236"/>
      <c r="BA525" s="473"/>
      <c r="BB525" s="473"/>
      <c r="BC525" s="1164"/>
      <c r="BD525" s="20"/>
      <c r="BE525" s="473"/>
      <c r="BF525" s="610"/>
      <c r="BG525" s="610"/>
      <c r="BH525" s="610"/>
      <c r="BI525" s="610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</row>
    <row r="526" spans="1:148" s="22" customFormat="1" x14ac:dyDescent="0.25">
      <c r="A526" s="20"/>
      <c r="B526" s="16"/>
      <c r="C526" s="473"/>
      <c r="D526" s="473"/>
      <c r="E526" s="1164"/>
      <c r="F526" s="473"/>
      <c r="G526" s="473"/>
      <c r="H526" s="1164"/>
      <c r="I526" s="473"/>
      <c r="J526" s="473"/>
      <c r="K526" s="1164"/>
      <c r="L526" s="473"/>
      <c r="M526" s="473"/>
      <c r="N526" s="1164"/>
      <c r="O526" s="473"/>
      <c r="P526" s="473"/>
      <c r="Q526" s="1164"/>
      <c r="R526" s="473"/>
      <c r="S526" s="473"/>
      <c r="T526" s="1164"/>
      <c r="U526" s="1164"/>
      <c r="V526" s="473"/>
      <c r="W526" s="473"/>
      <c r="X526" s="1164"/>
      <c r="Y526" s="473"/>
      <c r="Z526" s="473"/>
      <c r="AA526" s="1164"/>
      <c r="AB526" s="473"/>
      <c r="AC526" s="1164"/>
      <c r="AD526" s="473"/>
      <c r="AE526" s="1164"/>
      <c r="AF526" s="473"/>
      <c r="AG526" s="1164"/>
      <c r="AH526" s="473"/>
      <c r="AI526" s="473"/>
      <c r="AJ526" s="1164"/>
      <c r="AK526" s="473"/>
      <c r="AL526" s="473"/>
      <c r="AM526" s="1164"/>
      <c r="AN526" s="473"/>
      <c r="AO526" s="473"/>
      <c r="AP526" s="1164"/>
      <c r="AQ526" s="473"/>
      <c r="AR526" s="473"/>
      <c r="AS526" s="1236"/>
      <c r="AT526" s="473"/>
      <c r="AU526" s="473"/>
      <c r="AV526" s="1164"/>
      <c r="AW526" s="1164"/>
      <c r="AX526" s="1236"/>
      <c r="AY526" s="473"/>
      <c r="AZ526" s="1236"/>
      <c r="BA526" s="473"/>
      <c r="BB526" s="473"/>
      <c r="BC526" s="1164"/>
      <c r="BD526" s="20"/>
      <c r="BE526" s="473"/>
      <c r="BF526" s="610"/>
      <c r="BG526" s="610"/>
      <c r="BH526" s="610"/>
      <c r="BI526" s="610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</row>
    <row r="527" spans="1:148" s="22" customFormat="1" x14ac:dyDescent="0.25">
      <c r="A527" s="20"/>
      <c r="B527" s="16"/>
      <c r="C527" s="473"/>
      <c r="D527" s="473"/>
      <c r="E527" s="1164"/>
      <c r="F527" s="473"/>
      <c r="G527" s="473"/>
      <c r="H527" s="1164"/>
      <c r="I527" s="473"/>
      <c r="J527" s="473"/>
      <c r="K527" s="1164"/>
      <c r="L527" s="473"/>
      <c r="M527" s="473"/>
      <c r="N527" s="1164"/>
      <c r="O527" s="473"/>
      <c r="P527" s="473"/>
      <c r="Q527" s="1164"/>
      <c r="R527" s="473"/>
      <c r="S527" s="473"/>
      <c r="T527" s="1164"/>
      <c r="U527" s="1164"/>
      <c r="V527" s="473"/>
      <c r="W527" s="473"/>
      <c r="X527" s="1164"/>
      <c r="Y527" s="473"/>
      <c r="Z527" s="473"/>
      <c r="AA527" s="1164"/>
      <c r="AB527" s="473"/>
      <c r="AC527" s="1164"/>
      <c r="AD527" s="473"/>
      <c r="AE527" s="1164"/>
      <c r="AF527" s="473"/>
      <c r="AG527" s="1164"/>
      <c r="AH527" s="473"/>
      <c r="AI527" s="473"/>
      <c r="AJ527" s="1164"/>
      <c r="AK527" s="473"/>
      <c r="AL527" s="473"/>
      <c r="AM527" s="1164"/>
      <c r="AN527" s="473"/>
      <c r="AO527" s="473"/>
      <c r="AP527" s="1164"/>
      <c r="AQ527" s="473"/>
      <c r="AR527" s="473"/>
      <c r="AS527" s="1236"/>
      <c r="AT527" s="473"/>
      <c r="AU527" s="473"/>
      <c r="AV527" s="1164"/>
      <c r="AW527" s="1164"/>
      <c r="AX527" s="1236"/>
      <c r="AY527" s="473"/>
      <c r="AZ527" s="1236"/>
      <c r="BA527" s="473"/>
      <c r="BB527" s="473"/>
      <c r="BC527" s="1164"/>
      <c r="BD527" s="20"/>
      <c r="BE527" s="473"/>
      <c r="BF527" s="610"/>
      <c r="BG527" s="610"/>
      <c r="BH527" s="610"/>
      <c r="BI527" s="610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</row>
    <row r="528" spans="1:148" s="22" customFormat="1" x14ac:dyDescent="0.25">
      <c r="A528" s="20"/>
      <c r="B528" s="16"/>
      <c r="C528" s="473"/>
      <c r="D528" s="473"/>
      <c r="E528" s="1164"/>
      <c r="F528" s="473"/>
      <c r="G528" s="473"/>
      <c r="H528" s="1164"/>
      <c r="I528" s="473"/>
      <c r="J528" s="473"/>
      <c r="K528" s="1164"/>
      <c r="L528" s="473"/>
      <c r="M528" s="473"/>
      <c r="N528" s="1164"/>
      <c r="O528" s="473"/>
      <c r="P528" s="473"/>
      <c r="Q528" s="1164"/>
      <c r="R528" s="473"/>
      <c r="S528" s="473"/>
      <c r="T528" s="1164"/>
      <c r="U528" s="1164"/>
      <c r="V528" s="473"/>
      <c r="W528" s="473"/>
      <c r="X528" s="1164"/>
      <c r="Y528" s="473"/>
      <c r="Z528" s="473"/>
      <c r="AA528" s="1164"/>
      <c r="AB528" s="473"/>
      <c r="AC528" s="1164"/>
      <c r="AD528" s="473"/>
      <c r="AE528" s="1164"/>
      <c r="AF528" s="473"/>
      <c r="AG528" s="1164"/>
      <c r="AH528" s="473"/>
      <c r="AI528" s="473"/>
      <c r="AJ528" s="1164"/>
      <c r="AK528" s="473"/>
      <c r="AL528" s="473"/>
      <c r="AM528" s="1164"/>
      <c r="AN528" s="473"/>
      <c r="AO528" s="473"/>
      <c r="AP528" s="1164"/>
      <c r="AQ528" s="473"/>
      <c r="AR528" s="473"/>
      <c r="AS528" s="1236"/>
      <c r="AT528" s="473"/>
      <c r="AU528" s="473"/>
      <c r="AV528" s="1164"/>
      <c r="AW528" s="1164"/>
      <c r="AX528" s="1236"/>
      <c r="AY528" s="473"/>
      <c r="AZ528" s="1236"/>
      <c r="BA528" s="473"/>
      <c r="BB528" s="473"/>
      <c r="BC528" s="1164"/>
      <c r="BD528" s="20"/>
      <c r="BE528" s="473"/>
      <c r="BF528" s="610"/>
      <c r="BG528" s="610"/>
      <c r="BH528" s="610"/>
      <c r="BI528" s="610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</row>
    <row r="529" spans="1:148" s="22" customFormat="1" x14ac:dyDescent="0.25">
      <c r="A529" s="20"/>
      <c r="B529" s="16"/>
      <c r="C529" s="473"/>
      <c r="D529" s="473"/>
      <c r="E529" s="1164"/>
      <c r="F529" s="473"/>
      <c r="G529" s="473"/>
      <c r="H529" s="1164"/>
      <c r="I529" s="473"/>
      <c r="J529" s="473"/>
      <c r="K529" s="1164"/>
      <c r="L529" s="473"/>
      <c r="M529" s="473"/>
      <c r="N529" s="1164"/>
      <c r="O529" s="473"/>
      <c r="P529" s="473"/>
      <c r="Q529" s="1164"/>
      <c r="R529" s="473"/>
      <c r="S529" s="473"/>
      <c r="T529" s="1164"/>
      <c r="U529" s="1164"/>
      <c r="V529" s="473"/>
      <c r="W529" s="473"/>
      <c r="X529" s="1164"/>
      <c r="Y529" s="473"/>
      <c r="Z529" s="473"/>
      <c r="AA529" s="1164"/>
      <c r="AB529" s="473"/>
      <c r="AC529" s="1164"/>
      <c r="AD529" s="473"/>
      <c r="AE529" s="1164"/>
      <c r="AF529" s="473"/>
      <c r="AG529" s="1164"/>
      <c r="AH529" s="473"/>
      <c r="AI529" s="473"/>
      <c r="AJ529" s="1164"/>
      <c r="AK529" s="473"/>
      <c r="AL529" s="473"/>
      <c r="AM529" s="1164"/>
      <c r="AN529" s="473"/>
      <c r="AO529" s="473"/>
      <c r="AP529" s="1164"/>
      <c r="AQ529" s="473"/>
      <c r="AR529" s="473"/>
      <c r="AS529" s="1236"/>
      <c r="AT529" s="473"/>
      <c r="AU529" s="473"/>
      <c r="AV529" s="1164"/>
      <c r="AW529" s="1164"/>
      <c r="AX529" s="1236"/>
      <c r="AY529" s="473"/>
      <c r="AZ529" s="1236"/>
      <c r="BA529" s="473"/>
      <c r="BB529" s="473"/>
      <c r="BC529" s="1164"/>
      <c r="BD529" s="20"/>
      <c r="BE529" s="473"/>
      <c r="BF529" s="610"/>
      <c r="BG529" s="610"/>
      <c r="BH529" s="610"/>
      <c r="BI529" s="610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</row>
    <row r="530" spans="1:148" s="22" customFormat="1" x14ac:dyDescent="0.25">
      <c r="A530" s="20"/>
      <c r="B530" s="16"/>
      <c r="C530" s="473"/>
      <c r="D530" s="473"/>
      <c r="E530" s="1164"/>
      <c r="F530" s="473"/>
      <c r="G530" s="473"/>
      <c r="H530" s="1164"/>
      <c r="I530" s="473"/>
      <c r="J530" s="473"/>
      <c r="K530" s="1164"/>
      <c r="L530" s="473"/>
      <c r="M530" s="473"/>
      <c r="N530" s="1164"/>
      <c r="O530" s="473"/>
      <c r="P530" s="473"/>
      <c r="Q530" s="1164"/>
      <c r="R530" s="473"/>
      <c r="S530" s="473"/>
      <c r="T530" s="1164"/>
      <c r="U530" s="1164"/>
      <c r="V530" s="473"/>
      <c r="W530" s="473"/>
      <c r="X530" s="1164"/>
      <c r="Y530" s="473"/>
      <c r="Z530" s="473"/>
      <c r="AA530" s="1164"/>
      <c r="AB530" s="473"/>
      <c r="AC530" s="1164"/>
      <c r="AD530" s="473"/>
      <c r="AE530" s="1164"/>
      <c r="AF530" s="473"/>
      <c r="AG530" s="1164"/>
      <c r="AH530" s="473"/>
      <c r="AI530" s="473"/>
      <c r="AJ530" s="1164"/>
      <c r="AK530" s="473"/>
      <c r="AL530" s="473"/>
      <c r="AM530" s="1164"/>
      <c r="AN530" s="473"/>
      <c r="AO530" s="473"/>
      <c r="AP530" s="1164"/>
      <c r="AQ530" s="473"/>
      <c r="AR530" s="473"/>
      <c r="AS530" s="1236"/>
      <c r="AT530" s="473"/>
      <c r="AU530" s="473"/>
      <c r="AV530" s="1164"/>
      <c r="AW530" s="1164"/>
      <c r="AX530" s="1236"/>
      <c r="AY530" s="473"/>
      <c r="AZ530" s="1236"/>
      <c r="BA530" s="473"/>
      <c r="BB530" s="473"/>
      <c r="BC530" s="1164"/>
      <c r="BD530" s="20"/>
      <c r="BE530" s="473"/>
      <c r="BF530" s="610"/>
      <c r="BG530" s="610"/>
      <c r="BH530" s="610"/>
      <c r="BI530" s="610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</row>
    <row r="531" spans="1:148" s="22" customFormat="1" x14ac:dyDescent="0.25">
      <c r="A531" s="20"/>
      <c r="B531" s="16"/>
      <c r="C531" s="473"/>
      <c r="D531" s="473"/>
      <c r="E531" s="1164"/>
      <c r="F531" s="473"/>
      <c r="G531" s="473"/>
      <c r="H531" s="1164"/>
      <c r="I531" s="473"/>
      <c r="J531" s="473"/>
      <c r="K531" s="1164"/>
      <c r="L531" s="473"/>
      <c r="M531" s="473"/>
      <c r="N531" s="1164"/>
      <c r="O531" s="473"/>
      <c r="P531" s="473"/>
      <c r="Q531" s="1164"/>
      <c r="R531" s="473"/>
      <c r="S531" s="473"/>
      <c r="T531" s="1164"/>
      <c r="U531" s="1164"/>
      <c r="V531" s="473"/>
      <c r="W531" s="473"/>
      <c r="X531" s="1164"/>
      <c r="Y531" s="473"/>
      <c r="Z531" s="473"/>
      <c r="AA531" s="1164"/>
      <c r="AB531" s="473"/>
      <c r="AC531" s="1164"/>
      <c r="AD531" s="473"/>
      <c r="AE531" s="1164"/>
      <c r="AF531" s="473"/>
      <c r="AG531" s="1164"/>
      <c r="AH531" s="473"/>
      <c r="AI531" s="473"/>
      <c r="AJ531" s="1164"/>
      <c r="AK531" s="473"/>
      <c r="AL531" s="473"/>
      <c r="AM531" s="1164"/>
      <c r="AN531" s="473"/>
      <c r="AO531" s="473"/>
      <c r="AP531" s="1164"/>
      <c r="AQ531" s="473"/>
      <c r="AR531" s="473"/>
      <c r="AS531" s="1236"/>
      <c r="AT531" s="473"/>
      <c r="AU531" s="473"/>
      <c r="AV531" s="1164"/>
      <c r="AW531" s="1164"/>
      <c r="AX531" s="1236"/>
      <c r="AY531" s="473"/>
      <c r="AZ531" s="1236"/>
      <c r="BA531" s="473"/>
      <c r="BB531" s="473"/>
      <c r="BC531" s="1164"/>
      <c r="BD531" s="20"/>
      <c r="BE531" s="473"/>
      <c r="BF531" s="610"/>
      <c r="BG531" s="610"/>
      <c r="BH531" s="610"/>
      <c r="BI531" s="610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</row>
    <row r="532" spans="1:148" s="22" customFormat="1" x14ac:dyDescent="0.25">
      <c r="A532" s="20"/>
      <c r="B532" s="16"/>
      <c r="C532" s="473"/>
      <c r="D532" s="473"/>
      <c r="E532" s="1164"/>
      <c r="F532" s="473"/>
      <c r="G532" s="473"/>
      <c r="H532" s="1164"/>
      <c r="I532" s="473"/>
      <c r="J532" s="473"/>
      <c r="K532" s="1164"/>
      <c r="L532" s="473"/>
      <c r="M532" s="473"/>
      <c r="N532" s="1164"/>
      <c r="O532" s="473"/>
      <c r="P532" s="473"/>
      <c r="Q532" s="1164"/>
      <c r="R532" s="473"/>
      <c r="S532" s="473"/>
      <c r="T532" s="1164"/>
      <c r="U532" s="1164"/>
      <c r="V532" s="473"/>
      <c r="W532" s="473"/>
      <c r="X532" s="1164"/>
      <c r="Y532" s="473"/>
      <c r="Z532" s="473"/>
      <c r="AA532" s="1164"/>
      <c r="AB532" s="473"/>
      <c r="AC532" s="1164"/>
      <c r="AD532" s="473"/>
      <c r="AE532" s="1164"/>
      <c r="AF532" s="473"/>
      <c r="AG532" s="1164"/>
      <c r="AH532" s="473"/>
      <c r="AI532" s="473"/>
      <c r="AJ532" s="1164"/>
      <c r="AK532" s="473"/>
      <c r="AL532" s="473"/>
      <c r="AM532" s="1164"/>
      <c r="AN532" s="473"/>
      <c r="AO532" s="473"/>
      <c r="AP532" s="1164"/>
      <c r="AQ532" s="473"/>
      <c r="AR532" s="473"/>
      <c r="AS532" s="1236"/>
      <c r="AT532" s="473"/>
      <c r="AU532" s="473"/>
      <c r="AV532" s="1164"/>
      <c r="AW532" s="1164"/>
      <c r="AX532" s="1236"/>
      <c r="AY532" s="473"/>
      <c r="AZ532" s="1236"/>
      <c r="BA532" s="473"/>
      <c r="BB532" s="473"/>
      <c r="BC532" s="1164"/>
      <c r="BD532" s="20"/>
      <c r="BE532" s="473"/>
      <c r="BF532" s="610"/>
      <c r="BG532" s="610"/>
      <c r="BH532" s="610"/>
      <c r="BI532" s="610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</row>
    <row r="533" spans="1:148" s="22" customFormat="1" x14ac:dyDescent="0.25">
      <c r="A533" s="20"/>
      <c r="B533" s="16"/>
      <c r="C533" s="473"/>
      <c r="D533" s="473"/>
      <c r="E533" s="1164"/>
      <c r="F533" s="473"/>
      <c r="G533" s="473"/>
      <c r="H533" s="1164"/>
      <c r="I533" s="473"/>
      <c r="J533" s="473"/>
      <c r="K533" s="1164"/>
      <c r="L533" s="473"/>
      <c r="M533" s="473"/>
      <c r="N533" s="1164"/>
      <c r="O533" s="473"/>
      <c r="P533" s="473"/>
      <c r="Q533" s="1164"/>
      <c r="R533" s="473"/>
      <c r="S533" s="473"/>
      <c r="T533" s="1164"/>
      <c r="U533" s="1164"/>
      <c r="V533" s="473"/>
      <c r="W533" s="473"/>
      <c r="X533" s="1164"/>
      <c r="Y533" s="473"/>
      <c r="Z533" s="473"/>
      <c r="AA533" s="1164"/>
      <c r="AB533" s="473"/>
      <c r="AC533" s="1164"/>
      <c r="AD533" s="473"/>
      <c r="AE533" s="1164"/>
      <c r="AF533" s="473"/>
      <c r="AG533" s="1164"/>
      <c r="AH533" s="473"/>
      <c r="AI533" s="473"/>
      <c r="AJ533" s="1164"/>
      <c r="AK533" s="473"/>
      <c r="AL533" s="473"/>
      <c r="AM533" s="1164"/>
      <c r="AN533" s="473"/>
      <c r="AO533" s="473"/>
      <c r="AP533" s="1164"/>
      <c r="AQ533" s="473"/>
      <c r="AR533" s="473"/>
      <c r="AS533" s="1236"/>
      <c r="AT533" s="473"/>
      <c r="AU533" s="473"/>
      <c r="AV533" s="1164"/>
      <c r="AW533" s="1164"/>
      <c r="AX533" s="1236"/>
      <c r="AY533" s="473"/>
      <c r="AZ533" s="1236"/>
      <c r="BA533" s="473"/>
      <c r="BB533" s="473"/>
      <c r="BC533" s="1164"/>
      <c r="BD533" s="20"/>
      <c r="BE533" s="473"/>
      <c r="BF533" s="610"/>
      <c r="BG533" s="610"/>
      <c r="BH533" s="610"/>
      <c r="BI533" s="610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</row>
    <row r="534" spans="1:148" s="22" customFormat="1" x14ac:dyDescent="0.25">
      <c r="A534" s="20"/>
      <c r="B534" s="16"/>
      <c r="C534" s="473"/>
      <c r="D534" s="473"/>
      <c r="E534" s="1164"/>
      <c r="F534" s="473"/>
      <c r="G534" s="473"/>
      <c r="H534" s="1164"/>
      <c r="I534" s="473"/>
      <c r="J534" s="473"/>
      <c r="K534" s="1164"/>
      <c r="L534" s="473"/>
      <c r="M534" s="473"/>
      <c r="N534" s="1164"/>
      <c r="O534" s="473"/>
      <c r="P534" s="473"/>
      <c r="Q534" s="1164"/>
      <c r="R534" s="473"/>
      <c r="S534" s="473"/>
      <c r="T534" s="1164"/>
      <c r="U534" s="1164"/>
      <c r="V534" s="473"/>
      <c r="W534" s="473"/>
      <c r="X534" s="1164"/>
      <c r="Y534" s="473"/>
      <c r="Z534" s="473"/>
      <c r="AA534" s="1164"/>
      <c r="AB534" s="473"/>
      <c r="AC534" s="1164"/>
      <c r="AD534" s="473"/>
      <c r="AE534" s="1164"/>
      <c r="AF534" s="473"/>
      <c r="AG534" s="1164"/>
      <c r="AH534" s="473"/>
      <c r="AI534" s="473"/>
      <c r="AJ534" s="1164"/>
      <c r="AK534" s="473"/>
      <c r="AL534" s="473"/>
      <c r="AM534" s="1164"/>
      <c r="AN534" s="473"/>
      <c r="AO534" s="473"/>
      <c r="AP534" s="1164"/>
      <c r="AQ534" s="473"/>
      <c r="AR534" s="473"/>
      <c r="AS534" s="1236"/>
      <c r="AT534" s="473"/>
      <c r="AU534" s="473"/>
      <c r="AV534" s="1164"/>
      <c r="AW534" s="1164"/>
      <c r="AX534" s="1236"/>
      <c r="AY534" s="473"/>
      <c r="AZ534" s="1236"/>
      <c r="BA534" s="473"/>
      <c r="BB534" s="473"/>
      <c r="BC534" s="1164"/>
      <c r="BD534" s="20"/>
      <c r="BE534" s="473"/>
      <c r="BF534" s="610"/>
      <c r="BG534" s="610"/>
      <c r="BH534" s="610"/>
      <c r="BI534" s="610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</row>
    <row r="535" spans="1:148" s="22" customFormat="1" x14ac:dyDescent="0.25">
      <c r="A535" s="20"/>
      <c r="B535" s="16"/>
      <c r="C535" s="473"/>
      <c r="D535" s="473"/>
      <c r="E535" s="1164"/>
      <c r="F535" s="473"/>
      <c r="G535" s="473"/>
      <c r="H535" s="1164"/>
      <c r="I535" s="473"/>
      <c r="J535" s="473"/>
      <c r="K535" s="1164"/>
      <c r="L535" s="473"/>
      <c r="M535" s="473"/>
      <c r="N535" s="1164"/>
      <c r="O535" s="473"/>
      <c r="P535" s="473"/>
      <c r="Q535" s="1164"/>
      <c r="R535" s="473"/>
      <c r="S535" s="473"/>
      <c r="T535" s="1164"/>
      <c r="U535" s="1164"/>
      <c r="V535" s="473"/>
      <c r="W535" s="473"/>
      <c r="X535" s="1164"/>
      <c r="Y535" s="473"/>
      <c r="Z535" s="473"/>
      <c r="AA535" s="1164"/>
      <c r="AB535" s="473"/>
      <c r="AC535" s="1164"/>
      <c r="AD535" s="473"/>
      <c r="AE535" s="1164"/>
      <c r="AF535" s="473"/>
      <c r="AG535" s="1164"/>
      <c r="AH535" s="473"/>
      <c r="AI535" s="473"/>
      <c r="AJ535" s="1164"/>
      <c r="AK535" s="473"/>
      <c r="AL535" s="473"/>
      <c r="AM535" s="1164"/>
      <c r="AN535" s="473"/>
      <c r="AO535" s="473"/>
      <c r="AP535" s="1164"/>
      <c r="AQ535" s="473"/>
      <c r="AR535" s="473"/>
      <c r="AS535" s="1236"/>
      <c r="AT535" s="473"/>
      <c r="AU535" s="473"/>
      <c r="AV535" s="1164"/>
      <c r="AW535" s="1164"/>
      <c r="AX535" s="1236"/>
      <c r="AY535" s="473"/>
      <c r="AZ535" s="1236"/>
      <c r="BA535" s="473"/>
      <c r="BB535" s="473"/>
      <c r="BC535" s="1164"/>
      <c r="BD535" s="20"/>
      <c r="BE535" s="473"/>
      <c r="BF535" s="610"/>
      <c r="BG535" s="610"/>
      <c r="BH535" s="610"/>
      <c r="BI535" s="610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</row>
    <row r="536" spans="1:148" s="22" customFormat="1" x14ac:dyDescent="0.25">
      <c r="A536" s="20"/>
      <c r="B536" s="16"/>
      <c r="C536" s="473"/>
      <c r="D536" s="473"/>
      <c r="E536" s="1164"/>
      <c r="F536" s="473"/>
      <c r="G536" s="473"/>
      <c r="H536" s="1164"/>
      <c r="I536" s="473"/>
      <c r="J536" s="473"/>
      <c r="K536" s="1164"/>
      <c r="L536" s="473"/>
      <c r="M536" s="473"/>
      <c r="N536" s="1164"/>
      <c r="O536" s="473"/>
      <c r="P536" s="473"/>
      <c r="Q536" s="1164"/>
      <c r="R536" s="473"/>
      <c r="S536" s="473"/>
      <c r="T536" s="1164"/>
      <c r="U536" s="1164"/>
      <c r="V536" s="473"/>
      <c r="W536" s="473"/>
      <c r="X536" s="1164"/>
      <c r="Y536" s="473"/>
      <c r="Z536" s="473"/>
      <c r="AA536" s="1164"/>
      <c r="AB536" s="473"/>
      <c r="AC536" s="1164"/>
      <c r="AD536" s="473"/>
      <c r="AE536" s="1164"/>
      <c r="AF536" s="473"/>
      <c r="AG536" s="1164"/>
      <c r="AH536" s="473"/>
      <c r="AI536" s="473"/>
      <c r="AJ536" s="1164"/>
      <c r="AK536" s="473"/>
      <c r="AL536" s="473"/>
      <c r="AM536" s="1164"/>
      <c r="AN536" s="473"/>
      <c r="AO536" s="473"/>
      <c r="AP536" s="1164"/>
      <c r="AQ536" s="473"/>
      <c r="AR536" s="473"/>
      <c r="AS536" s="1236"/>
      <c r="AT536" s="473"/>
      <c r="AU536" s="473"/>
      <c r="AV536" s="1164"/>
      <c r="AW536" s="1164"/>
      <c r="AX536" s="1236"/>
      <c r="AY536" s="473"/>
      <c r="AZ536" s="1236"/>
      <c r="BA536" s="473"/>
      <c r="BB536" s="473"/>
      <c r="BC536" s="1164"/>
      <c r="BD536" s="20"/>
      <c r="BE536" s="473"/>
      <c r="BF536" s="610"/>
      <c r="BG536" s="610"/>
      <c r="BH536" s="610"/>
      <c r="BI536" s="610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</row>
    <row r="537" spans="1:148" s="22" customFormat="1" x14ac:dyDescent="0.25">
      <c r="A537" s="20"/>
      <c r="B537" s="16"/>
      <c r="C537" s="473"/>
      <c r="D537" s="473"/>
      <c r="E537" s="1164"/>
      <c r="F537" s="473"/>
      <c r="G537" s="473"/>
      <c r="H537" s="1164"/>
      <c r="I537" s="473"/>
      <c r="J537" s="473"/>
      <c r="K537" s="1164"/>
      <c r="L537" s="473"/>
      <c r="M537" s="473"/>
      <c r="N537" s="1164"/>
      <c r="O537" s="473"/>
      <c r="P537" s="473"/>
      <c r="Q537" s="1164"/>
      <c r="R537" s="473"/>
      <c r="S537" s="473"/>
      <c r="T537" s="1164"/>
      <c r="U537" s="1164"/>
      <c r="V537" s="473"/>
      <c r="W537" s="473"/>
      <c r="X537" s="1164"/>
      <c r="Y537" s="473"/>
      <c r="Z537" s="473"/>
      <c r="AA537" s="1164"/>
      <c r="AB537" s="473"/>
      <c r="AC537" s="1164"/>
      <c r="AD537" s="473"/>
      <c r="AE537" s="1164"/>
      <c r="AF537" s="473"/>
      <c r="AG537" s="1164"/>
      <c r="AH537" s="473"/>
      <c r="AI537" s="473"/>
      <c r="AJ537" s="1164"/>
      <c r="AK537" s="473"/>
      <c r="AL537" s="473"/>
      <c r="AM537" s="1164"/>
      <c r="AN537" s="473"/>
      <c r="AO537" s="473"/>
      <c r="AP537" s="1164"/>
      <c r="AQ537" s="473"/>
      <c r="AR537" s="473"/>
      <c r="AS537" s="1236"/>
      <c r="AT537" s="473"/>
      <c r="AU537" s="473"/>
      <c r="AV537" s="1164"/>
      <c r="AW537" s="1164"/>
      <c r="AX537" s="1236"/>
      <c r="AY537" s="473"/>
      <c r="AZ537" s="1236"/>
      <c r="BA537" s="473"/>
      <c r="BB537" s="473"/>
      <c r="BC537" s="1164"/>
      <c r="BD537" s="20"/>
      <c r="BE537" s="473"/>
      <c r="BF537" s="610"/>
      <c r="BG537" s="610"/>
      <c r="BH537" s="610"/>
      <c r="BI537" s="610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</row>
    <row r="538" spans="1:148" s="22" customFormat="1" x14ac:dyDescent="0.25">
      <c r="A538" s="20"/>
      <c r="B538" s="16"/>
      <c r="C538" s="473"/>
      <c r="D538" s="473"/>
      <c r="E538" s="1164"/>
      <c r="F538" s="473"/>
      <c r="G538" s="473"/>
      <c r="H538" s="1164"/>
      <c r="I538" s="473"/>
      <c r="J538" s="473"/>
      <c r="K538" s="1164"/>
      <c r="L538" s="473"/>
      <c r="M538" s="473"/>
      <c r="N538" s="1164"/>
      <c r="O538" s="473"/>
      <c r="P538" s="473"/>
      <c r="Q538" s="1164"/>
      <c r="R538" s="473"/>
      <c r="S538" s="473"/>
      <c r="T538" s="1164"/>
      <c r="U538" s="1164"/>
      <c r="V538" s="473"/>
      <c r="W538" s="473"/>
      <c r="X538" s="1164"/>
      <c r="Y538" s="473"/>
      <c r="Z538" s="473"/>
      <c r="AA538" s="1164"/>
      <c r="AB538" s="473"/>
      <c r="AC538" s="1164"/>
      <c r="AD538" s="473"/>
      <c r="AE538" s="1164"/>
      <c r="AF538" s="473"/>
      <c r="AG538" s="1164"/>
      <c r="AH538" s="473"/>
      <c r="AI538" s="473"/>
      <c r="AJ538" s="1164"/>
      <c r="AK538" s="473"/>
      <c r="AL538" s="473"/>
      <c r="AM538" s="1164"/>
      <c r="AN538" s="473"/>
      <c r="AO538" s="473"/>
      <c r="AP538" s="1164"/>
      <c r="AQ538" s="473"/>
      <c r="AR538" s="473"/>
      <c r="AS538" s="1236"/>
      <c r="AT538" s="473"/>
      <c r="AU538" s="473"/>
      <c r="AV538" s="1164"/>
      <c r="AW538" s="1164"/>
      <c r="AX538" s="1236"/>
      <c r="AY538" s="473"/>
      <c r="AZ538" s="1236"/>
      <c r="BA538" s="473"/>
      <c r="BB538" s="473"/>
      <c r="BC538" s="1164"/>
      <c r="BD538" s="20"/>
      <c r="BE538" s="473"/>
      <c r="BF538" s="610"/>
      <c r="BG538" s="610"/>
      <c r="BH538" s="610"/>
      <c r="BI538" s="610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</row>
    <row r="539" spans="1:148" s="22" customFormat="1" x14ac:dyDescent="0.25">
      <c r="A539" s="20"/>
      <c r="B539" s="16"/>
      <c r="C539" s="473"/>
      <c r="D539" s="473"/>
      <c r="E539" s="1164"/>
      <c r="F539" s="473"/>
      <c r="G539" s="473"/>
      <c r="H539" s="1164"/>
      <c r="I539" s="473"/>
      <c r="J539" s="473"/>
      <c r="K539" s="1164"/>
      <c r="L539" s="473"/>
      <c r="M539" s="473"/>
      <c r="N539" s="1164"/>
      <c r="O539" s="473"/>
      <c r="P539" s="473"/>
      <c r="Q539" s="1164"/>
      <c r="R539" s="473"/>
      <c r="S539" s="473"/>
      <c r="T539" s="1164"/>
      <c r="U539" s="1164"/>
      <c r="V539" s="473"/>
      <c r="W539" s="473"/>
      <c r="X539" s="1164"/>
      <c r="Y539" s="473"/>
      <c r="Z539" s="473"/>
      <c r="AA539" s="1164"/>
      <c r="AB539" s="473"/>
      <c r="AC539" s="1164"/>
      <c r="AD539" s="473"/>
      <c r="AE539" s="1164"/>
      <c r="AF539" s="473"/>
      <c r="AG539" s="1164"/>
      <c r="AH539" s="473"/>
      <c r="AI539" s="473"/>
      <c r="AJ539" s="1164"/>
      <c r="AK539" s="473"/>
      <c r="AL539" s="473"/>
      <c r="AM539" s="1164"/>
      <c r="AN539" s="473"/>
      <c r="AO539" s="473"/>
      <c r="AP539" s="1164"/>
      <c r="AQ539" s="473"/>
      <c r="AR539" s="473"/>
      <c r="AS539" s="1236"/>
      <c r="AT539" s="473"/>
      <c r="AU539" s="473"/>
      <c r="AV539" s="1164"/>
      <c r="AW539" s="1164"/>
      <c r="AX539" s="1236"/>
      <c r="AY539" s="473"/>
      <c r="AZ539" s="1236"/>
      <c r="BA539" s="473"/>
      <c r="BB539" s="473"/>
      <c r="BC539" s="1164"/>
      <c r="BD539" s="20"/>
      <c r="BE539" s="473"/>
      <c r="BF539" s="610"/>
      <c r="BG539" s="610"/>
      <c r="BH539" s="610"/>
      <c r="BI539" s="610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</row>
    <row r="540" spans="1:148" s="22" customFormat="1" x14ac:dyDescent="0.25">
      <c r="A540" s="20"/>
      <c r="B540" s="16"/>
      <c r="C540" s="473"/>
      <c r="D540" s="473"/>
      <c r="E540" s="1164"/>
      <c r="F540" s="473"/>
      <c r="G540" s="473"/>
      <c r="H540" s="1164"/>
      <c r="I540" s="473"/>
      <c r="J540" s="473"/>
      <c r="K540" s="1164"/>
      <c r="L540" s="473"/>
      <c r="M540" s="473"/>
      <c r="N540" s="1164"/>
      <c r="O540" s="473"/>
      <c r="P540" s="473"/>
      <c r="Q540" s="1164"/>
      <c r="R540" s="473"/>
      <c r="S540" s="473"/>
      <c r="T540" s="1164"/>
      <c r="U540" s="1164"/>
      <c r="V540" s="473"/>
      <c r="W540" s="473"/>
      <c r="X540" s="1164"/>
      <c r="Y540" s="473"/>
      <c r="Z540" s="473"/>
      <c r="AA540" s="1164"/>
      <c r="AB540" s="473"/>
      <c r="AC540" s="1164"/>
      <c r="AD540" s="473"/>
      <c r="AE540" s="1164"/>
      <c r="AF540" s="473"/>
      <c r="AG540" s="1164"/>
      <c r="AH540" s="473"/>
      <c r="AI540" s="473"/>
      <c r="AJ540" s="1164"/>
      <c r="AK540" s="473"/>
      <c r="AL540" s="473"/>
      <c r="AM540" s="1164"/>
      <c r="AN540" s="473"/>
      <c r="AO540" s="473"/>
      <c r="AP540" s="1164"/>
      <c r="AQ540" s="473"/>
      <c r="AR540" s="473"/>
      <c r="AS540" s="1236"/>
      <c r="AT540" s="473"/>
      <c r="AU540" s="473"/>
      <c r="AV540" s="1164"/>
      <c r="AW540" s="1164"/>
      <c r="AX540" s="1236"/>
      <c r="AY540" s="473"/>
      <c r="AZ540" s="1236"/>
      <c r="BA540" s="473"/>
      <c r="BB540" s="473"/>
      <c r="BC540" s="1164"/>
      <c r="BD540" s="20"/>
      <c r="BE540" s="473"/>
      <c r="BF540" s="610"/>
      <c r="BG540" s="610"/>
      <c r="BH540" s="610"/>
      <c r="BI540" s="610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</row>
    <row r="541" spans="1:148" s="22" customFormat="1" x14ac:dyDescent="0.25">
      <c r="A541" s="20"/>
      <c r="B541" s="16"/>
      <c r="C541" s="473"/>
      <c r="D541" s="473"/>
      <c r="E541" s="1164"/>
      <c r="F541" s="473"/>
      <c r="G541" s="473"/>
      <c r="H541" s="1164"/>
      <c r="I541" s="473"/>
      <c r="J541" s="473"/>
      <c r="K541" s="1164"/>
      <c r="L541" s="473"/>
      <c r="M541" s="473"/>
      <c r="N541" s="1164"/>
      <c r="O541" s="473"/>
      <c r="P541" s="473"/>
      <c r="Q541" s="1164"/>
      <c r="R541" s="473"/>
      <c r="S541" s="473"/>
      <c r="T541" s="1164"/>
      <c r="U541" s="1164"/>
      <c r="V541" s="473"/>
      <c r="W541" s="473"/>
      <c r="X541" s="1164"/>
      <c r="Y541" s="473"/>
      <c r="Z541" s="473"/>
      <c r="AA541" s="1164"/>
      <c r="AB541" s="473"/>
      <c r="AC541" s="1164"/>
      <c r="AD541" s="473"/>
      <c r="AE541" s="1164"/>
      <c r="AF541" s="473"/>
      <c r="AG541" s="1164"/>
      <c r="AH541" s="473"/>
      <c r="AI541" s="473"/>
      <c r="AJ541" s="1164"/>
      <c r="AK541" s="473"/>
      <c r="AL541" s="473"/>
      <c r="AM541" s="1164"/>
      <c r="AN541" s="473"/>
      <c r="AO541" s="473"/>
      <c r="AP541" s="1164"/>
      <c r="AQ541" s="473"/>
      <c r="AR541" s="473"/>
      <c r="AS541" s="1236"/>
      <c r="AT541" s="473"/>
      <c r="AU541" s="473"/>
      <c r="AV541" s="1164"/>
      <c r="AW541" s="1164"/>
      <c r="AX541" s="1236"/>
      <c r="AY541" s="473"/>
      <c r="AZ541" s="1236"/>
      <c r="BA541" s="473"/>
      <c r="BB541" s="473"/>
      <c r="BC541" s="1164"/>
      <c r="BD541" s="20"/>
      <c r="BE541" s="473"/>
      <c r="BF541" s="610"/>
      <c r="BG541" s="610"/>
      <c r="BH541" s="610"/>
      <c r="BI541" s="610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</row>
    <row r="542" spans="1:148" s="22" customFormat="1" x14ac:dyDescent="0.25">
      <c r="A542" s="20"/>
      <c r="B542" s="16"/>
      <c r="C542" s="473"/>
      <c r="D542" s="473"/>
      <c r="E542" s="1164"/>
      <c r="F542" s="473"/>
      <c r="G542" s="473"/>
      <c r="H542" s="1164"/>
      <c r="I542" s="473"/>
      <c r="J542" s="473"/>
      <c r="K542" s="1164"/>
      <c r="L542" s="473"/>
      <c r="M542" s="473"/>
      <c r="N542" s="1164"/>
      <c r="O542" s="473"/>
      <c r="P542" s="473"/>
      <c r="Q542" s="1164"/>
      <c r="R542" s="473"/>
      <c r="S542" s="473"/>
      <c r="T542" s="1164"/>
      <c r="U542" s="1164"/>
      <c r="V542" s="473"/>
      <c r="W542" s="473"/>
      <c r="X542" s="1164"/>
      <c r="Y542" s="473"/>
      <c r="Z542" s="473"/>
      <c r="AA542" s="1164"/>
      <c r="AB542" s="473"/>
      <c r="AC542" s="1164"/>
      <c r="AD542" s="473"/>
      <c r="AE542" s="1164"/>
      <c r="AF542" s="473"/>
      <c r="AG542" s="1164"/>
      <c r="AH542" s="473"/>
      <c r="AI542" s="473"/>
      <c r="AJ542" s="1164"/>
      <c r="AK542" s="473"/>
      <c r="AL542" s="473"/>
      <c r="AM542" s="1164"/>
      <c r="AN542" s="473"/>
      <c r="AO542" s="473"/>
      <c r="AP542" s="1164"/>
      <c r="AQ542" s="473"/>
      <c r="AR542" s="473"/>
      <c r="AS542" s="1236"/>
      <c r="AT542" s="473"/>
      <c r="AU542" s="473"/>
      <c r="AV542" s="1164"/>
      <c r="AW542" s="1164"/>
      <c r="AX542" s="1236"/>
      <c r="AY542" s="473"/>
      <c r="AZ542" s="1236"/>
      <c r="BA542" s="473"/>
      <c r="BB542" s="473"/>
      <c r="BC542" s="1164"/>
      <c r="BD542" s="20"/>
      <c r="BE542" s="473"/>
      <c r="BF542" s="610"/>
      <c r="BG542" s="610"/>
      <c r="BH542" s="610"/>
      <c r="BI542" s="610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</row>
    <row r="543" spans="1:148" s="22" customFormat="1" x14ac:dyDescent="0.25">
      <c r="A543" s="20"/>
      <c r="B543" s="16"/>
      <c r="C543" s="473"/>
      <c r="D543" s="473"/>
      <c r="E543" s="1164"/>
      <c r="F543" s="473"/>
      <c r="G543" s="473"/>
      <c r="H543" s="1164"/>
      <c r="I543" s="473"/>
      <c r="J543" s="473"/>
      <c r="K543" s="1164"/>
      <c r="L543" s="473"/>
      <c r="M543" s="473"/>
      <c r="N543" s="1164"/>
      <c r="O543" s="473"/>
      <c r="P543" s="473"/>
      <c r="Q543" s="1164"/>
      <c r="R543" s="473"/>
      <c r="S543" s="473"/>
      <c r="T543" s="1164"/>
      <c r="U543" s="1164"/>
      <c r="V543" s="473"/>
      <c r="W543" s="473"/>
      <c r="X543" s="1164"/>
      <c r="Y543" s="473"/>
      <c r="Z543" s="473"/>
      <c r="AA543" s="1164"/>
      <c r="AB543" s="473"/>
      <c r="AC543" s="1164"/>
      <c r="AD543" s="473"/>
      <c r="AE543" s="1164"/>
      <c r="AF543" s="473"/>
      <c r="AG543" s="1164"/>
      <c r="AH543" s="473"/>
      <c r="AI543" s="473"/>
      <c r="AJ543" s="1164"/>
      <c r="AK543" s="473"/>
      <c r="AL543" s="473"/>
      <c r="AM543" s="1164"/>
      <c r="AN543" s="473"/>
      <c r="AO543" s="473"/>
      <c r="AP543" s="1164"/>
      <c r="AQ543" s="473"/>
      <c r="AR543" s="473"/>
      <c r="AS543" s="1236"/>
      <c r="AT543" s="473"/>
      <c r="AU543" s="473"/>
      <c r="AV543" s="1164"/>
      <c r="AW543" s="1164"/>
      <c r="AX543" s="1236"/>
      <c r="AY543" s="473"/>
      <c r="AZ543" s="1236"/>
      <c r="BA543" s="473"/>
      <c r="BB543" s="473"/>
      <c r="BC543" s="1164"/>
      <c r="BD543" s="20"/>
      <c r="BE543" s="473"/>
      <c r="BF543" s="610"/>
      <c r="BG543" s="610"/>
      <c r="BH543" s="610"/>
      <c r="BI543" s="610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</row>
    <row r="544" spans="1:148" s="22" customFormat="1" x14ac:dyDescent="0.25">
      <c r="A544" s="20"/>
      <c r="B544" s="16"/>
      <c r="C544" s="473"/>
      <c r="D544" s="473"/>
      <c r="E544" s="1164"/>
      <c r="F544" s="473"/>
      <c r="G544" s="473"/>
      <c r="H544" s="1164"/>
      <c r="I544" s="473"/>
      <c r="J544" s="473"/>
      <c r="K544" s="1164"/>
      <c r="L544" s="473"/>
      <c r="M544" s="473"/>
      <c r="N544" s="1164"/>
      <c r="O544" s="473"/>
      <c r="P544" s="473"/>
      <c r="Q544" s="1164"/>
      <c r="R544" s="473"/>
      <c r="S544" s="473"/>
      <c r="T544" s="1164"/>
      <c r="U544" s="1164"/>
      <c r="V544" s="473"/>
      <c r="W544" s="473"/>
      <c r="X544" s="1164"/>
      <c r="Y544" s="473"/>
      <c r="Z544" s="473"/>
      <c r="AA544" s="1164"/>
      <c r="AB544" s="473"/>
      <c r="AC544" s="1164"/>
      <c r="AD544" s="473"/>
      <c r="AE544" s="1164"/>
      <c r="AF544" s="473"/>
      <c r="AG544" s="1164"/>
      <c r="AH544" s="473"/>
      <c r="AI544" s="473"/>
      <c r="AJ544" s="1164"/>
      <c r="AK544" s="473"/>
      <c r="AL544" s="473"/>
      <c r="AM544" s="1164"/>
      <c r="AN544" s="473"/>
      <c r="AO544" s="473"/>
      <c r="AP544" s="1164"/>
      <c r="AQ544" s="473"/>
      <c r="AR544" s="473"/>
      <c r="AS544" s="1236"/>
      <c r="AT544" s="473"/>
      <c r="AU544" s="473"/>
      <c r="AV544" s="1164"/>
      <c r="AW544" s="1164"/>
      <c r="AX544" s="1236"/>
      <c r="AY544" s="473"/>
      <c r="AZ544" s="1236"/>
      <c r="BA544" s="473"/>
      <c r="BB544" s="473"/>
      <c r="BC544" s="1164"/>
      <c r="BD544" s="20"/>
      <c r="BE544" s="473"/>
      <c r="BF544" s="610"/>
      <c r="BG544" s="610"/>
      <c r="BH544" s="610"/>
      <c r="BI544" s="610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</row>
    <row r="545" spans="1:148" s="22" customFormat="1" x14ac:dyDescent="0.25">
      <c r="A545" s="20"/>
      <c r="B545" s="16"/>
      <c r="C545" s="473"/>
      <c r="D545" s="473"/>
      <c r="E545" s="1164"/>
      <c r="F545" s="473"/>
      <c r="G545" s="473"/>
      <c r="H545" s="1164"/>
      <c r="I545" s="473"/>
      <c r="J545" s="473"/>
      <c r="K545" s="1164"/>
      <c r="L545" s="473"/>
      <c r="M545" s="473"/>
      <c r="N545" s="1164"/>
      <c r="O545" s="473"/>
      <c r="P545" s="473"/>
      <c r="Q545" s="1164"/>
      <c r="R545" s="473"/>
      <c r="S545" s="473"/>
      <c r="T545" s="1164"/>
      <c r="U545" s="1164"/>
      <c r="V545" s="473"/>
      <c r="W545" s="473"/>
      <c r="X545" s="1164"/>
      <c r="Y545" s="473"/>
      <c r="Z545" s="473"/>
      <c r="AA545" s="1164"/>
      <c r="AB545" s="473"/>
      <c r="AC545" s="1164"/>
      <c r="AD545" s="473"/>
      <c r="AE545" s="1164"/>
      <c r="AF545" s="473"/>
      <c r="AG545" s="1164"/>
      <c r="AH545" s="473"/>
      <c r="AI545" s="473"/>
      <c r="AJ545" s="1164"/>
      <c r="AK545" s="473"/>
      <c r="AL545" s="473"/>
      <c r="AM545" s="1164"/>
      <c r="AN545" s="473"/>
      <c r="AO545" s="473"/>
      <c r="AP545" s="1164"/>
      <c r="AQ545" s="473"/>
      <c r="AR545" s="473"/>
      <c r="AS545" s="1236"/>
      <c r="AT545" s="473"/>
      <c r="AU545" s="473"/>
      <c r="AV545" s="1164"/>
      <c r="AW545" s="1164"/>
      <c r="AX545" s="1236"/>
      <c r="AY545" s="473"/>
      <c r="AZ545" s="1236"/>
      <c r="BA545" s="473"/>
      <c r="BB545" s="473"/>
      <c r="BC545" s="1164"/>
      <c r="BD545" s="20"/>
      <c r="BE545" s="473"/>
      <c r="BF545" s="610"/>
      <c r="BG545" s="610"/>
      <c r="BH545" s="610"/>
      <c r="BI545" s="610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</row>
    <row r="546" spans="1:148" s="22" customFormat="1" x14ac:dyDescent="0.25">
      <c r="A546" s="20"/>
      <c r="B546" s="16"/>
      <c r="C546" s="473"/>
      <c r="D546" s="473"/>
      <c r="E546" s="1164"/>
      <c r="F546" s="473"/>
      <c r="G546" s="473"/>
      <c r="H546" s="1164"/>
      <c r="I546" s="473"/>
      <c r="J546" s="473"/>
      <c r="K546" s="1164"/>
      <c r="L546" s="473"/>
      <c r="M546" s="473"/>
      <c r="N546" s="1164"/>
      <c r="O546" s="473"/>
      <c r="P546" s="473"/>
      <c r="Q546" s="1164"/>
      <c r="R546" s="473"/>
      <c r="S546" s="473"/>
      <c r="T546" s="1164"/>
      <c r="U546" s="1164"/>
      <c r="V546" s="473"/>
      <c r="W546" s="473"/>
      <c r="X546" s="1164"/>
      <c r="Y546" s="473"/>
      <c r="Z546" s="473"/>
      <c r="AA546" s="1164"/>
      <c r="AB546" s="473"/>
      <c r="AC546" s="1164"/>
      <c r="AD546" s="473"/>
      <c r="AE546" s="1164"/>
      <c r="AF546" s="473"/>
      <c r="AG546" s="1164"/>
      <c r="AH546" s="473"/>
      <c r="AI546" s="473"/>
      <c r="AJ546" s="1164"/>
      <c r="AK546" s="473"/>
      <c r="AL546" s="473"/>
      <c r="AM546" s="1164"/>
      <c r="AN546" s="473"/>
      <c r="AO546" s="473"/>
      <c r="AP546" s="1164"/>
      <c r="AQ546" s="473"/>
      <c r="AR546" s="473"/>
      <c r="AS546" s="1236"/>
      <c r="AT546" s="473"/>
      <c r="AU546" s="473"/>
      <c r="AV546" s="1164"/>
      <c r="AW546" s="1164"/>
      <c r="AX546" s="1236"/>
      <c r="AY546" s="473"/>
      <c r="AZ546" s="1236"/>
      <c r="BA546" s="473"/>
      <c r="BB546" s="473"/>
      <c r="BC546" s="1164"/>
      <c r="BD546" s="20"/>
      <c r="BE546" s="473"/>
      <c r="BF546" s="610"/>
      <c r="BG546" s="610"/>
      <c r="BH546" s="610"/>
      <c r="BI546" s="610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</row>
    <row r="547" spans="1:148" s="22" customFormat="1" x14ac:dyDescent="0.25">
      <c r="A547" s="20"/>
      <c r="B547" s="16"/>
      <c r="C547" s="473"/>
      <c r="D547" s="473"/>
      <c r="E547" s="1164"/>
      <c r="F547" s="473"/>
      <c r="G547" s="473"/>
      <c r="H547" s="1164"/>
      <c r="I547" s="473"/>
      <c r="J547" s="473"/>
      <c r="K547" s="1164"/>
      <c r="L547" s="473"/>
      <c r="M547" s="473"/>
      <c r="N547" s="1164"/>
      <c r="O547" s="473"/>
      <c r="P547" s="473"/>
      <c r="Q547" s="1164"/>
      <c r="R547" s="473"/>
      <c r="S547" s="473"/>
      <c r="T547" s="1164"/>
      <c r="U547" s="1164"/>
      <c r="V547" s="473"/>
      <c r="W547" s="473"/>
      <c r="X547" s="1164"/>
      <c r="Y547" s="473"/>
      <c r="Z547" s="473"/>
      <c r="AA547" s="1164"/>
      <c r="AB547" s="473"/>
      <c r="AC547" s="1164"/>
      <c r="AD547" s="473"/>
      <c r="AE547" s="1164"/>
      <c r="AF547" s="473"/>
      <c r="AG547" s="1164"/>
      <c r="AH547" s="473"/>
      <c r="AI547" s="473"/>
      <c r="AJ547" s="1164"/>
      <c r="AK547" s="473"/>
      <c r="AL547" s="473"/>
      <c r="AM547" s="1164"/>
      <c r="AN547" s="473"/>
      <c r="AO547" s="473"/>
      <c r="AP547" s="1164"/>
      <c r="AQ547" s="473"/>
      <c r="AR547" s="473"/>
      <c r="AS547" s="1236"/>
      <c r="AT547" s="473"/>
      <c r="AU547" s="473"/>
      <c r="AV547" s="1164"/>
      <c r="AW547" s="1164"/>
      <c r="AX547" s="1236"/>
      <c r="AY547" s="473"/>
      <c r="AZ547" s="1236"/>
      <c r="BA547" s="473"/>
      <c r="BB547" s="473"/>
      <c r="BC547" s="1164"/>
      <c r="BD547" s="20"/>
      <c r="BE547" s="473"/>
      <c r="BF547" s="610"/>
      <c r="BG547" s="610"/>
      <c r="BH547" s="610"/>
      <c r="BI547" s="610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</row>
    <row r="548" spans="1:148" s="22" customFormat="1" x14ac:dyDescent="0.25">
      <c r="A548" s="20"/>
      <c r="B548" s="16"/>
      <c r="C548" s="473"/>
      <c r="D548" s="473"/>
      <c r="E548" s="1164"/>
      <c r="F548" s="473"/>
      <c r="G548" s="473"/>
      <c r="H548" s="1164"/>
      <c r="I548" s="473"/>
      <c r="J548" s="473"/>
      <c r="K548" s="1164"/>
      <c r="L548" s="473"/>
      <c r="M548" s="473"/>
      <c r="N548" s="1164"/>
      <c r="O548" s="473"/>
      <c r="P548" s="473"/>
      <c r="Q548" s="1164"/>
      <c r="R548" s="473"/>
      <c r="S548" s="473"/>
      <c r="T548" s="1164"/>
      <c r="U548" s="1164"/>
      <c r="V548" s="473"/>
      <c r="W548" s="473"/>
      <c r="X548" s="1164"/>
      <c r="Y548" s="473"/>
      <c r="Z548" s="473"/>
      <c r="AA548" s="1164"/>
      <c r="AB548" s="473"/>
      <c r="AC548" s="1164"/>
      <c r="AD548" s="473"/>
      <c r="AE548" s="1164"/>
      <c r="AF548" s="473"/>
      <c r="AG548" s="1164"/>
      <c r="AH548" s="473"/>
      <c r="AI548" s="473"/>
      <c r="AJ548" s="1164"/>
      <c r="AK548" s="473"/>
      <c r="AL548" s="473"/>
      <c r="AM548" s="1164"/>
      <c r="AN548" s="473"/>
      <c r="AO548" s="473"/>
      <c r="AP548" s="1164"/>
      <c r="AQ548" s="473"/>
      <c r="AR548" s="473"/>
      <c r="AS548" s="1236"/>
      <c r="AT548" s="473"/>
      <c r="AU548" s="473"/>
      <c r="AV548" s="1164"/>
      <c r="AW548" s="1164"/>
      <c r="AX548" s="1236"/>
      <c r="AY548" s="473"/>
      <c r="AZ548" s="1236"/>
      <c r="BA548" s="473"/>
      <c r="BB548" s="473"/>
      <c r="BC548" s="1164"/>
      <c r="BD548" s="20"/>
      <c r="BE548" s="473"/>
      <c r="BF548" s="610"/>
      <c r="BG548" s="610"/>
      <c r="BH548" s="610"/>
      <c r="BI548" s="610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</row>
    <row r="549" spans="1:148" s="22" customFormat="1" x14ac:dyDescent="0.25">
      <c r="A549" s="20"/>
      <c r="B549" s="16"/>
      <c r="C549" s="473"/>
      <c r="D549" s="473"/>
      <c r="E549" s="1164"/>
      <c r="F549" s="473"/>
      <c r="G549" s="473"/>
      <c r="H549" s="1164"/>
      <c r="I549" s="473"/>
      <c r="J549" s="473"/>
      <c r="K549" s="1164"/>
      <c r="L549" s="473"/>
      <c r="M549" s="473"/>
      <c r="N549" s="1164"/>
      <c r="O549" s="473"/>
      <c r="P549" s="473"/>
      <c r="Q549" s="1164"/>
      <c r="R549" s="473"/>
      <c r="S549" s="473"/>
      <c r="T549" s="1164"/>
      <c r="U549" s="1164"/>
      <c r="V549" s="473"/>
      <c r="W549" s="473"/>
      <c r="X549" s="1164"/>
      <c r="Y549" s="473"/>
      <c r="Z549" s="473"/>
      <c r="AA549" s="1164"/>
      <c r="AB549" s="473"/>
      <c r="AC549" s="1164"/>
      <c r="AD549" s="473"/>
      <c r="AE549" s="1164"/>
      <c r="AF549" s="473"/>
      <c r="AG549" s="1164"/>
      <c r="AH549" s="473"/>
      <c r="AI549" s="473"/>
      <c r="AJ549" s="1164"/>
      <c r="AK549" s="473"/>
      <c r="AL549" s="473"/>
      <c r="AM549" s="1164"/>
      <c r="AN549" s="473"/>
      <c r="AO549" s="473"/>
      <c r="AP549" s="1164"/>
      <c r="AQ549" s="473"/>
      <c r="AR549" s="473"/>
      <c r="AS549" s="1236"/>
      <c r="AT549" s="473"/>
      <c r="AU549" s="473"/>
      <c r="AV549" s="1164"/>
      <c r="AW549" s="1164"/>
      <c r="AX549" s="1236"/>
      <c r="AY549" s="473"/>
      <c r="AZ549" s="1236"/>
      <c r="BA549" s="473"/>
      <c r="BB549" s="473"/>
      <c r="BC549" s="1164"/>
      <c r="BD549" s="20"/>
      <c r="BE549" s="473"/>
      <c r="BF549" s="610"/>
      <c r="BG549" s="610"/>
      <c r="BH549" s="610"/>
      <c r="BI549" s="610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</row>
    <row r="550" spans="1:148" s="22" customFormat="1" x14ac:dyDescent="0.25">
      <c r="A550" s="20"/>
      <c r="B550" s="16"/>
      <c r="C550" s="473"/>
      <c r="D550" s="473"/>
      <c r="E550" s="1164"/>
      <c r="F550" s="473"/>
      <c r="G550" s="473"/>
      <c r="H550" s="1164"/>
      <c r="I550" s="473"/>
      <c r="J550" s="473"/>
      <c r="K550" s="1164"/>
      <c r="L550" s="473"/>
      <c r="M550" s="473"/>
      <c r="N550" s="1164"/>
      <c r="O550" s="473"/>
      <c r="P550" s="473"/>
      <c r="Q550" s="1164"/>
      <c r="R550" s="473"/>
      <c r="S550" s="473"/>
      <c r="T550" s="1164"/>
      <c r="U550" s="1164"/>
      <c r="V550" s="473"/>
      <c r="W550" s="473"/>
      <c r="X550" s="1164"/>
      <c r="Y550" s="473"/>
      <c r="Z550" s="473"/>
      <c r="AA550" s="1164"/>
      <c r="AB550" s="473"/>
      <c r="AC550" s="1164"/>
      <c r="AD550" s="473"/>
      <c r="AE550" s="1164"/>
      <c r="AF550" s="473"/>
      <c r="AG550" s="1164"/>
      <c r="AH550" s="473"/>
      <c r="AI550" s="473"/>
      <c r="AJ550" s="1164"/>
      <c r="AK550" s="473"/>
      <c r="AL550" s="473"/>
      <c r="AM550" s="1164"/>
      <c r="AN550" s="473"/>
      <c r="AO550" s="473"/>
      <c r="AP550" s="1164"/>
      <c r="AQ550" s="473"/>
      <c r="AR550" s="473"/>
      <c r="AS550" s="1236"/>
      <c r="AT550" s="473"/>
      <c r="AU550" s="473"/>
      <c r="AV550" s="1164"/>
      <c r="AW550" s="1164"/>
      <c r="AX550" s="1236"/>
      <c r="AY550" s="473"/>
      <c r="AZ550" s="1236"/>
      <c r="BA550" s="473"/>
      <c r="BB550" s="473"/>
      <c r="BC550" s="1164"/>
      <c r="BD550" s="20"/>
      <c r="BE550" s="473"/>
      <c r="BF550" s="610"/>
      <c r="BG550" s="610"/>
      <c r="BH550" s="610"/>
      <c r="BI550" s="610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</row>
    <row r="551" spans="1:148" s="22" customFormat="1" x14ac:dyDescent="0.25">
      <c r="A551" s="20"/>
      <c r="B551" s="16"/>
      <c r="C551" s="473"/>
      <c r="D551" s="473"/>
      <c r="E551" s="1164"/>
      <c r="F551" s="473"/>
      <c r="G551" s="473"/>
      <c r="H551" s="1164"/>
      <c r="I551" s="473"/>
      <c r="J551" s="473"/>
      <c r="K551" s="1164"/>
      <c r="L551" s="473"/>
      <c r="M551" s="473"/>
      <c r="N551" s="1164"/>
      <c r="O551" s="473"/>
      <c r="P551" s="473"/>
      <c r="Q551" s="1164"/>
      <c r="R551" s="473"/>
      <c r="S551" s="473"/>
      <c r="T551" s="1164"/>
      <c r="U551" s="1164"/>
      <c r="V551" s="473"/>
      <c r="W551" s="473"/>
      <c r="X551" s="1164"/>
      <c r="Y551" s="473"/>
      <c r="Z551" s="473"/>
      <c r="AA551" s="1164"/>
      <c r="AB551" s="473"/>
      <c r="AC551" s="1164"/>
      <c r="AD551" s="473"/>
      <c r="AE551" s="1164"/>
      <c r="AF551" s="473"/>
      <c r="AG551" s="1164"/>
      <c r="AH551" s="473"/>
      <c r="AI551" s="473"/>
      <c r="AJ551" s="1164"/>
      <c r="AK551" s="473"/>
      <c r="AL551" s="473"/>
      <c r="AM551" s="1164"/>
      <c r="AN551" s="473"/>
      <c r="AO551" s="473"/>
      <c r="AP551" s="1164"/>
      <c r="AQ551" s="473"/>
      <c r="AR551" s="473"/>
      <c r="AS551" s="1236"/>
      <c r="AT551" s="473"/>
      <c r="AU551" s="473"/>
      <c r="AV551" s="1164"/>
      <c r="AW551" s="1164"/>
      <c r="AX551" s="1236"/>
      <c r="AY551" s="473"/>
      <c r="AZ551" s="1236"/>
      <c r="BA551" s="473"/>
      <c r="BB551" s="473"/>
      <c r="BC551" s="1164"/>
      <c r="BD551" s="20"/>
      <c r="BE551" s="473"/>
      <c r="BF551" s="610"/>
      <c r="BG551" s="610"/>
      <c r="BH551" s="610"/>
      <c r="BI551" s="610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</row>
    <row r="552" spans="1:148" s="22" customFormat="1" x14ac:dyDescent="0.25">
      <c r="A552" s="20"/>
      <c r="B552" s="16"/>
      <c r="C552" s="473"/>
      <c r="D552" s="473"/>
      <c r="E552" s="1164"/>
      <c r="F552" s="473"/>
      <c r="G552" s="473"/>
      <c r="H552" s="1164"/>
      <c r="I552" s="473"/>
      <c r="J552" s="473"/>
      <c r="K552" s="1164"/>
      <c r="L552" s="473"/>
      <c r="M552" s="473"/>
      <c r="N552" s="1164"/>
      <c r="O552" s="473"/>
      <c r="P552" s="473"/>
      <c r="Q552" s="1164"/>
      <c r="R552" s="473"/>
      <c r="S552" s="473"/>
      <c r="T552" s="1164"/>
      <c r="U552" s="1164"/>
      <c r="V552" s="473"/>
      <c r="W552" s="473"/>
      <c r="X552" s="1164"/>
      <c r="Y552" s="473"/>
      <c r="Z552" s="473"/>
      <c r="AA552" s="1164"/>
      <c r="AB552" s="473"/>
      <c r="AC552" s="1164"/>
      <c r="AD552" s="473"/>
      <c r="AE552" s="1164"/>
      <c r="AF552" s="473"/>
      <c r="AG552" s="1164"/>
      <c r="AH552" s="473"/>
      <c r="AI552" s="473"/>
      <c r="AJ552" s="1164"/>
      <c r="AK552" s="473"/>
      <c r="AL552" s="473"/>
      <c r="AM552" s="1164"/>
      <c r="AN552" s="473"/>
      <c r="AO552" s="473"/>
      <c r="AP552" s="1164"/>
      <c r="AQ552" s="473"/>
      <c r="AR552" s="473"/>
      <c r="AS552" s="1236"/>
      <c r="AT552" s="473"/>
      <c r="AU552" s="473"/>
      <c r="AV552" s="1164"/>
      <c r="AW552" s="1164"/>
      <c r="AX552" s="1236"/>
      <c r="AY552" s="473"/>
      <c r="AZ552" s="1236"/>
      <c r="BA552" s="473"/>
      <c r="BB552" s="473"/>
      <c r="BC552" s="1164"/>
      <c r="BD552" s="20"/>
      <c r="BE552" s="473"/>
      <c r="BF552" s="610"/>
      <c r="BG552" s="610"/>
      <c r="BH552" s="610"/>
      <c r="BI552" s="610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</row>
    <row r="553" spans="1:148" s="22" customFormat="1" x14ac:dyDescent="0.25">
      <c r="A553" s="20"/>
      <c r="B553" s="16"/>
      <c r="C553" s="473"/>
      <c r="D553" s="473"/>
      <c r="E553" s="1164"/>
      <c r="F553" s="473"/>
      <c r="G553" s="473"/>
      <c r="H553" s="1164"/>
      <c r="I553" s="473"/>
      <c r="J553" s="473"/>
      <c r="K553" s="1164"/>
      <c r="L553" s="473"/>
      <c r="M553" s="473"/>
      <c r="N553" s="1164"/>
      <c r="O553" s="473"/>
      <c r="P553" s="473"/>
      <c r="Q553" s="1164"/>
      <c r="R553" s="473"/>
      <c r="S553" s="473"/>
      <c r="T553" s="1164"/>
      <c r="U553" s="1164"/>
      <c r="V553" s="473"/>
      <c r="W553" s="473"/>
      <c r="X553" s="1164"/>
      <c r="Y553" s="473"/>
      <c r="Z553" s="473"/>
      <c r="AA553" s="1164"/>
      <c r="AB553" s="473"/>
      <c r="AC553" s="1164"/>
      <c r="AD553" s="473"/>
      <c r="AE553" s="1164"/>
      <c r="AF553" s="473"/>
      <c r="AG553" s="1164"/>
      <c r="AH553" s="473"/>
      <c r="AI553" s="473"/>
      <c r="AJ553" s="1164"/>
      <c r="AK553" s="473"/>
      <c r="AL553" s="473"/>
      <c r="AM553" s="1164"/>
      <c r="AN553" s="473"/>
      <c r="AO553" s="473"/>
      <c r="AP553" s="1164"/>
      <c r="AQ553" s="473"/>
      <c r="AR553" s="473"/>
      <c r="AS553" s="1236"/>
      <c r="AT553" s="473"/>
      <c r="AU553" s="473"/>
      <c r="AV553" s="1164"/>
      <c r="AW553" s="1164"/>
      <c r="AX553" s="1236"/>
      <c r="AY553" s="473"/>
      <c r="AZ553" s="1236"/>
      <c r="BA553" s="473"/>
      <c r="BB553" s="473"/>
      <c r="BC553" s="1164"/>
      <c r="BD553" s="20"/>
      <c r="BE553" s="473"/>
      <c r="BF553" s="610"/>
      <c r="BG553" s="610"/>
      <c r="BH553" s="610"/>
      <c r="BI553" s="610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</row>
    <row r="554" spans="1:148" s="22" customFormat="1" x14ac:dyDescent="0.25">
      <c r="A554" s="20"/>
      <c r="B554" s="16"/>
      <c r="C554" s="473"/>
      <c r="D554" s="473"/>
      <c r="E554" s="1164"/>
      <c r="F554" s="473"/>
      <c r="G554" s="473"/>
      <c r="H554" s="1164"/>
      <c r="I554" s="473"/>
      <c r="J554" s="473"/>
      <c r="K554" s="1164"/>
      <c r="L554" s="473"/>
      <c r="M554" s="473"/>
      <c r="N554" s="1164"/>
      <c r="O554" s="473"/>
      <c r="P554" s="473"/>
      <c r="Q554" s="1164"/>
      <c r="R554" s="473"/>
      <c r="S554" s="473"/>
      <c r="T554" s="1164"/>
      <c r="U554" s="1164"/>
      <c r="V554" s="473"/>
      <c r="W554" s="473"/>
      <c r="X554" s="1164"/>
      <c r="Y554" s="473"/>
      <c r="Z554" s="473"/>
      <c r="AA554" s="1164"/>
      <c r="AB554" s="473"/>
      <c r="AC554" s="1164"/>
      <c r="AD554" s="473"/>
      <c r="AE554" s="1164"/>
      <c r="AF554" s="473"/>
      <c r="AG554" s="1164"/>
      <c r="AH554" s="473"/>
      <c r="AI554" s="473"/>
      <c r="AJ554" s="1164"/>
      <c r="AK554" s="473"/>
      <c r="AL554" s="473"/>
      <c r="AM554" s="1164"/>
      <c r="AN554" s="473"/>
      <c r="AO554" s="473"/>
      <c r="AP554" s="1164"/>
      <c r="AQ554" s="473"/>
      <c r="AR554" s="473"/>
      <c r="AS554" s="1236"/>
      <c r="AT554" s="473"/>
      <c r="AU554" s="473"/>
      <c r="AV554" s="1164"/>
      <c r="AW554" s="1164"/>
      <c r="AX554" s="1236"/>
      <c r="AY554" s="473"/>
      <c r="AZ554" s="1236"/>
      <c r="BA554" s="473"/>
      <c r="BB554" s="473"/>
      <c r="BC554" s="1164"/>
      <c r="BD554" s="20"/>
      <c r="BE554" s="473"/>
      <c r="BF554" s="610"/>
      <c r="BG554" s="610"/>
      <c r="BH554" s="610"/>
      <c r="BI554" s="610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</row>
    <row r="555" spans="1:148" s="22" customFormat="1" x14ac:dyDescent="0.25">
      <c r="A555" s="20"/>
      <c r="B555" s="16"/>
      <c r="C555" s="473"/>
      <c r="D555" s="473"/>
      <c r="E555" s="1164"/>
      <c r="F555" s="473"/>
      <c r="G555" s="473"/>
      <c r="H555" s="1164"/>
      <c r="I555" s="473"/>
      <c r="J555" s="473"/>
      <c r="K555" s="1164"/>
      <c r="L555" s="473"/>
      <c r="M555" s="473"/>
      <c r="N555" s="1164"/>
      <c r="O555" s="473"/>
      <c r="P555" s="473"/>
      <c r="Q555" s="1164"/>
      <c r="R555" s="473"/>
      <c r="S555" s="473"/>
      <c r="T555" s="1164"/>
      <c r="U555" s="1164"/>
      <c r="V555" s="473"/>
      <c r="W555" s="473"/>
      <c r="X555" s="1164"/>
      <c r="Y555" s="473"/>
      <c r="Z555" s="473"/>
      <c r="AA555" s="1164"/>
      <c r="AB555" s="473"/>
      <c r="AC555" s="1164"/>
      <c r="AD555" s="473"/>
      <c r="AE555" s="1164"/>
      <c r="AF555" s="473"/>
      <c r="AG555" s="1164"/>
      <c r="AH555" s="473"/>
      <c r="AI555" s="473"/>
      <c r="AJ555" s="1164"/>
      <c r="AK555" s="473"/>
      <c r="AL555" s="473"/>
      <c r="AM555" s="1164"/>
      <c r="AN555" s="473"/>
      <c r="AO555" s="473"/>
      <c r="AP555" s="1164"/>
      <c r="AQ555" s="473"/>
      <c r="AR555" s="473"/>
      <c r="AS555" s="1236"/>
      <c r="AT555" s="473"/>
      <c r="AU555" s="473"/>
      <c r="AV555" s="1164"/>
      <c r="AW555" s="1164"/>
      <c r="AX555" s="1236"/>
      <c r="AY555" s="473"/>
      <c r="AZ555" s="1236"/>
      <c r="BA555" s="473"/>
      <c r="BB555" s="473"/>
      <c r="BC555" s="1164"/>
      <c r="BD555" s="20"/>
      <c r="BE555" s="473"/>
      <c r="BF555" s="610"/>
      <c r="BG555" s="610"/>
      <c r="BH555" s="610"/>
      <c r="BI555" s="610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</row>
    <row r="556" spans="1:148" s="22" customFormat="1" x14ac:dyDescent="0.25">
      <c r="A556" s="20"/>
      <c r="B556" s="16"/>
      <c r="C556" s="473"/>
      <c r="D556" s="473"/>
      <c r="E556" s="1164"/>
      <c r="F556" s="473"/>
      <c r="G556" s="473"/>
      <c r="H556" s="1164"/>
      <c r="I556" s="473"/>
      <c r="J556" s="473"/>
      <c r="K556" s="1164"/>
      <c r="L556" s="473"/>
      <c r="M556" s="473"/>
      <c r="N556" s="1164"/>
      <c r="O556" s="473"/>
      <c r="P556" s="473"/>
      <c r="Q556" s="1164"/>
      <c r="R556" s="473"/>
      <c r="S556" s="473"/>
      <c r="T556" s="1164"/>
      <c r="U556" s="1164"/>
      <c r="V556" s="473"/>
      <c r="W556" s="473"/>
      <c r="X556" s="1164"/>
      <c r="Y556" s="473"/>
      <c r="Z556" s="473"/>
      <c r="AA556" s="1164"/>
      <c r="AB556" s="473"/>
      <c r="AC556" s="1164"/>
      <c r="AD556" s="473"/>
      <c r="AE556" s="1164"/>
      <c r="AF556" s="473"/>
      <c r="AG556" s="1164"/>
      <c r="AH556" s="473"/>
      <c r="AI556" s="473"/>
      <c r="AJ556" s="1164"/>
      <c r="AK556" s="473"/>
      <c r="AL556" s="473"/>
      <c r="AM556" s="1164"/>
      <c r="AN556" s="473"/>
      <c r="AO556" s="473"/>
      <c r="AP556" s="1164"/>
      <c r="AQ556" s="473"/>
      <c r="AR556" s="473"/>
      <c r="AS556" s="1236"/>
      <c r="AT556" s="473"/>
      <c r="AU556" s="473"/>
      <c r="AV556" s="1164"/>
      <c r="AW556" s="1164"/>
      <c r="AX556" s="1236"/>
      <c r="AY556" s="473"/>
      <c r="AZ556" s="1236"/>
      <c r="BA556" s="473"/>
      <c r="BB556" s="473"/>
      <c r="BC556" s="1164"/>
      <c r="BD556" s="20"/>
      <c r="BE556" s="473"/>
      <c r="BF556" s="610"/>
      <c r="BG556" s="610"/>
      <c r="BH556" s="610"/>
      <c r="BI556" s="610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</row>
    <row r="557" spans="1:148" s="22" customFormat="1" x14ac:dyDescent="0.25">
      <c r="A557" s="20"/>
      <c r="B557" s="16"/>
      <c r="C557" s="473"/>
      <c r="D557" s="473"/>
      <c r="E557" s="1164"/>
      <c r="F557" s="473"/>
      <c r="G557" s="473"/>
      <c r="H557" s="1164"/>
      <c r="I557" s="473"/>
      <c r="J557" s="473"/>
      <c r="K557" s="1164"/>
      <c r="L557" s="473"/>
      <c r="M557" s="473"/>
      <c r="N557" s="1164"/>
      <c r="O557" s="473"/>
      <c r="P557" s="473"/>
      <c r="Q557" s="1164"/>
      <c r="R557" s="473"/>
      <c r="S557" s="473"/>
      <c r="T557" s="1164"/>
      <c r="U557" s="1164"/>
      <c r="V557" s="473"/>
      <c r="W557" s="473"/>
      <c r="X557" s="1164"/>
      <c r="Y557" s="473"/>
      <c r="Z557" s="473"/>
      <c r="AA557" s="1164"/>
      <c r="AB557" s="473"/>
      <c r="AC557" s="1164"/>
      <c r="AD557" s="473"/>
      <c r="AE557" s="1164"/>
      <c r="AF557" s="473"/>
      <c r="AG557" s="1164"/>
      <c r="AH557" s="473"/>
      <c r="AI557" s="473"/>
      <c r="AJ557" s="1164"/>
      <c r="AK557" s="473"/>
      <c r="AL557" s="473"/>
      <c r="AM557" s="1164"/>
      <c r="AN557" s="473"/>
      <c r="AO557" s="473"/>
      <c r="AP557" s="1164"/>
      <c r="AQ557" s="473"/>
      <c r="AR557" s="473"/>
      <c r="AS557" s="1236"/>
      <c r="AT557" s="473"/>
      <c r="AU557" s="473"/>
      <c r="AV557" s="1164"/>
      <c r="AW557" s="1164"/>
      <c r="AX557" s="1236"/>
      <c r="AY557" s="473"/>
      <c r="AZ557" s="1236"/>
      <c r="BA557" s="473"/>
      <c r="BB557" s="473"/>
      <c r="BC557" s="1164"/>
      <c r="BD557" s="20"/>
      <c r="BE557" s="473"/>
      <c r="BF557" s="610"/>
      <c r="BG557" s="610"/>
      <c r="BH557" s="610"/>
      <c r="BI557" s="610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</row>
    <row r="558" spans="1:148" s="22" customFormat="1" x14ac:dyDescent="0.25">
      <c r="A558" s="20"/>
      <c r="B558" s="16"/>
      <c r="C558" s="473"/>
      <c r="D558" s="473"/>
      <c r="E558" s="1164"/>
      <c r="F558" s="473"/>
      <c r="G558" s="473"/>
      <c r="H558" s="1164"/>
      <c r="I558" s="473"/>
      <c r="J558" s="473"/>
      <c r="K558" s="1164"/>
      <c r="L558" s="473"/>
      <c r="M558" s="473"/>
      <c r="N558" s="1164"/>
      <c r="O558" s="473"/>
      <c r="P558" s="473"/>
      <c r="Q558" s="1164"/>
      <c r="R558" s="473"/>
      <c r="S558" s="473"/>
      <c r="T558" s="1164"/>
      <c r="U558" s="1164"/>
      <c r="V558" s="473"/>
      <c r="W558" s="473"/>
      <c r="X558" s="1164"/>
      <c r="Y558" s="473"/>
      <c r="Z558" s="473"/>
      <c r="AA558" s="1164"/>
      <c r="AB558" s="473"/>
      <c r="AC558" s="1164"/>
      <c r="AD558" s="473"/>
      <c r="AE558" s="1164"/>
      <c r="AF558" s="473"/>
      <c r="AG558" s="1164"/>
      <c r="AH558" s="473"/>
      <c r="AI558" s="473"/>
      <c r="AJ558" s="1164"/>
      <c r="AK558" s="473"/>
      <c r="AL558" s="473"/>
      <c r="AM558" s="1164"/>
      <c r="AN558" s="473"/>
      <c r="AO558" s="473"/>
      <c r="AP558" s="1164"/>
      <c r="AQ558" s="473"/>
      <c r="AR558" s="473"/>
      <c r="AS558" s="1236"/>
      <c r="AT558" s="473"/>
      <c r="AU558" s="473"/>
      <c r="AV558" s="1164"/>
      <c r="AW558" s="1164"/>
      <c r="AX558" s="1236"/>
      <c r="AY558" s="473"/>
      <c r="AZ558" s="1236"/>
      <c r="BA558" s="473"/>
      <c r="BB558" s="473"/>
      <c r="BC558" s="1164"/>
      <c r="BD558" s="20"/>
      <c r="BE558" s="473"/>
      <c r="BF558" s="610"/>
      <c r="BG558" s="610"/>
      <c r="BH558" s="610"/>
      <c r="BI558" s="610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</row>
    <row r="559" spans="1:148" s="22" customFormat="1" x14ac:dyDescent="0.25">
      <c r="A559" s="20"/>
      <c r="B559" s="16"/>
      <c r="C559" s="473"/>
      <c r="D559" s="473"/>
      <c r="E559" s="1164"/>
      <c r="F559" s="473"/>
      <c r="G559" s="473"/>
      <c r="H559" s="1164"/>
      <c r="I559" s="473"/>
      <c r="J559" s="473"/>
      <c r="K559" s="1164"/>
      <c r="L559" s="473"/>
      <c r="M559" s="473"/>
      <c r="N559" s="1164"/>
      <c r="O559" s="473"/>
      <c r="P559" s="473"/>
      <c r="Q559" s="1164"/>
      <c r="R559" s="473"/>
      <c r="S559" s="473"/>
      <c r="T559" s="1164"/>
      <c r="U559" s="1164"/>
      <c r="V559" s="473"/>
      <c r="W559" s="473"/>
      <c r="X559" s="1164"/>
      <c r="Y559" s="473"/>
      <c r="Z559" s="473"/>
      <c r="AA559" s="1164"/>
      <c r="AB559" s="473"/>
      <c r="AC559" s="1164"/>
      <c r="AD559" s="473"/>
      <c r="AE559" s="1164"/>
      <c r="AF559" s="473"/>
      <c r="AG559" s="1164"/>
      <c r="AH559" s="473"/>
      <c r="AI559" s="473"/>
      <c r="AJ559" s="1164"/>
      <c r="AK559" s="473"/>
      <c r="AL559" s="473"/>
      <c r="AM559" s="1164"/>
      <c r="AN559" s="473"/>
      <c r="AO559" s="473"/>
      <c r="AP559" s="1164"/>
      <c r="AQ559" s="473"/>
      <c r="AR559" s="473"/>
      <c r="AS559" s="1236"/>
      <c r="AT559" s="473"/>
      <c r="AU559" s="473"/>
      <c r="AV559" s="1164"/>
      <c r="AW559" s="1164"/>
      <c r="AX559" s="1236"/>
      <c r="AY559" s="473"/>
      <c r="AZ559" s="1236"/>
      <c r="BA559" s="473"/>
      <c r="BB559" s="473"/>
      <c r="BC559" s="1164"/>
      <c r="BD559" s="20"/>
      <c r="BE559" s="473"/>
      <c r="BF559" s="610"/>
      <c r="BG559" s="610"/>
      <c r="BH559" s="610"/>
      <c r="BI559" s="610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s="22" customFormat="1" x14ac:dyDescent="0.25">
      <c r="A560" s="20"/>
      <c r="B560" s="16"/>
      <c r="C560" s="473"/>
      <c r="D560" s="473"/>
      <c r="E560" s="1164"/>
      <c r="F560" s="473"/>
      <c r="G560" s="473"/>
      <c r="H560" s="1164"/>
      <c r="I560" s="473"/>
      <c r="J560" s="473"/>
      <c r="K560" s="1164"/>
      <c r="L560" s="473"/>
      <c r="M560" s="473"/>
      <c r="N560" s="1164"/>
      <c r="O560" s="473"/>
      <c r="P560" s="473"/>
      <c r="Q560" s="1164"/>
      <c r="R560" s="473"/>
      <c r="S560" s="473"/>
      <c r="T560" s="1164"/>
      <c r="U560" s="1164"/>
      <c r="V560" s="473"/>
      <c r="W560" s="473"/>
      <c r="X560" s="1164"/>
      <c r="Y560" s="473"/>
      <c r="Z560" s="473"/>
      <c r="AA560" s="1164"/>
      <c r="AB560" s="473"/>
      <c r="AC560" s="1164"/>
      <c r="AD560" s="473"/>
      <c r="AE560" s="1164"/>
      <c r="AF560" s="473"/>
      <c r="AG560" s="1164"/>
      <c r="AH560" s="473"/>
      <c r="AI560" s="473"/>
      <c r="AJ560" s="1164"/>
      <c r="AK560" s="473"/>
      <c r="AL560" s="473"/>
      <c r="AM560" s="1164"/>
      <c r="AN560" s="473"/>
      <c r="AO560" s="473"/>
      <c r="AP560" s="1164"/>
      <c r="AQ560" s="473"/>
      <c r="AR560" s="473"/>
      <c r="AS560" s="1236"/>
      <c r="AT560" s="473"/>
      <c r="AU560" s="473"/>
      <c r="AV560" s="1164"/>
      <c r="AW560" s="1164"/>
      <c r="AX560" s="1236"/>
      <c r="AY560" s="473"/>
      <c r="AZ560" s="1236"/>
      <c r="BA560" s="473"/>
      <c r="BB560" s="473"/>
      <c r="BC560" s="1164"/>
      <c r="BD560" s="20"/>
      <c r="BE560" s="473"/>
      <c r="BF560" s="610"/>
      <c r="BG560" s="610"/>
      <c r="BH560" s="610"/>
      <c r="BI560" s="610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s="22" customFormat="1" x14ac:dyDescent="0.25">
      <c r="A561" s="20"/>
      <c r="B561" s="16"/>
      <c r="C561" s="473"/>
      <c r="D561" s="473"/>
      <c r="E561" s="1164"/>
      <c r="F561" s="473"/>
      <c r="G561" s="473"/>
      <c r="H561" s="1164"/>
      <c r="I561" s="473"/>
      <c r="J561" s="473"/>
      <c r="K561" s="1164"/>
      <c r="L561" s="473"/>
      <c r="M561" s="473"/>
      <c r="N561" s="1164"/>
      <c r="O561" s="473"/>
      <c r="P561" s="473"/>
      <c r="Q561" s="1164"/>
      <c r="R561" s="473"/>
      <c r="S561" s="473"/>
      <c r="T561" s="1164"/>
      <c r="U561" s="1164"/>
      <c r="V561" s="473"/>
      <c r="W561" s="473"/>
      <c r="X561" s="1164"/>
      <c r="Y561" s="473"/>
      <c r="Z561" s="473"/>
      <c r="AA561" s="1164"/>
      <c r="AB561" s="473"/>
      <c r="AC561" s="1164"/>
      <c r="AD561" s="473"/>
      <c r="AE561" s="1164"/>
      <c r="AF561" s="473"/>
      <c r="AG561" s="1164"/>
      <c r="AH561" s="473"/>
      <c r="AI561" s="473"/>
      <c r="AJ561" s="1164"/>
      <c r="AK561" s="473"/>
      <c r="AL561" s="473"/>
      <c r="AM561" s="1164"/>
      <c r="AN561" s="473"/>
      <c r="AO561" s="473"/>
      <c r="AP561" s="1164"/>
      <c r="AQ561" s="473"/>
      <c r="AR561" s="473"/>
      <c r="AS561" s="1236"/>
      <c r="AT561" s="473"/>
      <c r="AU561" s="473"/>
      <c r="AV561" s="1164"/>
      <c r="AW561" s="1164"/>
      <c r="AX561" s="1236"/>
      <c r="AY561" s="473"/>
      <c r="AZ561" s="1236"/>
      <c r="BA561" s="473"/>
      <c r="BB561" s="473"/>
      <c r="BC561" s="1164"/>
      <c r="BD561" s="20"/>
      <c r="BE561" s="473"/>
      <c r="BF561" s="610"/>
      <c r="BG561" s="610"/>
      <c r="BH561" s="610"/>
      <c r="BI561" s="610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</row>
    <row r="562" spans="1:148" s="22" customFormat="1" x14ac:dyDescent="0.25">
      <c r="A562" s="20"/>
      <c r="B562" s="16"/>
      <c r="C562" s="473"/>
      <c r="D562" s="473"/>
      <c r="E562" s="1164"/>
      <c r="F562" s="473"/>
      <c r="G562" s="473"/>
      <c r="H562" s="1164"/>
      <c r="I562" s="473"/>
      <c r="J562" s="473"/>
      <c r="K562" s="1164"/>
      <c r="L562" s="473"/>
      <c r="M562" s="473"/>
      <c r="N562" s="1164"/>
      <c r="O562" s="473"/>
      <c r="P562" s="473"/>
      <c r="Q562" s="1164"/>
      <c r="R562" s="473"/>
      <c r="S562" s="473"/>
      <c r="T562" s="1164"/>
      <c r="U562" s="1164"/>
      <c r="V562" s="473"/>
      <c r="W562" s="473"/>
      <c r="X562" s="1164"/>
      <c r="Y562" s="473"/>
      <c r="Z562" s="473"/>
      <c r="AA562" s="1164"/>
      <c r="AB562" s="473"/>
      <c r="AC562" s="1164"/>
      <c r="AD562" s="473"/>
      <c r="AE562" s="1164"/>
      <c r="AF562" s="473"/>
      <c r="AG562" s="1164"/>
      <c r="AH562" s="473"/>
      <c r="AI562" s="473"/>
      <c r="AJ562" s="1164"/>
      <c r="AK562" s="473"/>
      <c r="AL562" s="473"/>
      <c r="AM562" s="1164"/>
      <c r="AN562" s="473"/>
      <c r="AO562" s="473"/>
      <c r="AP562" s="1164"/>
      <c r="AQ562" s="473"/>
      <c r="AR562" s="473"/>
      <c r="AS562" s="1236"/>
      <c r="AT562" s="473"/>
      <c r="AU562" s="473"/>
      <c r="AV562" s="1164"/>
      <c r="AW562" s="1164"/>
      <c r="AX562" s="1236"/>
      <c r="AY562" s="473"/>
      <c r="AZ562" s="1236"/>
      <c r="BA562" s="473"/>
      <c r="BB562" s="473"/>
      <c r="BC562" s="1164"/>
      <c r="BD562" s="20"/>
      <c r="BE562" s="473"/>
      <c r="BF562" s="610"/>
      <c r="BG562" s="610"/>
      <c r="BH562" s="610"/>
      <c r="BI562" s="610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</row>
    <row r="563" spans="1:148" s="22" customFormat="1" x14ac:dyDescent="0.25">
      <c r="A563" s="20"/>
      <c r="B563" s="16"/>
      <c r="C563" s="473"/>
      <c r="D563" s="473"/>
      <c r="E563" s="1164"/>
      <c r="F563" s="473"/>
      <c r="G563" s="473"/>
      <c r="H563" s="1164"/>
      <c r="I563" s="473"/>
      <c r="J563" s="473"/>
      <c r="K563" s="1164"/>
      <c r="L563" s="473"/>
      <c r="M563" s="473"/>
      <c r="N563" s="1164"/>
      <c r="O563" s="473"/>
      <c r="P563" s="473"/>
      <c r="Q563" s="1164"/>
      <c r="R563" s="473"/>
      <c r="S563" s="473"/>
      <c r="T563" s="1164"/>
      <c r="U563" s="1164"/>
      <c r="V563" s="473"/>
      <c r="W563" s="473"/>
      <c r="X563" s="1164"/>
      <c r="Y563" s="473"/>
      <c r="Z563" s="473"/>
      <c r="AA563" s="1164"/>
      <c r="AB563" s="473"/>
      <c r="AC563" s="1164"/>
      <c r="AD563" s="473"/>
      <c r="AE563" s="1164"/>
      <c r="AF563" s="473"/>
      <c r="AG563" s="1164"/>
      <c r="AH563" s="473"/>
      <c r="AI563" s="473"/>
      <c r="AJ563" s="1164"/>
      <c r="AK563" s="473"/>
      <c r="AL563" s="473"/>
      <c r="AM563" s="1164"/>
      <c r="AN563" s="473"/>
      <c r="AO563" s="473"/>
      <c r="AP563" s="1164"/>
      <c r="AQ563" s="473"/>
      <c r="AR563" s="473"/>
      <c r="AS563" s="1236"/>
      <c r="AT563" s="473"/>
      <c r="AU563" s="473"/>
      <c r="AV563" s="1164"/>
      <c r="AW563" s="1164"/>
      <c r="AX563" s="1236"/>
      <c r="AY563" s="473"/>
      <c r="AZ563" s="1236"/>
      <c r="BA563" s="473"/>
      <c r="BB563" s="473"/>
      <c r="BC563" s="1164"/>
      <c r="BD563" s="20"/>
      <c r="BE563" s="473"/>
      <c r="BF563" s="610"/>
      <c r="BG563" s="610"/>
      <c r="BH563" s="610"/>
      <c r="BI563" s="610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</row>
    <row r="564" spans="1:148" s="22" customFormat="1" x14ac:dyDescent="0.25">
      <c r="A564" s="20"/>
      <c r="B564" s="16"/>
      <c r="C564" s="473"/>
      <c r="D564" s="473"/>
      <c r="E564" s="1164"/>
      <c r="F564" s="473"/>
      <c r="G564" s="473"/>
      <c r="H564" s="1164"/>
      <c r="I564" s="473"/>
      <c r="J564" s="473"/>
      <c r="K564" s="1164"/>
      <c r="L564" s="473"/>
      <c r="M564" s="473"/>
      <c r="N564" s="1164"/>
      <c r="O564" s="473"/>
      <c r="P564" s="473"/>
      <c r="Q564" s="1164"/>
      <c r="R564" s="473"/>
      <c r="S564" s="473"/>
      <c r="T564" s="1164"/>
      <c r="U564" s="1164"/>
      <c r="V564" s="473"/>
      <c r="W564" s="473"/>
      <c r="X564" s="1164"/>
      <c r="Y564" s="473"/>
      <c r="Z564" s="473"/>
      <c r="AA564" s="1164"/>
      <c r="AB564" s="473"/>
      <c r="AC564" s="1164"/>
      <c r="AD564" s="473"/>
      <c r="AE564" s="1164"/>
      <c r="AF564" s="473"/>
      <c r="AG564" s="1164"/>
      <c r="AH564" s="473"/>
      <c r="AI564" s="473"/>
      <c r="AJ564" s="1164"/>
      <c r="AK564" s="473"/>
      <c r="AL564" s="473"/>
      <c r="AM564" s="1164"/>
      <c r="AN564" s="473"/>
      <c r="AO564" s="473"/>
      <c r="AP564" s="1164"/>
      <c r="AQ564" s="473"/>
      <c r="AR564" s="473"/>
      <c r="AS564" s="1236"/>
      <c r="AT564" s="473"/>
      <c r="AU564" s="473"/>
      <c r="AV564" s="1164"/>
      <c r="AW564" s="1164"/>
      <c r="AX564" s="1236"/>
      <c r="AY564" s="473"/>
      <c r="AZ564" s="1236"/>
      <c r="BA564" s="473"/>
      <c r="BB564" s="473"/>
      <c r="BC564" s="1164"/>
      <c r="BD564" s="20"/>
      <c r="BE564" s="473"/>
      <c r="BF564" s="610"/>
      <c r="BG564" s="610"/>
      <c r="BH564" s="610"/>
      <c r="BI564" s="610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</row>
    <row r="565" spans="1:148" s="22" customFormat="1" x14ac:dyDescent="0.25">
      <c r="A565" s="20"/>
      <c r="B565" s="16"/>
      <c r="C565" s="473"/>
      <c r="D565" s="473"/>
      <c r="E565" s="1164"/>
      <c r="F565" s="473"/>
      <c r="G565" s="473"/>
      <c r="H565" s="1164"/>
      <c r="I565" s="473"/>
      <c r="J565" s="473"/>
      <c r="K565" s="1164"/>
      <c r="L565" s="473"/>
      <c r="M565" s="473"/>
      <c r="N565" s="1164"/>
      <c r="O565" s="473"/>
      <c r="P565" s="473"/>
      <c r="Q565" s="1164"/>
      <c r="R565" s="473"/>
      <c r="S565" s="473"/>
      <c r="T565" s="1164"/>
      <c r="U565" s="1164"/>
      <c r="V565" s="473"/>
      <c r="W565" s="473"/>
      <c r="X565" s="1164"/>
      <c r="Y565" s="473"/>
      <c r="Z565" s="473"/>
      <c r="AA565" s="1164"/>
      <c r="AB565" s="473"/>
      <c r="AC565" s="1164"/>
      <c r="AD565" s="473"/>
      <c r="AE565" s="1164"/>
      <c r="AF565" s="473"/>
      <c r="AG565" s="1164"/>
      <c r="AH565" s="473"/>
      <c r="AI565" s="473"/>
      <c r="AJ565" s="1164"/>
      <c r="AK565" s="473"/>
      <c r="AL565" s="473"/>
      <c r="AM565" s="1164"/>
      <c r="AN565" s="473"/>
      <c r="AO565" s="473"/>
      <c r="AP565" s="1164"/>
      <c r="AQ565" s="473"/>
      <c r="AR565" s="473"/>
      <c r="AS565" s="1236"/>
      <c r="AT565" s="473"/>
      <c r="AU565" s="473"/>
      <c r="AV565" s="1164"/>
      <c r="AW565" s="1164"/>
      <c r="AX565" s="1236"/>
      <c r="AY565" s="473"/>
      <c r="AZ565" s="1236"/>
      <c r="BA565" s="473"/>
      <c r="BB565" s="473"/>
      <c r="BC565" s="1164"/>
      <c r="BD565" s="20"/>
      <c r="BE565" s="473"/>
      <c r="BF565" s="610"/>
      <c r="BG565" s="610"/>
      <c r="BH565" s="610"/>
      <c r="BI565" s="610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</row>
    <row r="566" spans="1:148" s="22" customFormat="1" x14ac:dyDescent="0.25">
      <c r="A566" s="20"/>
      <c r="B566" s="16"/>
      <c r="C566" s="473"/>
      <c r="D566" s="473"/>
      <c r="E566" s="1164"/>
      <c r="F566" s="473"/>
      <c r="G566" s="473"/>
      <c r="H566" s="1164"/>
      <c r="I566" s="473"/>
      <c r="J566" s="473"/>
      <c r="K566" s="1164"/>
      <c r="L566" s="473"/>
      <c r="M566" s="473"/>
      <c r="N566" s="1164"/>
      <c r="O566" s="473"/>
      <c r="P566" s="473"/>
      <c r="Q566" s="1164"/>
      <c r="R566" s="473"/>
      <c r="S566" s="473"/>
      <c r="T566" s="1164"/>
      <c r="U566" s="1164"/>
      <c r="V566" s="473"/>
      <c r="W566" s="473"/>
      <c r="X566" s="1164"/>
      <c r="Y566" s="473"/>
      <c r="Z566" s="473"/>
      <c r="AA566" s="1164"/>
      <c r="AB566" s="473"/>
      <c r="AC566" s="1164"/>
      <c r="AD566" s="473"/>
      <c r="AE566" s="1164"/>
      <c r="AF566" s="473"/>
      <c r="AG566" s="1164"/>
      <c r="AH566" s="473"/>
      <c r="AI566" s="473"/>
      <c r="AJ566" s="1164"/>
      <c r="AK566" s="473"/>
      <c r="AL566" s="473"/>
      <c r="AM566" s="1164"/>
      <c r="AN566" s="473"/>
      <c r="AO566" s="473"/>
      <c r="AP566" s="1164"/>
      <c r="AQ566" s="473"/>
      <c r="AR566" s="473"/>
      <c r="AS566" s="1236"/>
      <c r="AT566" s="473"/>
      <c r="AU566" s="473"/>
      <c r="AV566" s="1164"/>
      <c r="AW566" s="1164"/>
      <c r="AX566" s="1236"/>
      <c r="AY566" s="473"/>
      <c r="AZ566" s="1236"/>
      <c r="BA566" s="473"/>
      <c r="BB566" s="473"/>
      <c r="BC566" s="1164"/>
      <c r="BD566" s="20"/>
      <c r="BE566" s="473"/>
      <c r="BF566" s="610"/>
      <c r="BG566" s="610"/>
      <c r="BH566" s="610"/>
      <c r="BI566" s="610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</row>
    <row r="567" spans="1:148" s="22" customFormat="1" x14ac:dyDescent="0.25">
      <c r="A567" s="20"/>
      <c r="B567" s="16"/>
      <c r="C567" s="473"/>
      <c r="D567" s="473"/>
      <c r="E567" s="1164"/>
      <c r="F567" s="473"/>
      <c r="G567" s="473"/>
      <c r="H567" s="1164"/>
      <c r="I567" s="473"/>
      <c r="J567" s="473"/>
      <c r="K567" s="1164"/>
      <c r="L567" s="473"/>
      <c r="M567" s="473"/>
      <c r="N567" s="1164"/>
      <c r="O567" s="473"/>
      <c r="P567" s="473"/>
      <c r="Q567" s="1164"/>
      <c r="R567" s="473"/>
      <c r="S567" s="473"/>
      <c r="T567" s="1164"/>
      <c r="U567" s="1164"/>
      <c r="V567" s="473"/>
      <c r="W567" s="473"/>
      <c r="X567" s="1164"/>
      <c r="Y567" s="473"/>
      <c r="Z567" s="473"/>
      <c r="AA567" s="1164"/>
      <c r="AB567" s="473"/>
      <c r="AC567" s="1164"/>
      <c r="AD567" s="473"/>
      <c r="AE567" s="1164"/>
      <c r="AF567" s="473"/>
      <c r="AG567" s="1164"/>
      <c r="AH567" s="473"/>
      <c r="AI567" s="473"/>
      <c r="AJ567" s="1164"/>
      <c r="AK567" s="473"/>
      <c r="AL567" s="473"/>
      <c r="AM567" s="1164"/>
      <c r="AN567" s="473"/>
      <c r="AO567" s="473"/>
      <c r="AP567" s="1164"/>
      <c r="AQ567" s="473"/>
      <c r="AR567" s="473"/>
      <c r="AS567" s="1236"/>
      <c r="AT567" s="473"/>
      <c r="AU567" s="473"/>
      <c r="AV567" s="1164"/>
      <c r="AW567" s="1164"/>
      <c r="AX567" s="1236"/>
      <c r="AY567" s="473"/>
      <c r="AZ567" s="1236"/>
      <c r="BA567" s="473"/>
      <c r="BB567" s="473"/>
      <c r="BC567" s="1164"/>
      <c r="BD567" s="20"/>
      <c r="BE567" s="473"/>
      <c r="BF567" s="610"/>
      <c r="BG567" s="610"/>
      <c r="BH567" s="610"/>
      <c r="BI567" s="610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</row>
    <row r="568" spans="1:148" s="22" customFormat="1" x14ac:dyDescent="0.25">
      <c r="A568" s="20"/>
      <c r="B568" s="16"/>
      <c r="C568" s="473"/>
      <c r="D568" s="473"/>
      <c r="E568" s="1164"/>
      <c r="F568" s="473"/>
      <c r="G568" s="473"/>
      <c r="H568" s="1164"/>
      <c r="I568" s="473"/>
      <c r="J568" s="473"/>
      <c r="K568" s="1164"/>
      <c r="L568" s="473"/>
      <c r="M568" s="473"/>
      <c r="N568" s="1164"/>
      <c r="O568" s="473"/>
      <c r="P568" s="473"/>
      <c r="Q568" s="1164"/>
      <c r="R568" s="473"/>
      <c r="S568" s="473"/>
      <c r="T568" s="1164"/>
      <c r="U568" s="1164"/>
      <c r="V568" s="473"/>
      <c r="W568" s="473"/>
      <c r="X568" s="1164"/>
      <c r="Y568" s="473"/>
      <c r="Z568" s="473"/>
      <c r="AA568" s="1164"/>
      <c r="AB568" s="473"/>
      <c r="AC568" s="1164"/>
      <c r="AD568" s="473"/>
      <c r="AE568" s="1164"/>
      <c r="AF568" s="473"/>
      <c r="AG568" s="1164"/>
      <c r="AH568" s="473"/>
      <c r="AI568" s="473"/>
      <c r="AJ568" s="1164"/>
      <c r="AK568" s="473"/>
      <c r="AL568" s="473"/>
      <c r="AM568" s="1164"/>
      <c r="AN568" s="473"/>
      <c r="AO568" s="473"/>
      <c r="AP568" s="1164"/>
      <c r="AQ568" s="473"/>
      <c r="AR568" s="473"/>
      <c r="AS568" s="1236"/>
      <c r="AT568" s="473"/>
      <c r="AU568" s="473"/>
      <c r="AV568" s="1164"/>
      <c r="AW568" s="1164"/>
      <c r="AX568" s="1236"/>
      <c r="AY568" s="473"/>
      <c r="AZ568" s="1236"/>
      <c r="BA568" s="473"/>
      <c r="BB568" s="473"/>
      <c r="BC568" s="1164"/>
      <c r="BD568" s="20"/>
      <c r="BE568" s="473"/>
      <c r="BF568" s="610"/>
      <c r="BG568" s="610"/>
      <c r="BH568" s="610"/>
      <c r="BI568" s="610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</row>
    <row r="569" spans="1:148" s="22" customFormat="1" x14ac:dyDescent="0.25">
      <c r="A569" s="20"/>
      <c r="B569" s="16"/>
      <c r="C569" s="473"/>
      <c r="D569" s="473"/>
      <c r="E569" s="1164"/>
      <c r="F569" s="473"/>
      <c r="G569" s="473"/>
      <c r="H569" s="1164"/>
      <c r="I569" s="473"/>
      <c r="J569" s="473"/>
      <c r="K569" s="1164"/>
      <c r="L569" s="473"/>
      <c r="M569" s="473"/>
      <c r="N569" s="1164"/>
      <c r="O569" s="473"/>
      <c r="P569" s="473"/>
      <c r="Q569" s="1164"/>
      <c r="R569" s="473"/>
      <c r="S569" s="473"/>
      <c r="T569" s="1164"/>
      <c r="U569" s="1164"/>
      <c r="V569" s="473"/>
      <c r="W569" s="473"/>
      <c r="X569" s="1164"/>
      <c r="Y569" s="473"/>
      <c r="Z569" s="473"/>
      <c r="AA569" s="1164"/>
      <c r="AB569" s="473"/>
      <c r="AC569" s="1164"/>
      <c r="AD569" s="473"/>
      <c r="AE569" s="1164"/>
      <c r="AF569" s="473"/>
      <c r="AG569" s="1164"/>
      <c r="AH569" s="473"/>
      <c r="AI569" s="473"/>
      <c r="AJ569" s="1164"/>
      <c r="AK569" s="473"/>
      <c r="AL569" s="473"/>
      <c r="AM569" s="1164"/>
      <c r="AN569" s="473"/>
      <c r="AO569" s="473"/>
      <c r="AP569" s="1164"/>
      <c r="AQ569" s="473"/>
      <c r="AR569" s="473"/>
      <c r="AS569" s="1236"/>
      <c r="AT569" s="473"/>
      <c r="AU569" s="473"/>
      <c r="AV569" s="1164"/>
      <c r="AW569" s="1164"/>
      <c r="AX569" s="1236"/>
      <c r="AY569" s="473"/>
      <c r="AZ569" s="1236"/>
      <c r="BA569" s="473"/>
      <c r="BB569" s="473"/>
      <c r="BC569" s="1164"/>
      <c r="BD569" s="20"/>
      <c r="BE569" s="473"/>
      <c r="BF569" s="610"/>
      <c r="BG569" s="610"/>
      <c r="BH569" s="610"/>
      <c r="BI569" s="610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</row>
    <row r="570" spans="1:148" s="22" customFormat="1" x14ac:dyDescent="0.25">
      <c r="A570" s="20"/>
      <c r="B570" s="16"/>
      <c r="C570" s="473"/>
      <c r="D570" s="473"/>
      <c r="E570" s="1164"/>
      <c r="F570" s="473"/>
      <c r="G570" s="473"/>
      <c r="H570" s="1164"/>
      <c r="I570" s="473"/>
      <c r="J570" s="473"/>
      <c r="K570" s="1164"/>
      <c r="L570" s="473"/>
      <c r="M570" s="473"/>
      <c r="N570" s="1164"/>
      <c r="O570" s="473"/>
      <c r="P570" s="473"/>
      <c r="Q570" s="1164"/>
      <c r="R570" s="473"/>
      <c r="S570" s="473"/>
      <c r="T570" s="1164"/>
      <c r="U570" s="1164"/>
      <c r="V570" s="473"/>
      <c r="W570" s="473"/>
      <c r="X570" s="1164"/>
      <c r="Y570" s="473"/>
      <c r="Z570" s="473"/>
      <c r="AA570" s="1164"/>
      <c r="AB570" s="473"/>
      <c r="AC570" s="1164"/>
      <c r="AD570" s="473"/>
      <c r="AE570" s="1164"/>
      <c r="AF570" s="473"/>
      <c r="AG570" s="1164"/>
      <c r="AH570" s="473"/>
      <c r="AI570" s="473"/>
      <c r="AJ570" s="1164"/>
      <c r="AK570" s="473"/>
      <c r="AL570" s="473"/>
      <c r="AM570" s="1164"/>
      <c r="AN570" s="473"/>
      <c r="AO570" s="473"/>
      <c r="AP570" s="1164"/>
      <c r="AQ570" s="473"/>
      <c r="AR570" s="473"/>
      <c r="AS570" s="1236"/>
      <c r="AT570" s="473"/>
      <c r="AU570" s="473"/>
      <c r="AV570" s="1164"/>
      <c r="AW570" s="1164"/>
      <c r="AX570" s="1236"/>
      <c r="AY570" s="473"/>
      <c r="AZ570" s="1236"/>
      <c r="BA570" s="473"/>
      <c r="BB570" s="473"/>
      <c r="BC570" s="1164"/>
      <c r="BD570" s="20"/>
      <c r="BE570" s="473"/>
      <c r="BF570" s="610"/>
      <c r="BG570" s="610"/>
      <c r="BH570" s="610"/>
      <c r="BI570" s="610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</row>
    <row r="571" spans="1:148" s="22" customFormat="1" x14ac:dyDescent="0.25">
      <c r="A571" s="20"/>
      <c r="B571" s="16"/>
      <c r="C571" s="473"/>
      <c r="D571" s="473"/>
      <c r="E571" s="1164"/>
      <c r="F571" s="473"/>
      <c r="G571" s="473"/>
      <c r="H571" s="1164"/>
      <c r="I571" s="473"/>
      <c r="J571" s="473"/>
      <c r="K571" s="1164"/>
      <c r="L571" s="473"/>
      <c r="M571" s="473"/>
      <c r="N571" s="1164"/>
      <c r="O571" s="473"/>
      <c r="P571" s="473"/>
      <c r="Q571" s="1164"/>
      <c r="R571" s="473"/>
      <c r="S571" s="473"/>
      <c r="T571" s="1164"/>
      <c r="U571" s="1164"/>
      <c r="V571" s="473"/>
      <c r="W571" s="473"/>
      <c r="X571" s="1164"/>
      <c r="Y571" s="473"/>
      <c r="Z571" s="473"/>
      <c r="AA571" s="1164"/>
      <c r="AB571" s="473"/>
      <c r="AC571" s="1164"/>
      <c r="AD571" s="473"/>
      <c r="AE571" s="1164"/>
      <c r="AF571" s="473"/>
      <c r="AG571" s="1164"/>
      <c r="AH571" s="473"/>
      <c r="AI571" s="473"/>
      <c r="AJ571" s="1164"/>
      <c r="AK571" s="473"/>
      <c r="AL571" s="473"/>
      <c r="AM571" s="1164"/>
      <c r="AN571" s="473"/>
      <c r="AO571" s="473"/>
      <c r="AP571" s="1164"/>
      <c r="AQ571" s="473"/>
      <c r="AR571" s="473"/>
      <c r="AS571" s="1236"/>
      <c r="AT571" s="473"/>
      <c r="AU571" s="473"/>
      <c r="AV571" s="1164"/>
      <c r="AW571" s="1164"/>
      <c r="AX571" s="1236"/>
      <c r="AY571" s="473"/>
      <c r="AZ571" s="1236"/>
      <c r="BA571" s="473"/>
      <c r="BB571" s="473"/>
      <c r="BC571" s="1164"/>
      <c r="BD571" s="20"/>
      <c r="BE571" s="473"/>
      <c r="BF571" s="610"/>
      <c r="BG571" s="610"/>
      <c r="BH571" s="610"/>
      <c r="BI571" s="610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</row>
    <row r="572" spans="1:148" s="22" customFormat="1" x14ac:dyDescent="0.25">
      <c r="A572" s="20"/>
      <c r="B572" s="16"/>
      <c r="C572" s="473"/>
      <c r="D572" s="473"/>
      <c r="E572" s="1164"/>
      <c r="F572" s="473"/>
      <c r="G572" s="473"/>
      <c r="H572" s="1164"/>
      <c r="I572" s="473"/>
      <c r="J572" s="473"/>
      <c r="K572" s="1164"/>
      <c r="L572" s="473"/>
      <c r="M572" s="473"/>
      <c r="N572" s="1164"/>
      <c r="O572" s="473"/>
      <c r="P572" s="473"/>
      <c r="Q572" s="1164"/>
      <c r="R572" s="473"/>
      <c r="S572" s="473"/>
      <c r="T572" s="1164"/>
      <c r="U572" s="1164"/>
      <c r="V572" s="473"/>
      <c r="W572" s="473"/>
      <c r="X572" s="1164"/>
      <c r="Y572" s="473"/>
      <c r="Z572" s="473"/>
      <c r="AA572" s="1164"/>
      <c r="AB572" s="473"/>
      <c r="AC572" s="1164"/>
      <c r="AD572" s="473"/>
      <c r="AE572" s="1164"/>
      <c r="AF572" s="473"/>
      <c r="AG572" s="1164"/>
      <c r="AH572" s="473"/>
      <c r="AI572" s="473"/>
      <c r="AJ572" s="1164"/>
      <c r="AK572" s="473"/>
      <c r="AL572" s="473"/>
      <c r="AM572" s="1164"/>
      <c r="AN572" s="473"/>
      <c r="AO572" s="473"/>
      <c r="AP572" s="1164"/>
      <c r="AQ572" s="473"/>
      <c r="AR572" s="473"/>
      <c r="AS572" s="1236"/>
      <c r="AT572" s="473"/>
      <c r="AU572" s="473"/>
      <c r="AV572" s="1164"/>
      <c r="AW572" s="1164"/>
      <c r="AX572" s="1236"/>
      <c r="AY572" s="473"/>
      <c r="AZ572" s="1236"/>
      <c r="BA572" s="473"/>
      <c r="BB572" s="473"/>
      <c r="BC572" s="1164"/>
      <c r="BD572" s="20"/>
      <c r="BE572" s="473"/>
      <c r="BF572" s="610"/>
      <c r="BG572" s="610"/>
      <c r="BH572" s="610"/>
      <c r="BI572" s="610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</row>
    <row r="573" spans="1:148" s="22" customFormat="1" x14ac:dyDescent="0.25">
      <c r="A573" s="20"/>
      <c r="B573" s="16"/>
      <c r="C573" s="473"/>
      <c r="D573" s="473"/>
      <c r="E573" s="1164"/>
      <c r="F573" s="473"/>
      <c r="G573" s="473"/>
      <c r="H573" s="1164"/>
      <c r="I573" s="473"/>
      <c r="J573" s="473"/>
      <c r="K573" s="1164"/>
      <c r="L573" s="473"/>
      <c r="M573" s="473"/>
      <c r="N573" s="1164"/>
      <c r="O573" s="473"/>
      <c r="P573" s="473"/>
      <c r="Q573" s="1164"/>
      <c r="R573" s="473"/>
      <c r="S573" s="473"/>
      <c r="T573" s="1164"/>
      <c r="U573" s="1164"/>
      <c r="V573" s="473"/>
      <c r="W573" s="473"/>
      <c r="X573" s="1164"/>
      <c r="Y573" s="473"/>
      <c r="Z573" s="473"/>
      <c r="AA573" s="1164"/>
      <c r="AB573" s="473"/>
      <c r="AC573" s="1164"/>
      <c r="AD573" s="473"/>
      <c r="AE573" s="1164"/>
      <c r="AF573" s="473"/>
      <c r="AG573" s="1164"/>
      <c r="AH573" s="473"/>
      <c r="AI573" s="473"/>
      <c r="AJ573" s="1164"/>
      <c r="AK573" s="473"/>
      <c r="AL573" s="473"/>
      <c r="AM573" s="1164"/>
      <c r="AN573" s="473"/>
      <c r="AO573" s="473"/>
      <c r="AP573" s="1164"/>
      <c r="AQ573" s="473"/>
      <c r="AR573" s="473"/>
      <c r="AS573" s="1236"/>
      <c r="AT573" s="473"/>
      <c r="AU573" s="473"/>
      <c r="AV573" s="1164"/>
      <c r="AW573" s="1164"/>
      <c r="AX573" s="1236"/>
      <c r="AY573" s="473"/>
      <c r="AZ573" s="1236"/>
      <c r="BA573" s="473"/>
      <c r="BB573" s="473"/>
      <c r="BC573" s="1164"/>
      <c r="BD573" s="20"/>
      <c r="BE573" s="473"/>
      <c r="BF573" s="610"/>
      <c r="BG573" s="610"/>
      <c r="BH573" s="610"/>
      <c r="BI573" s="610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</row>
    <row r="574" spans="1:148" s="22" customFormat="1" x14ac:dyDescent="0.25">
      <c r="A574" s="20"/>
      <c r="B574" s="16"/>
      <c r="C574" s="473"/>
      <c r="D574" s="473"/>
      <c r="E574" s="1164"/>
      <c r="F574" s="473"/>
      <c r="G574" s="473"/>
      <c r="H574" s="1164"/>
      <c r="I574" s="473"/>
      <c r="J574" s="473"/>
      <c r="K574" s="1164"/>
      <c r="L574" s="473"/>
      <c r="M574" s="473"/>
      <c r="N574" s="1164"/>
      <c r="O574" s="473"/>
      <c r="P574" s="473"/>
      <c r="Q574" s="1164"/>
      <c r="R574" s="473"/>
      <c r="S574" s="473"/>
      <c r="T574" s="1164"/>
      <c r="U574" s="1164"/>
      <c r="V574" s="473"/>
      <c r="W574" s="473"/>
      <c r="X574" s="1164"/>
      <c r="Y574" s="473"/>
      <c r="Z574" s="473"/>
      <c r="AA574" s="1164"/>
      <c r="AB574" s="473"/>
      <c r="AC574" s="1164"/>
      <c r="AD574" s="473"/>
      <c r="AE574" s="1164"/>
      <c r="AF574" s="473"/>
      <c r="AG574" s="1164"/>
      <c r="AH574" s="473"/>
      <c r="AI574" s="473"/>
      <c r="AJ574" s="1164"/>
      <c r="AK574" s="473"/>
      <c r="AL574" s="473"/>
      <c r="AM574" s="1164"/>
      <c r="AN574" s="473"/>
      <c r="AO574" s="473"/>
      <c r="AP574" s="1164"/>
      <c r="AQ574" s="473"/>
      <c r="AR574" s="473"/>
      <c r="AS574" s="1236"/>
      <c r="AT574" s="473"/>
      <c r="AU574" s="473"/>
      <c r="AV574" s="1164"/>
      <c r="AW574" s="1164"/>
      <c r="AX574" s="1236"/>
      <c r="AY574" s="473"/>
      <c r="AZ574" s="1236"/>
      <c r="BA574" s="473"/>
      <c r="BB574" s="473"/>
      <c r="BC574" s="1164"/>
      <c r="BD574" s="20"/>
      <c r="BE574" s="473"/>
      <c r="BF574" s="610"/>
      <c r="BG574" s="610"/>
      <c r="BH574" s="610"/>
      <c r="BI574" s="610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</row>
    <row r="575" spans="1:148" s="22" customFormat="1" x14ac:dyDescent="0.25">
      <c r="A575" s="20"/>
      <c r="B575" s="16"/>
      <c r="C575" s="473"/>
      <c r="D575" s="473"/>
      <c r="E575" s="1164"/>
      <c r="F575" s="473"/>
      <c r="G575" s="473"/>
      <c r="H575" s="1164"/>
      <c r="I575" s="473"/>
      <c r="J575" s="473"/>
      <c r="K575" s="1164"/>
      <c r="L575" s="473"/>
      <c r="M575" s="473"/>
      <c r="N575" s="1164"/>
      <c r="O575" s="473"/>
      <c r="P575" s="473"/>
      <c r="Q575" s="1164"/>
      <c r="R575" s="473"/>
      <c r="S575" s="473"/>
      <c r="T575" s="1164"/>
      <c r="U575" s="1164"/>
      <c r="V575" s="473"/>
      <c r="W575" s="473"/>
      <c r="X575" s="1164"/>
      <c r="Y575" s="473"/>
      <c r="Z575" s="473"/>
      <c r="AA575" s="1164"/>
      <c r="AB575" s="473"/>
      <c r="AC575" s="1164"/>
      <c r="AD575" s="473"/>
      <c r="AE575" s="1164"/>
      <c r="AF575" s="473"/>
      <c r="AG575" s="1164"/>
      <c r="AH575" s="473"/>
      <c r="AI575" s="473"/>
      <c r="AJ575" s="1164"/>
      <c r="AK575" s="473"/>
      <c r="AL575" s="473"/>
      <c r="AM575" s="1164"/>
      <c r="AN575" s="473"/>
      <c r="AO575" s="473"/>
      <c r="AP575" s="1164"/>
      <c r="AQ575" s="473"/>
      <c r="AR575" s="473"/>
      <c r="AS575" s="1236"/>
      <c r="AT575" s="473"/>
      <c r="AU575" s="473"/>
      <c r="AV575" s="1164"/>
      <c r="AW575" s="1164"/>
      <c r="AX575" s="1236"/>
      <c r="AY575" s="473"/>
      <c r="AZ575" s="1236"/>
      <c r="BA575" s="473"/>
      <c r="BB575" s="473"/>
      <c r="BC575" s="1164"/>
      <c r="BD575" s="20"/>
      <c r="BE575" s="473"/>
      <c r="BF575" s="610"/>
      <c r="BG575" s="610"/>
      <c r="BH575" s="610"/>
      <c r="BI575" s="610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</row>
    <row r="576" spans="1:148" s="22" customFormat="1" x14ac:dyDescent="0.25">
      <c r="A576" s="20"/>
      <c r="B576" s="16"/>
      <c r="C576" s="473"/>
      <c r="D576" s="473"/>
      <c r="E576" s="1164"/>
      <c r="F576" s="473"/>
      <c r="G576" s="473"/>
      <c r="H576" s="1164"/>
      <c r="I576" s="473"/>
      <c r="J576" s="473"/>
      <c r="K576" s="1164"/>
      <c r="L576" s="473"/>
      <c r="M576" s="473"/>
      <c r="N576" s="1164"/>
      <c r="O576" s="473"/>
      <c r="P576" s="473"/>
      <c r="Q576" s="1164"/>
      <c r="R576" s="473"/>
      <c r="S576" s="473"/>
      <c r="T576" s="1164"/>
      <c r="U576" s="1164"/>
      <c r="V576" s="473"/>
      <c r="W576" s="473"/>
      <c r="X576" s="1164"/>
      <c r="Y576" s="473"/>
      <c r="Z576" s="473"/>
      <c r="AA576" s="1164"/>
      <c r="AB576" s="473"/>
      <c r="AC576" s="1164"/>
      <c r="AD576" s="473"/>
      <c r="AE576" s="1164"/>
      <c r="AF576" s="473"/>
      <c r="AG576" s="1164"/>
      <c r="AH576" s="473"/>
      <c r="AI576" s="473"/>
      <c r="AJ576" s="1164"/>
      <c r="AK576" s="473"/>
      <c r="AL576" s="473"/>
      <c r="AM576" s="1164"/>
      <c r="AN576" s="473"/>
      <c r="AO576" s="473"/>
      <c r="AP576" s="1164"/>
      <c r="AQ576" s="473"/>
      <c r="AR576" s="473"/>
      <c r="AS576" s="1236"/>
      <c r="AT576" s="473"/>
      <c r="AU576" s="473"/>
      <c r="AV576" s="1164"/>
      <c r="AW576" s="1164"/>
      <c r="AX576" s="1236"/>
      <c r="AY576" s="473"/>
      <c r="AZ576" s="1236"/>
      <c r="BA576" s="473"/>
      <c r="BB576" s="473"/>
      <c r="BC576" s="1164"/>
      <c r="BD576" s="20"/>
      <c r="BE576" s="473"/>
      <c r="BF576" s="610"/>
      <c r="BG576" s="610"/>
      <c r="BH576" s="610"/>
      <c r="BI576" s="610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</row>
    <row r="577" spans="1:148" s="22" customFormat="1" x14ac:dyDescent="0.25">
      <c r="A577" s="20"/>
      <c r="B577" s="16"/>
      <c r="C577" s="473"/>
      <c r="D577" s="473"/>
      <c r="E577" s="1164"/>
      <c r="F577" s="473"/>
      <c r="G577" s="473"/>
      <c r="H577" s="1164"/>
      <c r="I577" s="473"/>
      <c r="J577" s="473"/>
      <c r="K577" s="1164"/>
      <c r="L577" s="473"/>
      <c r="M577" s="473"/>
      <c r="N577" s="1164"/>
      <c r="O577" s="473"/>
      <c r="P577" s="473"/>
      <c r="Q577" s="1164"/>
      <c r="R577" s="473"/>
      <c r="S577" s="473"/>
      <c r="T577" s="1164"/>
      <c r="U577" s="1164"/>
      <c r="V577" s="473"/>
      <c r="W577" s="473"/>
      <c r="X577" s="1164"/>
      <c r="Y577" s="473"/>
      <c r="Z577" s="473"/>
      <c r="AA577" s="1164"/>
      <c r="AB577" s="473"/>
      <c r="AC577" s="1164"/>
      <c r="AD577" s="473"/>
      <c r="AE577" s="1164"/>
      <c r="AF577" s="473"/>
      <c r="AG577" s="1164"/>
      <c r="AH577" s="473"/>
      <c r="AI577" s="473"/>
      <c r="AJ577" s="1164"/>
      <c r="AK577" s="473"/>
      <c r="AL577" s="473"/>
      <c r="AM577" s="1164"/>
      <c r="AN577" s="473"/>
      <c r="AO577" s="473"/>
      <c r="AP577" s="1164"/>
      <c r="AQ577" s="473"/>
      <c r="AR577" s="473"/>
      <c r="AS577" s="1236"/>
      <c r="AT577" s="473"/>
      <c r="AU577" s="473"/>
      <c r="AV577" s="1164"/>
      <c r="AW577" s="1164"/>
      <c r="AX577" s="1236"/>
      <c r="AY577" s="473"/>
      <c r="AZ577" s="1236"/>
      <c r="BA577" s="473"/>
      <c r="BB577" s="473"/>
      <c r="BC577" s="1164"/>
      <c r="BD577" s="20"/>
      <c r="BE577" s="473"/>
      <c r="BF577" s="610"/>
      <c r="BG577" s="610"/>
      <c r="BH577" s="610"/>
      <c r="BI577" s="610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</row>
    <row r="578" spans="1:148" s="22" customFormat="1" x14ac:dyDescent="0.25">
      <c r="A578" s="20"/>
      <c r="B578" s="16"/>
      <c r="C578" s="473"/>
      <c r="D578" s="473"/>
      <c r="E578" s="1164"/>
      <c r="F578" s="473"/>
      <c r="G578" s="473"/>
      <c r="H578" s="1164"/>
      <c r="I578" s="473"/>
      <c r="J578" s="473"/>
      <c r="K578" s="1164"/>
      <c r="L578" s="473"/>
      <c r="M578" s="473"/>
      <c r="N578" s="1164"/>
      <c r="O578" s="473"/>
      <c r="P578" s="473"/>
      <c r="Q578" s="1164"/>
      <c r="R578" s="473"/>
      <c r="S578" s="473"/>
      <c r="T578" s="1164"/>
      <c r="U578" s="1164"/>
      <c r="V578" s="473"/>
      <c r="W578" s="473"/>
      <c r="X578" s="1164"/>
      <c r="Y578" s="473"/>
      <c r="Z578" s="473"/>
      <c r="AA578" s="1164"/>
      <c r="AB578" s="473"/>
      <c r="AC578" s="1164"/>
      <c r="AD578" s="473"/>
      <c r="AE578" s="1164"/>
      <c r="AF578" s="473"/>
      <c r="AG578" s="1164"/>
      <c r="AH578" s="473"/>
      <c r="AI578" s="473"/>
      <c r="AJ578" s="1164"/>
      <c r="AK578" s="473"/>
      <c r="AL578" s="473"/>
      <c r="AM578" s="1164"/>
      <c r="AN578" s="473"/>
      <c r="AO578" s="473"/>
      <c r="AP578" s="1164"/>
      <c r="AQ578" s="473"/>
      <c r="AR578" s="473"/>
      <c r="AS578" s="1236"/>
      <c r="AT578" s="473"/>
      <c r="AU578" s="473"/>
      <c r="AV578" s="1164"/>
      <c r="AW578" s="1164"/>
      <c r="AX578" s="1236"/>
      <c r="AY578" s="473"/>
      <c r="AZ578" s="1236"/>
      <c r="BA578" s="473"/>
      <c r="BB578" s="473"/>
      <c r="BC578" s="1164"/>
      <c r="BD578" s="20"/>
      <c r="BE578" s="473"/>
      <c r="BF578" s="610"/>
      <c r="BG578" s="610"/>
      <c r="BH578" s="610"/>
      <c r="BI578" s="610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</row>
    <row r="579" spans="1:148" s="22" customFormat="1" x14ac:dyDescent="0.25">
      <c r="A579" s="20"/>
      <c r="B579" s="16"/>
      <c r="C579" s="473"/>
      <c r="D579" s="473"/>
      <c r="E579" s="1164"/>
      <c r="F579" s="473"/>
      <c r="G579" s="473"/>
      <c r="H579" s="1164"/>
      <c r="I579" s="473"/>
      <c r="J579" s="473"/>
      <c r="K579" s="1164"/>
      <c r="L579" s="473"/>
      <c r="M579" s="473"/>
      <c r="N579" s="1164"/>
      <c r="O579" s="473"/>
      <c r="P579" s="473"/>
      <c r="Q579" s="1164"/>
      <c r="R579" s="473"/>
      <c r="S579" s="473"/>
      <c r="T579" s="1164"/>
      <c r="U579" s="1164"/>
      <c r="V579" s="473"/>
      <c r="W579" s="473"/>
      <c r="X579" s="1164"/>
      <c r="Y579" s="473"/>
      <c r="Z579" s="473"/>
      <c r="AA579" s="1164"/>
      <c r="AB579" s="473"/>
      <c r="AC579" s="1164"/>
      <c r="AD579" s="473"/>
      <c r="AE579" s="1164"/>
      <c r="AF579" s="473"/>
      <c r="AG579" s="1164"/>
      <c r="AH579" s="473"/>
      <c r="AI579" s="473"/>
      <c r="AJ579" s="1164"/>
      <c r="AK579" s="473"/>
      <c r="AL579" s="473"/>
      <c r="AM579" s="1164"/>
      <c r="AN579" s="473"/>
      <c r="AO579" s="473"/>
      <c r="AP579" s="1164"/>
      <c r="AQ579" s="473"/>
      <c r="AR579" s="473"/>
      <c r="AS579" s="1236"/>
      <c r="AT579" s="473"/>
      <c r="AU579" s="473"/>
      <c r="AV579" s="1164"/>
      <c r="AW579" s="1164"/>
      <c r="AX579" s="1236"/>
      <c r="AY579" s="473"/>
      <c r="AZ579" s="1236"/>
      <c r="BA579" s="473"/>
      <c r="BB579" s="473"/>
      <c r="BC579" s="1164"/>
      <c r="BD579" s="20"/>
      <c r="BE579" s="473"/>
      <c r="BF579" s="610"/>
      <c r="BG579" s="610"/>
      <c r="BH579" s="610"/>
      <c r="BI579" s="610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</row>
    <row r="580" spans="1:148" s="22" customFormat="1" x14ac:dyDescent="0.25">
      <c r="A580" s="20"/>
      <c r="B580" s="16"/>
      <c r="C580" s="473"/>
      <c r="D580" s="473"/>
      <c r="E580" s="1164"/>
      <c r="F580" s="473"/>
      <c r="G580" s="473"/>
      <c r="H580" s="1164"/>
      <c r="I580" s="473"/>
      <c r="J580" s="473"/>
      <c r="K580" s="1164"/>
      <c r="L580" s="473"/>
      <c r="M580" s="473"/>
      <c r="N580" s="1164"/>
      <c r="O580" s="473"/>
      <c r="P580" s="473"/>
      <c r="Q580" s="1164"/>
      <c r="R580" s="473"/>
      <c r="S580" s="473"/>
      <c r="T580" s="1164"/>
      <c r="U580" s="1164"/>
      <c r="V580" s="473"/>
      <c r="W580" s="473"/>
      <c r="X580" s="1164"/>
      <c r="Y580" s="473"/>
      <c r="Z580" s="473"/>
      <c r="AA580" s="1164"/>
      <c r="AB580" s="473"/>
      <c r="AC580" s="1164"/>
      <c r="AD580" s="473"/>
      <c r="AE580" s="1164"/>
      <c r="AF580" s="473"/>
      <c r="AG580" s="1164"/>
      <c r="AH580" s="473"/>
      <c r="AI580" s="473"/>
      <c r="AJ580" s="1164"/>
      <c r="AK580" s="473"/>
      <c r="AL580" s="473"/>
      <c r="AM580" s="1164"/>
      <c r="AN580" s="473"/>
      <c r="AO580" s="473"/>
      <c r="AP580" s="1164"/>
      <c r="AQ580" s="473"/>
      <c r="AR580" s="473"/>
      <c r="AS580" s="1236"/>
      <c r="AT580" s="473"/>
      <c r="AU580" s="473"/>
      <c r="AV580" s="1164"/>
      <c r="AW580" s="1164"/>
      <c r="AX580" s="1236"/>
      <c r="AY580" s="473"/>
      <c r="AZ580" s="1236"/>
      <c r="BA580" s="473"/>
      <c r="BB580" s="473"/>
      <c r="BC580" s="1164"/>
      <c r="BD580" s="20"/>
      <c r="BE580" s="473"/>
      <c r="BF580" s="610"/>
      <c r="BG580" s="610"/>
      <c r="BH580" s="610"/>
      <c r="BI580" s="610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</row>
    <row r="581" spans="1:148" s="22" customFormat="1" x14ac:dyDescent="0.25">
      <c r="A581" s="20"/>
      <c r="B581" s="16"/>
      <c r="C581" s="473"/>
      <c r="D581" s="473"/>
      <c r="E581" s="1164"/>
      <c r="F581" s="473"/>
      <c r="G581" s="473"/>
      <c r="H581" s="1164"/>
      <c r="I581" s="473"/>
      <c r="J581" s="473"/>
      <c r="K581" s="1164"/>
      <c r="L581" s="473"/>
      <c r="M581" s="473"/>
      <c r="N581" s="1164"/>
      <c r="O581" s="473"/>
      <c r="P581" s="473"/>
      <c r="Q581" s="1164"/>
      <c r="R581" s="473"/>
      <c r="S581" s="473"/>
      <c r="T581" s="1164"/>
      <c r="U581" s="1164"/>
      <c r="V581" s="473"/>
      <c r="W581" s="473"/>
      <c r="X581" s="1164"/>
      <c r="Y581" s="473"/>
      <c r="Z581" s="473"/>
      <c r="AA581" s="1164"/>
      <c r="AB581" s="473"/>
      <c r="AC581" s="1164"/>
      <c r="AD581" s="473"/>
      <c r="AE581" s="1164"/>
      <c r="AF581" s="473"/>
      <c r="AG581" s="1164"/>
      <c r="AH581" s="473"/>
      <c r="AI581" s="473"/>
      <c r="AJ581" s="1164"/>
      <c r="AK581" s="473"/>
      <c r="AL581" s="473"/>
      <c r="AM581" s="1164"/>
      <c r="AN581" s="473"/>
      <c r="AO581" s="473"/>
      <c r="AP581" s="1164"/>
      <c r="AQ581" s="473"/>
      <c r="AR581" s="473"/>
      <c r="AS581" s="1236"/>
      <c r="AT581" s="473"/>
      <c r="AU581" s="473"/>
      <c r="AV581" s="1164"/>
      <c r="AW581" s="1164"/>
      <c r="AX581" s="1236"/>
      <c r="AY581" s="473"/>
      <c r="AZ581" s="1236"/>
      <c r="BA581" s="473"/>
      <c r="BB581" s="473"/>
      <c r="BC581" s="1164"/>
      <c r="BD581" s="20"/>
      <c r="BE581" s="473"/>
      <c r="BF581" s="610"/>
      <c r="BG581" s="610"/>
      <c r="BH581" s="610"/>
      <c r="BI581" s="610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</row>
    <row r="582" spans="1:148" s="22" customFormat="1" x14ac:dyDescent="0.25">
      <c r="A582" s="20"/>
      <c r="B582" s="16"/>
      <c r="C582" s="473"/>
      <c r="D582" s="473"/>
      <c r="E582" s="1164"/>
      <c r="F582" s="473"/>
      <c r="G582" s="473"/>
      <c r="H582" s="1164"/>
      <c r="I582" s="473"/>
      <c r="J582" s="473"/>
      <c r="K582" s="1164"/>
      <c r="L582" s="473"/>
      <c r="M582" s="473"/>
      <c r="N582" s="1164"/>
      <c r="O582" s="473"/>
      <c r="P582" s="473"/>
      <c r="Q582" s="1164"/>
      <c r="R582" s="473"/>
      <c r="S582" s="473"/>
      <c r="T582" s="1164"/>
      <c r="U582" s="1164"/>
      <c r="V582" s="473"/>
      <c r="W582" s="473"/>
      <c r="X582" s="1164"/>
      <c r="Y582" s="473"/>
      <c r="Z582" s="473"/>
      <c r="AA582" s="1164"/>
      <c r="AB582" s="473"/>
      <c r="AC582" s="1164"/>
      <c r="AD582" s="473"/>
      <c r="AE582" s="1164"/>
      <c r="AF582" s="473"/>
      <c r="AG582" s="1164"/>
      <c r="AH582" s="473"/>
      <c r="AI582" s="473"/>
      <c r="AJ582" s="1164"/>
      <c r="AK582" s="473"/>
      <c r="AL582" s="473"/>
      <c r="AM582" s="1164"/>
      <c r="AN582" s="473"/>
      <c r="AO582" s="473"/>
      <c r="AP582" s="1164"/>
      <c r="AQ582" s="473"/>
      <c r="AR582" s="473"/>
      <c r="AS582" s="1236"/>
      <c r="AT582" s="473"/>
      <c r="AU582" s="473"/>
      <c r="AV582" s="1164"/>
      <c r="AW582" s="1164"/>
      <c r="AX582" s="1236"/>
      <c r="AY582" s="473"/>
      <c r="AZ582" s="1236"/>
      <c r="BA582" s="473"/>
      <c r="BB582" s="473"/>
      <c r="BC582" s="1164"/>
      <c r="BD582" s="20"/>
      <c r="BE582" s="473"/>
      <c r="BF582" s="610"/>
      <c r="BG582" s="610"/>
      <c r="BH582" s="610"/>
      <c r="BI582" s="610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</row>
    <row r="583" spans="1:148" s="22" customFormat="1" x14ac:dyDescent="0.25">
      <c r="A583" s="20"/>
      <c r="B583" s="16"/>
      <c r="C583" s="473"/>
      <c r="D583" s="473"/>
      <c r="E583" s="1164"/>
      <c r="F583" s="473"/>
      <c r="G583" s="473"/>
      <c r="H583" s="1164"/>
      <c r="I583" s="473"/>
      <c r="J583" s="473"/>
      <c r="K583" s="1164"/>
      <c r="L583" s="473"/>
      <c r="M583" s="473"/>
      <c r="N583" s="1164"/>
      <c r="O583" s="473"/>
      <c r="P583" s="473"/>
      <c r="Q583" s="1164"/>
      <c r="R583" s="473"/>
      <c r="S583" s="473"/>
      <c r="T583" s="1164"/>
      <c r="U583" s="1164"/>
      <c r="V583" s="473"/>
      <c r="W583" s="473"/>
      <c r="X583" s="1164"/>
      <c r="Y583" s="473"/>
      <c r="Z583" s="473"/>
      <c r="AA583" s="1164"/>
      <c r="AB583" s="473"/>
      <c r="AC583" s="1164"/>
      <c r="AD583" s="473"/>
      <c r="AE583" s="1164"/>
      <c r="AF583" s="473"/>
      <c r="AG583" s="1164"/>
      <c r="AH583" s="473"/>
      <c r="AI583" s="473"/>
      <c r="AJ583" s="1164"/>
      <c r="AK583" s="473"/>
      <c r="AL583" s="473"/>
      <c r="AM583" s="1164"/>
      <c r="AN583" s="473"/>
      <c r="AO583" s="473"/>
      <c r="AP583" s="1164"/>
      <c r="AQ583" s="473"/>
      <c r="AR583" s="473"/>
      <c r="AS583" s="1236"/>
      <c r="AT583" s="473"/>
      <c r="AU583" s="473"/>
      <c r="AV583" s="1164"/>
      <c r="AW583" s="1164"/>
      <c r="AX583" s="1236"/>
      <c r="AY583" s="473"/>
      <c r="AZ583" s="1236"/>
      <c r="BA583" s="473"/>
      <c r="BB583" s="473"/>
      <c r="BC583" s="1164"/>
      <c r="BD583" s="20"/>
      <c r="BE583" s="473"/>
      <c r="BF583" s="610"/>
      <c r="BG583" s="610"/>
      <c r="BH583" s="610"/>
      <c r="BI583" s="610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</row>
    <row r="584" spans="1:148" s="22" customFormat="1" x14ac:dyDescent="0.25">
      <c r="A584" s="20"/>
      <c r="B584" s="16"/>
      <c r="C584" s="473"/>
      <c r="D584" s="473"/>
      <c r="E584" s="1164"/>
      <c r="F584" s="473"/>
      <c r="G584" s="473"/>
      <c r="H584" s="1164"/>
      <c r="I584" s="473"/>
      <c r="J584" s="473"/>
      <c r="K584" s="1164"/>
      <c r="L584" s="473"/>
      <c r="M584" s="473"/>
      <c r="N584" s="1164"/>
      <c r="O584" s="473"/>
      <c r="P584" s="473"/>
      <c r="Q584" s="1164"/>
      <c r="R584" s="473"/>
      <c r="S584" s="473"/>
      <c r="T584" s="1164"/>
      <c r="U584" s="1164"/>
      <c r="V584" s="473"/>
      <c r="W584" s="473"/>
      <c r="X584" s="1164"/>
      <c r="Y584" s="473"/>
      <c r="Z584" s="473"/>
      <c r="AA584" s="1164"/>
      <c r="AB584" s="473"/>
      <c r="AC584" s="1164"/>
      <c r="AD584" s="473"/>
      <c r="AE584" s="1164"/>
      <c r="AF584" s="473"/>
      <c r="AG584" s="1164"/>
      <c r="AH584" s="473"/>
      <c r="AI584" s="473"/>
      <c r="AJ584" s="1164"/>
      <c r="AK584" s="473"/>
      <c r="AL584" s="473"/>
      <c r="AM584" s="1164"/>
      <c r="AN584" s="473"/>
      <c r="AO584" s="473"/>
      <c r="AP584" s="1164"/>
      <c r="AQ584" s="473"/>
      <c r="AR584" s="473"/>
      <c r="AS584" s="1236"/>
      <c r="AT584" s="473"/>
      <c r="AU584" s="473"/>
      <c r="AV584" s="1164"/>
      <c r="AW584" s="1164"/>
      <c r="AX584" s="1236"/>
      <c r="AY584" s="473"/>
      <c r="AZ584" s="1236"/>
      <c r="BA584" s="473"/>
      <c r="BB584" s="473"/>
      <c r="BC584" s="1164"/>
      <c r="BD584" s="20"/>
      <c r="BE584" s="473"/>
      <c r="BF584" s="610"/>
      <c r="BG584" s="610"/>
      <c r="BH584" s="610"/>
      <c r="BI584" s="610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</row>
    <row r="585" spans="1:148" s="22" customFormat="1" x14ac:dyDescent="0.25">
      <c r="A585" s="20"/>
      <c r="B585" s="16"/>
      <c r="C585" s="473"/>
      <c r="D585" s="473"/>
      <c r="E585" s="1164"/>
      <c r="F585" s="473"/>
      <c r="G585" s="473"/>
      <c r="H585" s="1164"/>
      <c r="I585" s="473"/>
      <c r="J585" s="473"/>
      <c r="K585" s="1164"/>
      <c r="L585" s="473"/>
      <c r="M585" s="473"/>
      <c r="N585" s="1164"/>
      <c r="O585" s="473"/>
      <c r="P585" s="473"/>
      <c r="Q585" s="1164"/>
      <c r="R585" s="473"/>
      <c r="S585" s="473"/>
      <c r="T585" s="1164"/>
      <c r="U585" s="1164"/>
      <c r="V585" s="473"/>
      <c r="W585" s="473"/>
      <c r="X585" s="1164"/>
      <c r="Y585" s="473"/>
      <c r="Z585" s="473"/>
      <c r="AA585" s="1164"/>
      <c r="AB585" s="473"/>
      <c r="AC585" s="1164"/>
      <c r="AD585" s="473"/>
      <c r="AE585" s="1164"/>
      <c r="AF585" s="473"/>
      <c r="AG585" s="1164"/>
      <c r="AH585" s="473"/>
      <c r="AI585" s="473"/>
      <c r="AJ585" s="1164"/>
      <c r="AK585" s="473"/>
      <c r="AL585" s="473"/>
      <c r="AM585" s="1164"/>
      <c r="AN585" s="473"/>
      <c r="AO585" s="473"/>
      <c r="AP585" s="1164"/>
      <c r="AQ585" s="473"/>
      <c r="AR585" s="473"/>
      <c r="AS585" s="1236"/>
      <c r="AT585" s="473"/>
      <c r="AU585" s="473"/>
      <c r="AV585" s="1164"/>
      <c r="AW585" s="1164"/>
      <c r="AX585" s="1236"/>
      <c r="AY585" s="473"/>
      <c r="AZ585" s="1236"/>
      <c r="BA585" s="473"/>
      <c r="BB585" s="473"/>
      <c r="BC585" s="1164"/>
      <c r="BD585" s="20"/>
      <c r="BE585" s="473"/>
      <c r="BF585" s="610"/>
      <c r="BG585" s="610"/>
      <c r="BH585" s="610"/>
      <c r="BI585" s="610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</row>
    <row r="586" spans="1:148" s="22" customFormat="1" x14ac:dyDescent="0.25">
      <c r="A586" s="20"/>
      <c r="B586" s="16"/>
      <c r="C586" s="473"/>
      <c r="D586" s="473"/>
      <c r="E586" s="1164"/>
      <c r="F586" s="473"/>
      <c r="G586" s="473"/>
      <c r="H586" s="1164"/>
      <c r="I586" s="473"/>
      <c r="J586" s="473"/>
      <c r="K586" s="1164"/>
      <c r="L586" s="473"/>
      <c r="M586" s="473"/>
      <c r="N586" s="1164"/>
      <c r="O586" s="473"/>
      <c r="P586" s="473"/>
      <c r="Q586" s="1164"/>
      <c r="R586" s="473"/>
      <c r="S586" s="473"/>
      <c r="T586" s="1164"/>
      <c r="U586" s="1164"/>
      <c r="V586" s="473"/>
      <c r="W586" s="473"/>
      <c r="X586" s="1164"/>
      <c r="Y586" s="473"/>
      <c r="Z586" s="473"/>
      <c r="AA586" s="1164"/>
      <c r="AB586" s="473"/>
      <c r="AC586" s="1164"/>
      <c r="AD586" s="473"/>
      <c r="AE586" s="1164"/>
      <c r="AF586" s="473"/>
      <c r="AG586" s="1164"/>
      <c r="AH586" s="473"/>
      <c r="AI586" s="473"/>
      <c r="AJ586" s="1164"/>
      <c r="AK586" s="473"/>
      <c r="AL586" s="473"/>
      <c r="AM586" s="1164"/>
      <c r="AN586" s="473"/>
      <c r="AO586" s="473"/>
      <c r="AP586" s="1164"/>
      <c r="AQ586" s="473"/>
      <c r="AR586" s="473"/>
      <c r="AS586" s="1236"/>
      <c r="AT586" s="473"/>
      <c r="AU586" s="473"/>
      <c r="AV586" s="1164"/>
      <c r="AW586" s="1164"/>
      <c r="AX586" s="1236"/>
      <c r="AY586" s="473"/>
      <c r="AZ586" s="1236"/>
      <c r="BA586" s="473"/>
      <c r="BB586" s="473"/>
      <c r="BC586" s="1164"/>
      <c r="BD586" s="20"/>
      <c r="BE586" s="473"/>
      <c r="BF586" s="610"/>
      <c r="BG586" s="610"/>
      <c r="BH586" s="610"/>
      <c r="BI586" s="610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</row>
    <row r="587" spans="1:148" s="22" customFormat="1" x14ac:dyDescent="0.25">
      <c r="A587" s="20"/>
      <c r="B587" s="16"/>
      <c r="C587" s="473"/>
      <c r="D587" s="473"/>
      <c r="E587" s="1164"/>
      <c r="F587" s="473"/>
      <c r="G587" s="473"/>
      <c r="H587" s="1164"/>
      <c r="I587" s="473"/>
      <c r="J587" s="473"/>
      <c r="K587" s="1164"/>
      <c r="L587" s="473"/>
      <c r="M587" s="473"/>
      <c r="N587" s="1164"/>
      <c r="O587" s="473"/>
      <c r="P587" s="473"/>
      <c r="Q587" s="1164"/>
      <c r="R587" s="473"/>
      <c r="S587" s="473"/>
      <c r="T587" s="1164"/>
      <c r="U587" s="1164"/>
      <c r="V587" s="473"/>
      <c r="W587" s="473"/>
      <c r="X587" s="1164"/>
      <c r="Y587" s="473"/>
      <c r="Z587" s="473"/>
      <c r="AA587" s="1164"/>
      <c r="AB587" s="473"/>
      <c r="AC587" s="1164"/>
      <c r="AD587" s="473"/>
      <c r="AE587" s="1164"/>
      <c r="AF587" s="473"/>
      <c r="AG587" s="1164"/>
      <c r="AH587" s="473"/>
      <c r="AI587" s="473"/>
      <c r="AJ587" s="1164"/>
      <c r="AK587" s="473"/>
      <c r="AL587" s="473"/>
      <c r="AM587" s="1164"/>
      <c r="AN587" s="473"/>
      <c r="AO587" s="473"/>
      <c r="AP587" s="1164"/>
      <c r="AQ587" s="473"/>
      <c r="AR587" s="473"/>
      <c r="AS587" s="1236"/>
      <c r="AT587" s="473"/>
      <c r="AU587" s="473"/>
      <c r="AV587" s="1164"/>
      <c r="AW587" s="1164"/>
      <c r="AX587" s="1236"/>
      <c r="AY587" s="473"/>
      <c r="AZ587" s="1236"/>
      <c r="BA587" s="473"/>
      <c r="BB587" s="473"/>
      <c r="BC587" s="1164"/>
      <c r="BD587" s="20"/>
      <c r="BE587" s="473"/>
      <c r="BF587" s="610"/>
      <c r="BG587" s="610"/>
      <c r="BH587" s="610"/>
      <c r="BI587" s="610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</row>
    <row r="588" spans="1:148" s="22" customFormat="1" x14ac:dyDescent="0.25">
      <c r="A588" s="20"/>
      <c r="B588" s="16"/>
      <c r="C588" s="473"/>
      <c r="D588" s="473"/>
      <c r="E588" s="1164"/>
      <c r="F588" s="473"/>
      <c r="G588" s="473"/>
      <c r="H588" s="1164"/>
      <c r="I588" s="473"/>
      <c r="J588" s="473"/>
      <c r="K588" s="1164"/>
      <c r="L588" s="473"/>
      <c r="M588" s="473"/>
      <c r="N588" s="1164"/>
      <c r="O588" s="473"/>
      <c r="P588" s="473"/>
      <c r="Q588" s="1164"/>
      <c r="R588" s="473"/>
      <c r="S588" s="473"/>
      <c r="T588" s="1164"/>
      <c r="U588" s="1164"/>
      <c r="V588" s="473"/>
      <c r="W588" s="473"/>
      <c r="X588" s="1164"/>
      <c r="Y588" s="473"/>
      <c r="Z588" s="473"/>
      <c r="AA588" s="1164"/>
      <c r="AB588" s="473"/>
      <c r="AC588" s="1164"/>
      <c r="AD588" s="473"/>
      <c r="AE588" s="1164"/>
      <c r="AF588" s="473"/>
      <c r="AG588" s="1164"/>
      <c r="AH588" s="473"/>
      <c r="AI588" s="473"/>
      <c r="AJ588" s="1164"/>
      <c r="AK588" s="473"/>
      <c r="AL588" s="473"/>
      <c r="AM588" s="1164"/>
      <c r="AN588" s="473"/>
      <c r="AO588" s="473"/>
      <c r="AP588" s="1164"/>
      <c r="AQ588" s="473"/>
      <c r="AR588" s="473"/>
      <c r="AS588" s="1236"/>
      <c r="AT588" s="473"/>
      <c r="AU588" s="473"/>
      <c r="AV588" s="1164"/>
      <c r="AW588" s="1164"/>
      <c r="AX588" s="1236"/>
      <c r="AY588" s="473"/>
      <c r="AZ588" s="1236"/>
      <c r="BA588" s="473"/>
      <c r="BB588" s="473"/>
      <c r="BC588" s="1164"/>
      <c r="BD588" s="20"/>
      <c r="BE588" s="473"/>
      <c r="BF588" s="610"/>
      <c r="BG588" s="610"/>
      <c r="BH588" s="610"/>
      <c r="BI588" s="610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</row>
    <row r="589" spans="1:148" s="22" customFormat="1" x14ac:dyDescent="0.25">
      <c r="A589" s="20"/>
      <c r="B589" s="16"/>
      <c r="C589" s="473"/>
      <c r="D589" s="473"/>
      <c r="E589" s="1164"/>
      <c r="F589" s="473"/>
      <c r="G589" s="473"/>
      <c r="H589" s="1164"/>
      <c r="I589" s="473"/>
      <c r="J589" s="473"/>
      <c r="K589" s="1164"/>
      <c r="L589" s="473"/>
      <c r="M589" s="473"/>
      <c r="N589" s="1164"/>
      <c r="O589" s="473"/>
      <c r="P589" s="473"/>
      <c r="Q589" s="1164"/>
      <c r="R589" s="473"/>
      <c r="S589" s="473"/>
      <c r="T589" s="1164"/>
      <c r="U589" s="1164"/>
      <c r="V589" s="473"/>
      <c r="W589" s="473"/>
      <c r="X589" s="1164"/>
      <c r="Y589" s="473"/>
      <c r="Z589" s="473"/>
      <c r="AA589" s="1164"/>
      <c r="AB589" s="473"/>
      <c r="AC589" s="1164"/>
      <c r="AD589" s="473"/>
      <c r="AE589" s="1164"/>
      <c r="AF589" s="473"/>
      <c r="AG589" s="1164"/>
      <c r="AH589" s="473"/>
      <c r="AI589" s="473"/>
      <c r="AJ589" s="1164"/>
      <c r="AK589" s="473"/>
      <c r="AL589" s="473"/>
      <c r="AM589" s="1164"/>
      <c r="AN589" s="473"/>
      <c r="AO589" s="473"/>
      <c r="AP589" s="1164"/>
      <c r="AQ589" s="473"/>
      <c r="AR589" s="473"/>
      <c r="AS589" s="1236"/>
      <c r="AT589" s="473"/>
      <c r="AU589" s="473"/>
      <c r="AV589" s="1164"/>
      <c r="AW589" s="1164"/>
      <c r="AX589" s="1236"/>
      <c r="AY589" s="473"/>
      <c r="AZ589" s="1236"/>
      <c r="BA589" s="473"/>
      <c r="BB589" s="473"/>
      <c r="BC589" s="1164"/>
      <c r="BD589" s="20"/>
      <c r="BE589" s="473"/>
      <c r="BF589" s="610"/>
      <c r="BG589" s="610"/>
      <c r="BH589" s="610"/>
      <c r="BI589" s="610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</row>
    <row r="590" spans="1:148" s="22" customFormat="1" x14ac:dyDescent="0.25">
      <c r="A590" s="20"/>
      <c r="B590" s="16"/>
      <c r="C590" s="473"/>
      <c r="D590" s="473"/>
      <c r="E590" s="1164"/>
      <c r="F590" s="473"/>
      <c r="G590" s="473"/>
      <c r="H590" s="1164"/>
      <c r="I590" s="473"/>
      <c r="J590" s="473"/>
      <c r="K590" s="1164"/>
      <c r="L590" s="473"/>
      <c r="M590" s="473"/>
      <c r="N590" s="1164"/>
      <c r="O590" s="473"/>
      <c r="P590" s="473"/>
      <c r="Q590" s="1164"/>
      <c r="R590" s="473"/>
      <c r="S590" s="473"/>
      <c r="T590" s="1164"/>
      <c r="U590" s="1164"/>
      <c r="V590" s="473"/>
      <c r="W590" s="473"/>
      <c r="X590" s="1164"/>
      <c r="Y590" s="473"/>
      <c r="Z590" s="473"/>
      <c r="AA590" s="1164"/>
      <c r="AB590" s="473"/>
      <c r="AC590" s="1164"/>
      <c r="AD590" s="473"/>
      <c r="AE590" s="1164"/>
      <c r="AF590" s="473"/>
      <c r="AG590" s="1164"/>
      <c r="AH590" s="473"/>
      <c r="AI590" s="473"/>
      <c r="AJ590" s="1164"/>
      <c r="AK590" s="473"/>
      <c r="AL590" s="473"/>
      <c r="AM590" s="1164"/>
      <c r="AN590" s="473"/>
      <c r="AO590" s="473"/>
      <c r="AP590" s="1164"/>
      <c r="AQ590" s="473"/>
      <c r="AR590" s="473"/>
      <c r="AS590" s="1236"/>
      <c r="AT590" s="473"/>
      <c r="AU590" s="473"/>
      <c r="AV590" s="1164"/>
      <c r="AW590" s="1164"/>
      <c r="AX590" s="1236"/>
      <c r="AY590" s="473"/>
      <c r="AZ590" s="1236"/>
      <c r="BA590" s="473"/>
      <c r="BB590" s="473"/>
      <c r="BC590" s="1164"/>
      <c r="BD590" s="20"/>
      <c r="BE590" s="473"/>
      <c r="BF590" s="610"/>
      <c r="BG590" s="610"/>
      <c r="BH590" s="610"/>
      <c r="BI590" s="610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</row>
    <row r="591" spans="1:148" s="22" customFormat="1" x14ac:dyDescent="0.25">
      <c r="A591" s="20"/>
      <c r="B591" s="16"/>
      <c r="C591" s="473"/>
      <c r="D591" s="473"/>
      <c r="E591" s="1164"/>
      <c r="F591" s="473"/>
      <c r="G591" s="473"/>
      <c r="H591" s="1164"/>
      <c r="I591" s="473"/>
      <c r="J591" s="473"/>
      <c r="K591" s="1164"/>
      <c r="L591" s="473"/>
      <c r="M591" s="473"/>
      <c r="N591" s="1164"/>
      <c r="O591" s="473"/>
      <c r="P591" s="473"/>
      <c r="Q591" s="1164"/>
      <c r="R591" s="473"/>
      <c r="S591" s="473"/>
      <c r="T591" s="1164"/>
      <c r="U591" s="1164"/>
      <c r="V591" s="473"/>
      <c r="W591" s="473"/>
      <c r="X591" s="1164"/>
      <c r="Y591" s="473"/>
      <c r="Z591" s="473"/>
      <c r="AA591" s="1164"/>
      <c r="AB591" s="473"/>
      <c r="AC591" s="1164"/>
      <c r="AD591" s="473"/>
      <c r="AE591" s="1164"/>
      <c r="AF591" s="473"/>
      <c r="AG591" s="1164"/>
      <c r="AH591" s="473"/>
      <c r="AI591" s="473"/>
      <c r="AJ591" s="1164"/>
      <c r="AK591" s="473"/>
      <c r="AL591" s="473"/>
      <c r="AM591" s="1164"/>
      <c r="AN591" s="473"/>
      <c r="AO591" s="473"/>
      <c r="AP591" s="1164"/>
      <c r="AQ591" s="473"/>
      <c r="AR591" s="473"/>
      <c r="AS591" s="1236"/>
      <c r="AT591" s="473"/>
      <c r="AU591" s="473"/>
      <c r="AV591" s="1164"/>
      <c r="AW591" s="1164"/>
      <c r="AX591" s="1236"/>
      <c r="AY591" s="473"/>
      <c r="AZ591" s="1236"/>
      <c r="BA591" s="473"/>
      <c r="BB591" s="473"/>
      <c r="BC591" s="1164"/>
      <c r="BD591" s="20"/>
      <c r="BE591" s="473"/>
      <c r="BF591" s="610"/>
      <c r="BG591" s="610"/>
      <c r="BH591" s="610"/>
      <c r="BI591" s="610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</row>
    <row r="592" spans="1:148" s="22" customFormat="1" x14ac:dyDescent="0.25">
      <c r="A592" s="20"/>
      <c r="B592" s="16"/>
      <c r="C592" s="473"/>
      <c r="D592" s="473"/>
      <c r="E592" s="1164"/>
      <c r="F592" s="473"/>
      <c r="G592" s="473"/>
      <c r="H592" s="1164"/>
      <c r="I592" s="473"/>
      <c r="J592" s="473"/>
      <c r="K592" s="1164"/>
      <c r="L592" s="473"/>
      <c r="M592" s="473"/>
      <c r="N592" s="1164"/>
      <c r="O592" s="473"/>
      <c r="P592" s="473"/>
      <c r="Q592" s="1164"/>
      <c r="R592" s="473"/>
      <c r="S592" s="473"/>
      <c r="T592" s="1164"/>
      <c r="U592" s="1164"/>
      <c r="V592" s="473"/>
      <c r="W592" s="473"/>
      <c r="X592" s="1164"/>
      <c r="Y592" s="473"/>
      <c r="Z592" s="473"/>
      <c r="AA592" s="1164"/>
      <c r="AB592" s="473"/>
      <c r="AC592" s="1164"/>
      <c r="AD592" s="473"/>
      <c r="AE592" s="1164"/>
      <c r="AF592" s="473"/>
      <c r="AG592" s="1164"/>
      <c r="AH592" s="473"/>
      <c r="AI592" s="473"/>
      <c r="AJ592" s="1164"/>
      <c r="AK592" s="473"/>
      <c r="AL592" s="473"/>
      <c r="AM592" s="1164"/>
      <c r="AN592" s="473"/>
      <c r="AO592" s="473"/>
      <c r="AP592" s="1164"/>
      <c r="AQ592" s="473"/>
      <c r="AR592" s="473"/>
      <c r="AS592" s="1236"/>
      <c r="AT592" s="473"/>
      <c r="AU592" s="473"/>
      <c r="AV592" s="1164"/>
      <c r="AW592" s="1164"/>
      <c r="AX592" s="1236"/>
      <c r="AY592" s="473"/>
      <c r="AZ592" s="1236"/>
      <c r="BA592" s="473"/>
      <c r="BB592" s="473"/>
      <c r="BC592" s="1164"/>
      <c r="BD592" s="20"/>
      <c r="BE592" s="473"/>
      <c r="BF592" s="610"/>
      <c r="BG592" s="610"/>
      <c r="BH592" s="610"/>
      <c r="BI592" s="610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</row>
    <row r="593" spans="1:148" s="22" customFormat="1" x14ac:dyDescent="0.25">
      <c r="A593" s="20"/>
      <c r="B593" s="16"/>
      <c r="C593" s="473"/>
      <c r="D593" s="473"/>
      <c r="E593" s="1164"/>
      <c r="F593" s="473"/>
      <c r="G593" s="473"/>
      <c r="H593" s="1164"/>
      <c r="I593" s="473"/>
      <c r="J593" s="473"/>
      <c r="K593" s="1164"/>
      <c r="L593" s="473"/>
      <c r="M593" s="473"/>
      <c r="N593" s="1164"/>
      <c r="O593" s="473"/>
      <c r="P593" s="473"/>
      <c r="Q593" s="1164"/>
      <c r="R593" s="473"/>
      <c r="S593" s="473"/>
      <c r="T593" s="1164"/>
      <c r="U593" s="1164"/>
      <c r="V593" s="473"/>
      <c r="W593" s="473"/>
      <c r="X593" s="1164"/>
      <c r="Y593" s="473"/>
      <c r="Z593" s="473"/>
      <c r="AA593" s="1164"/>
      <c r="AB593" s="473"/>
      <c r="AC593" s="1164"/>
      <c r="AD593" s="473"/>
      <c r="AE593" s="1164"/>
      <c r="AF593" s="473"/>
      <c r="AG593" s="1164"/>
      <c r="AH593" s="473"/>
      <c r="AI593" s="473"/>
      <c r="AJ593" s="1164"/>
      <c r="AK593" s="473"/>
      <c r="AL593" s="473"/>
      <c r="AM593" s="1164"/>
      <c r="AN593" s="473"/>
      <c r="AO593" s="473"/>
      <c r="AP593" s="1164"/>
      <c r="AQ593" s="473"/>
      <c r="AR593" s="473"/>
      <c r="AS593" s="1236"/>
      <c r="AT593" s="473"/>
      <c r="AU593" s="473"/>
      <c r="AV593" s="1164"/>
      <c r="AW593" s="1164"/>
      <c r="AX593" s="1236"/>
      <c r="AY593" s="473"/>
      <c r="AZ593" s="1236"/>
      <c r="BA593" s="473"/>
      <c r="BB593" s="473"/>
      <c r="BC593" s="1164"/>
      <c r="BD593" s="20"/>
      <c r="BE593" s="473"/>
      <c r="BF593" s="610"/>
      <c r="BG593" s="610"/>
      <c r="BH593" s="610"/>
      <c r="BI593" s="610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</row>
    <row r="594" spans="1:148" s="22" customFormat="1" x14ac:dyDescent="0.25">
      <c r="A594" s="20"/>
      <c r="B594" s="16"/>
      <c r="C594" s="473"/>
      <c r="D594" s="473"/>
      <c r="E594" s="1164"/>
      <c r="F594" s="473"/>
      <c r="G594" s="473"/>
      <c r="H594" s="1164"/>
      <c r="I594" s="473"/>
      <c r="J594" s="473"/>
      <c r="K594" s="1164"/>
      <c r="L594" s="473"/>
      <c r="M594" s="473"/>
      <c r="N594" s="1164"/>
      <c r="O594" s="473"/>
      <c r="P594" s="473"/>
      <c r="Q594" s="1164"/>
      <c r="R594" s="473"/>
      <c r="S594" s="473"/>
      <c r="T594" s="1164"/>
      <c r="U594" s="1164"/>
      <c r="V594" s="473"/>
      <c r="W594" s="473"/>
      <c r="X594" s="1164"/>
      <c r="Y594" s="473"/>
      <c r="Z594" s="473"/>
      <c r="AA594" s="1164"/>
      <c r="AB594" s="473"/>
      <c r="AC594" s="1164"/>
      <c r="AD594" s="473"/>
      <c r="AE594" s="1164"/>
      <c r="AF594" s="473"/>
      <c r="AG594" s="1164"/>
      <c r="AH594" s="473"/>
      <c r="AI594" s="473"/>
      <c r="AJ594" s="1164"/>
      <c r="AK594" s="473"/>
      <c r="AL594" s="473"/>
      <c r="AM594" s="1164"/>
      <c r="AN594" s="473"/>
      <c r="AO594" s="473"/>
      <c r="AP594" s="1164"/>
      <c r="AQ594" s="473"/>
      <c r="AR594" s="473"/>
      <c r="AS594" s="1236"/>
      <c r="AT594" s="473"/>
      <c r="AU594" s="473"/>
      <c r="AV594" s="1164"/>
      <c r="AW594" s="1164"/>
      <c r="AX594" s="1236"/>
      <c r="AY594" s="473"/>
      <c r="AZ594" s="1236"/>
      <c r="BA594" s="473"/>
      <c r="BB594" s="473"/>
      <c r="BC594" s="1164"/>
      <c r="BD594" s="20"/>
      <c r="BE594" s="473"/>
      <c r="BF594" s="610"/>
      <c r="BG594" s="610"/>
      <c r="BH594" s="610"/>
      <c r="BI594" s="610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</row>
    <row r="595" spans="1:148" s="22" customFormat="1" x14ac:dyDescent="0.25">
      <c r="A595" s="20"/>
      <c r="B595" s="16"/>
      <c r="C595" s="473"/>
      <c r="D595" s="473"/>
      <c r="E595" s="1164"/>
      <c r="F595" s="473"/>
      <c r="G595" s="473"/>
      <c r="H595" s="1164"/>
      <c r="I595" s="473"/>
      <c r="J595" s="473"/>
      <c r="K595" s="1164"/>
      <c r="L595" s="473"/>
      <c r="M595" s="473"/>
      <c r="N595" s="1164"/>
      <c r="O595" s="473"/>
      <c r="P595" s="473"/>
      <c r="Q595" s="1164"/>
      <c r="R595" s="473"/>
      <c r="S595" s="473"/>
      <c r="T595" s="1164"/>
      <c r="U595" s="1164"/>
      <c r="V595" s="473"/>
      <c r="W595" s="473"/>
      <c r="X595" s="1164"/>
      <c r="Y595" s="473"/>
      <c r="Z595" s="473"/>
      <c r="AA595" s="1164"/>
      <c r="AB595" s="473"/>
      <c r="AC595" s="1164"/>
      <c r="AD595" s="473"/>
      <c r="AE595" s="1164"/>
      <c r="AF595" s="473"/>
      <c r="AG595" s="1164"/>
      <c r="AH595" s="473"/>
      <c r="AI595" s="473"/>
      <c r="AJ595" s="1164"/>
      <c r="AK595" s="473"/>
      <c r="AL595" s="473"/>
      <c r="AM595" s="1164"/>
      <c r="AN595" s="473"/>
      <c r="AO595" s="473"/>
      <c r="AP595" s="1164"/>
      <c r="AQ595" s="473"/>
      <c r="AR595" s="473"/>
      <c r="AS595" s="1236"/>
      <c r="AT595" s="473"/>
      <c r="AU595" s="473"/>
      <c r="AV595" s="1164"/>
      <c r="AW595" s="1164"/>
      <c r="AX595" s="1236"/>
      <c r="AY595" s="473"/>
      <c r="AZ595" s="1236"/>
      <c r="BA595" s="473"/>
      <c r="BB595" s="473"/>
      <c r="BC595" s="1164"/>
      <c r="BD595" s="20"/>
      <c r="BE595" s="473"/>
      <c r="BF595" s="610"/>
      <c r="BG595" s="610"/>
      <c r="BH595" s="610"/>
      <c r="BI595" s="610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</row>
    <row r="596" spans="1:148" s="22" customFormat="1" x14ac:dyDescent="0.25">
      <c r="A596" s="20"/>
      <c r="B596" s="16"/>
      <c r="C596" s="473"/>
      <c r="D596" s="473"/>
      <c r="E596" s="1164"/>
      <c r="F596" s="473"/>
      <c r="G596" s="473"/>
      <c r="H596" s="1164"/>
      <c r="I596" s="473"/>
      <c r="J596" s="473"/>
      <c r="K596" s="1164"/>
      <c r="L596" s="473"/>
      <c r="M596" s="473"/>
      <c r="N596" s="1164"/>
      <c r="O596" s="473"/>
      <c r="P596" s="473"/>
      <c r="Q596" s="1164"/>
      <c r="R596" s="473"/>
      <c r="S596" s="473"/>
      <c r="T596" s="1164"/>
      <c r="U596" s="1164"/>
      <c r="V596" s="473"/>
      <c r="W596" s="473"/>
      <c r="X596" s="1164"/>
      <c r="Y596" s="473"/>
      <c r="Z596" s="473"/>
      <c r="AA596" s="1164"/>
      <c r="AB596" s="473"/>
      <c r="AC596" s="1164"/>
      <c r="AD596" s="473"/>
      <c r="AE596" s="1164"/>
      <c r="AF596" s="473"/>
      <c r="AG596" s="1164"/>
      <c r="AH596" s="473"/>
      <c r="AI596" s="473"/>
      <c r="AJ596" s="1164"/>
      <c r="AK596" s="473"/>
      <c r="AL596" s="473"/>
      <c r="AM596" s="1164"/>
      <c r="AN596" s="473"/>
      <c r="AO596" s="473"/>
      <c r="AP596" s="1164"/>
      <c r="AQ596" s="473"/>
      <c r="AR596" s="473"/>
      <c r="AS596" s="1236"/>
      <c r="AT596" s="473"/>
      <c r="AU596" s="473"/>
      <c r="AV596" s="1164"/>
      <c r="AW596" s="1164"/>
      <c r="AX596" s="1236"/>
      <c r="AY596" s="473"/>
      <c r="AZ596" s="1236"/>
      <c r="BA596" s="473"/>
      <c r="BB596" s="473"/>
      <c r="BC596" s="1164"/>
      <c r="BD596" s="20"/>
      <c r="BE596" s="473"/>
      <c r="BF596" s="610"/>
      <c r="BG596" s="610"/>
      <c r="BH596" s="610"/>
      <c r="BI596" s="610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</row>
    <row r="597" spans="1:148" s="22" customFormat="1" x14ac:dyDescent="0.25">
      <c r="A597" s="20"/>
      <c r="B597" s="16"/>
      <c r="C597" s="473"/>
      <c r="D597" s="473"/>
      <c r="E597" s="1164"/>
      <c r="F597" s="473"/>
      <c r="G597" s="473"/>
      <c r="H597" s="1164"/>
      <c r="I597" s="473"/>
      <c r="J597" s="473"/>
      <c r="K597" s="1164"/>
      <c r="L597" s="473"/>
      <c r="M597" s="473"/>
      <c r="N597" s="1164"/>
      <c r="O597" s="473"/>
      <c r="P597" s="473"/>
      <c r="Q597" s="1164"/>
      <c r="R597" s="473"/>
      <c r="S597" s="473"/>
      <c r="T597" s="1164"/>
      <c r="U597" s="1164"/>
      <c r="V597" s="473"/>
      <c r="W597" s="473"/>
      <c r="X597" s="1164"/>
      <c r="Y597" s="473"/>
      <c r="Z597" s="473"/>
      <c r="AA597" s="1164"/>
      <c r="AB597" s="473"/>
      <c r="AC597" s="1164"/>
      <c r="AD597" s="473"/>
      <c r="AE597" s="1164"/>
      <c r="AF597" s="473"/>
      <c r="AG597" s="1164"/>
      <c r="AH597" s="473"/>
      <c r="AI597" s="473"/>
      <c r="AJ597" s="1164"/>
      <c r="AK597" s="473"/>
      <c r="AL597" s="473"/>
      <c r="AM597" s="1164"/>
      <c r="AN597" s="473"/>
      <c r="AO597" s="473"/>
      <c r="AP597" s="1164"/>
      <c r="AQ597" s="473"/>
      <c r="AR597" s="473"/>
      <c r="AS597" s="1236"/>
      <c r="AT597" s="473"/>
      <c r="AU597" s="473"/>
      <c r="AV597" s="1164"/>
      <c r="AW597" s="1164"/>
      <c r="AX597" s="1236"/>
      <c r="AY597" s="473"/>
      <c r="AZ597" s="1236"/>
      <c r="BA597" s="473"/>
      <c r="BB597" s="473"/>
      <c r="BC597" s="1164"/>
      <c r="BD597" s="20"/>
      <c r="BE597" s="473"/>
      <c r="BF597" s="610"/>
      <c r="BG597" s="610"/>
      <c r="BH597" s="610"/>
      <c r="BI597" s="610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</row>
    <row r="598" spans="1:148" s="22" customFormat="1" x14ac:dyDescent="0.25">
      <c r="A598" s="20"/>
      <c r="B598" s="16"/>
      <c r="C598" s="473"/>
      <c r="D598" s="473"/>
      <c r="E598" s="1164"/>
      <c r="F598" s="473"/>
      <c r="G598" s="473"/>
      <c r="H598" s="1164"/>
      <c r="I598" s="473"/>
      <c r="J598" s="473"/>
      <c r="K598" s="1164"/>
      <c r="L598" s="473"/>
      <c r="M598" s="473"/>
      <c r="N598" s="1164"/>
      <c r="O598" s="473"/>
      <c r="P598" s="473"/>
      <c r="Q598" s="1164"/>
      <c r="R598" s="473"/>
      <c r="S598" s="473"/>
      <c r="T598" s="1164"/>
      <c r="U598" s="1164"/>
      <c r="V598" s="473"/>
      <c r="W598" s="473"/>
      <c r="X598" s="1164"/>
      <c r="Y598" s="473"/>
      <c r="Z598" s="473"/>
      <c r="AA598" s="1164"/>
      <c r="AB598" s="473"/>
      <c r="AC598" s="1164"/>
      <c r="AD598" s="473"/>
      <c r="AE598" s="1164"/>
      <c r="AF598" s="473"/>
      <c r="AG598" s="1164"/>
      <c r="AH598" s="473"/>
      <c r="AI598" s="473"/>
      <c r="AJ598" s="1164"/>
      <c r="AK598" s="473"/>
      <c r="AL598" s="473"/>
      <c r="AM598" s="1164"/>
      <c r="AN598" s="473"/>
      <c r="AO598" s="473"/>
      <c r="AP598" s="1164"/>
      <c r="AQ598" s="473"/>
      <c r="AR598" s="473"/>
      <c r="AS598" s="1236"/>
      <c r="AT598" s="473"/>
      <c r="AU598" s="473"/>
      <c r="AV598" s="1164"/>
      <c r="AW598" s="1164"/>
      <c r="AX598" s="1236"/>
      <c r="AY598" s="473"/>
      <c r="AZ598" s="1236"/>
      <c r="BA598" s="473"/>
      <c r="BB598" s="473"/>
      <c r="BC598" s="1164"/>
      <c r="BD598" s="20"/>
      <c r="BE598" s="473"/>
      <c r="BF598" s="610"/>
      <c r="BG598" s="610"/>
      <c r="BH598" s="610"/>
      <c r="BI598" s="610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</row>
    <row r="599" spans="1:148" s="22" customFormat="1" x14ac:dyDescent="0.25">
      <c r="A599" s="20"/>
      <c r="B599" s="16"/>
      <c r="C599" s="473"/>
      <c r="D599" s="473"/>
      <c r="E599" s="1164"/>
      <c r="F599" s="473"/>
      <c r="G599" s="473"/>
      <c r="H599" s="1164"/>
      <c r="I599" s="473"/>
      <c r="J599" s="473"/>
      <c r="K599" s="1164"/>
      <c r="L599" s="473"/>
      <c r="M599" s="473"/>
      <c r="N599" s="1164"/>
      <c r="O599" s="473"/>
      <c r="P599" s="473"/>
      <c r="Q599" s="1164"/>
      <c r="R599" s="473"/>
      <c r="S599" s="473"/>
      <c r="T599" s="1164"/>
      <c r="U599" s="1164"/>
      <c r="V599" s="473"/>
      <c r="W599" s="473"/>
      <c r="X599" s="1164"/>
      <c r="Y599" s="473"/>
      <c r="Z599" s="473"/>
      <c r="AA599" s="1164"/>
      <c r="AB599" s="473"/>
      <c r="AC599" s="1164"/>
      <c r="AD599" s="473"/>
      <c r="AE599" s="1164"/>
      <c r="AF599" s="473"/>
      <c r="AG599" s="1164"/>
      <c r="AH599" s="473"/>
      <c r="AI599" s="473"/>
      <c r="AJ599" s="1164"/>
      <c r="AK599" s="473"/>
      <c r="AL599" s="473"/>
      <c r="AM599" s="1164"/>
      <c r="AN599" s="473"/>
      <c r="AO599" s="473"/>
      <c r="AP599" s="1164"/>
      <c r="AQ599" s="473"/>
      <c r="AR599" s="473"/>
      <c r="AS599" s="1236"/>
      <c r="AT599" s="473"/>
      <c r="AU599" s="473"/>
      <c r="AV599" s="1164"/>
      <c r="AW599" s="1164"/>
      <c r="AX599" s="1236"/>
      <c r="AY599" s="473"/>
      <c r="AZ599" s="1236"/>
      <c r="BA599" s="473"/>
      <c r="BB599" s="473"/>
      <c r="BC599" s="1164"/>
      <c r="BD599" s="20"/>
      <c r="BE599" s="473"/>
      <c r="BF599" s="610"/>
      <c r="BG599" s="610"/>
      <c r="BH599" s="610"/>
      <c r="BI599" s="610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</row>
    <row r="600" spans="1:148" s="22" customFormat="1" x14ac:dyDescent="0.25">
      <c r="A600" s="20"/>
      <c r="B600" s="16"/>
      <c r="C600" s="473"/>
      <c r="D600" s="473"/>
      <c r="E600" s="1164"/>
      <c r="F600" s="473"/>
      <c r="G600" s="473"/>
      <c r="H600" s="1164"/>
      <c r="I600" s="473"/>
      <c r="J600" s="473"/>
      <c r="K600" s="1164"/>
      <c r="L600" s="473"/>
      <c r="M600" s="473"/>
      <c r="N600" s="1164"/>
      <c r="O600" s="473"/>
      <c r="P600" s="473"/>
      <c r="Q600" s="1164"/>
      <c r="R600" s="473"/>
      <c r="S600" s="473"/>
      <c r="T600" s="1164"/>
      <c r="U600" s="1164"/>
      <c r="V600" s="473"/>
      <c r="W600" s="473"/>
      <c r="X600" s="1164"/>
      <c r="Y600" s="473"/>
      <c r="Z600" s="473"/>
      <c r="AA600" s="1164"/>
      <c r="AB600" s="473"/>
      <c r="AC600" s="1164"/>
      <c r="AD600" s="473"/>
      <c r="AE600" s="1164"/>
      <c r="AF600" s="473"/>
      <c r="AG600" s="1164"/>
      <c r="AH600" s="473"/>
      <c r="AI600" s="473"/>
      <c r="AJ600" s="1164"/>
      <c r="AK600" s="473"/>
      <c r="AL600" s="473"/>
      <c r="AM600" s="1164"/>
      <c r="AN600" s="473"/>
      <c r="AO600" s="473"/>
      <c r="AP600" s="1164"/>
      <c r="AQ600" s="473"/>
      <c r="AR600" s="473"/>
      <c r="AS600" s="1236"/>
      <c r="AT600" s="473"/>
      <c r="AU600" s="473"/>
      <c r="AV600" s="1164"/>
      <c r="AW600" s="1164"/>
      <c r="AX600" s="1236"/>
      <c r="AY600" s="473"/>
      <c r="AZ600" s="1236"/>
      <c r="BA600" s="473"/>
      <c r="BB600" s="473"/>
      <c r="BC600" s="1164"/>
      <c r="BD600" s="20"/>
      <c r="BE600" s="473"/>
      <c r="BF600" s="610"/>
      <c r="BG600" s="610"/>
      <c r="BH600" s="610"/>
      <c r="BI600" s="610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</row>
    <row r="601" spans="1:148" s="22" customFormat="1" x14ac:dyDescent="0.25">
      <c r="A601" s="20"/>
      <c r="B601" s="16"/>
      <c r="C601" s="473"/>
      <c r="D601" s="473"/>
      <c r="E601" s="1164"/>
      <c r="F601" s="473"/>
      <c r="G601" s="473"/>
      <c r="H601" s="1164"/>
      <c r="I601" s="473"/>
      <c r="J601" s="473"/>
      <c r="K601" s="1164"/>
      <c r="L601" s="473"/>
      <c r="M601" s="473"/>
      <c r="N601" s="1164"/>
      <c r="O601" s="473"/>
      <c r="P601" s="473"/>
      <c r="Q601" s="1164"/>
      <c r="R601" s="473"/>
      <c r="S601" s="473"/>
      <c r="T601" s="1164"/>
      <c r="U601" s="1164"/>
      <c r="V601" s="473"/>
      <c r="W601" s="473"/>
      <c r="X601" s="1164"/>
      <c r="Y601" s="473"/>
      <c r="Z601" s="473"/>
      <c r="AA601" s="1164"/>
      <c r="AB601" s="473"/>
      <c r="AC601" s="1164"/>
      <c r="AD601" s="473"/>
      <c r="AE601" s="1164"/>
      <c r="AF601" s="473"/>
      <c r="AG601" s="1164"/>
      <c r="AH601" s="473"/>
      <c r="AI601" s="473"/>
      <c r="AJ601" s="1164"/>
      <c r="AK601" s="473"/>
      <c r="AL601" s="473"/>
      <c r="AM601" s="1164"/>
      <c r="AN601" s="473"/>
      <c r="AO601" s="473"/>
      <c r="AP601" s="1164"/>
      <c r="AQ601" s="473"/>
      <c r="AR601" s="473"/>
      <c r="AS601" s="1236"/>
      <c r="AT601" s="473"/>
      <c r="AU601" s="473"/>
      <c r="AV601" s="1164"/>
      <c r="AW601" s="1164"/>
      <c r="AX601" s="1236"/>
      <c r="AY601" s="473"/>
      <c r="AZ601" s="1236"/>
      <c r="BA601" s="473"/>
      <c r="BB601" s="473"/>
      <c r="BC601" s="1164"/>
      <c r="BD601" s="20"/>
      <c r="BE601" s="473"/>
      <c r="BF601" s="610"/>
      <c r="BG601" s="610"/>
      <c r="BH601" s="610"/>
      <c r="BI601" s="610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</row>
    <row r="602" spans="1:148" s="22" customFormat="1" x14ac:dyDescent="0.25">
      <c r="A602" s="20"/>
      <c r="B602" s="16"/>
      <c r="C602" s="473"/>
      <c r="D602" s="473"/>
      <c r="E602" s="1164"/>
      <c r="F602" s="473"/>
      <c r="G602" s="473"/>
      <c r="H602" s="1164"/>
      <c r="I602" s="473"/>
      <c r="J602" s="473"/>
      <c r="K602" s="1164"/>
      <c r="L602" s="473"/>
      <c r="M602" s="473"/>
      <c r="N602" s="1164"/>
      <c r="O602" s="473"/>
      <c r="P602" s="473"/>
      <c r="Q602" s="1164"/>
      <c r="R602" s="473"/>
      <c r="S602" s="473"/>
      <c r="T602" s="1164"/>
      <c r="U602" s="1164"/>
      <c r="V602" s="473"/>
      <c r="W602" s="473"/>
      <c r="X602" s="1164"/>
      <c r="Y602" s="473"/>
      <c r="Z602" s="473"/>
      <c r="AA602" s="1164"/>
      <c r="AB602" s="473"/>
      <c r="AC602" s="1164"/>
      <c r="AD602" s="473"/>
      <c r="AE602" s="1164"/>
      <c r="AF602" s="473"/>
      <c r="AG602" s="1164"/>
      <c r="AH602" s="473"/>
      <c r="AI602" s="473"/>
      <c r="AJ602" s="1164"/>
      <c r="AK602" s="473"/>
      <c r="AL602" s="473"/>
      <c r="AM602" s="1164"/>
      <c r="AN602" s="473"/>
      <c r="AO602" s="473"/>
      <c r="AP602" s="1164"/>
      <c r="AQ602" s="473"/>
      <c r="AR602" s="473"/>
      <c r="AS602" s="1236"/>
      <c r="AT602" s="473"/>
      <c r="AU602" s="473"/>
      <c r="AV602" s="1164"/>
      <c r="AW602" s="1164"/>
      <c r="AX602" s="1236"/>
      <c r="AY602" s="473"/>
      <c r="AZ602" s="1236"/>
      <c r="BA602" s="473"/>
      <c r="BB602" s="473"/>
      <c r="BC602" s="1164"/>
      <c r="BD602" s="20"/>
      <c r="BE602" s="473"/>
      <c r="BF602" s="610"/>
      <c r="BG602" s="610"/>
      <c r="BH602" s="610"/>
      <c r="BI602" s="610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</row>
    <row r="603" spans="1:148" s="22" customFormat="1" x14ac:dyDescent="0.25">
      <c r="A603" s="20"/>
      <c r="B603" s="16"/>
      <c r="C603" s="473"/>
      <c r="D603" s="473"/>
      <c r="E603" s="1164"/>
      <c r="F603" s="473"/>
      <c r="G603" s="473"/>
      <c r="H603" s="1164"/>
      <c r="I603" s="473"/>
      <c r="J603" s="473"/>
      <c r="K603" s="1164"/>
      <c r="L603" s="473"/>
      <c r="M603" s="473"/>
      <c r="N603" s="1164"/>
      <c r="O603" s="473"/>
      <c r="P603" s="473"/>
      <c r="Q603" s="1164"/>
      <c r="R603" s="473"/>
      <c r="S603" s="473"/>
      <c r="T603" s="1164"/>
      <c r="U603" s="1164"/>
      <c r="V603" s="473"/>
      <c r="W603" s="473"/>
      <c r="X603" s="1164"/>
      <c r="Y603" s="473"/>
      <c r="Z603" s="473"/>
      <c r="AA603" s="1164"/>
      <c r="AB603" s="473"/>
      <c r="AC603" s="1164"/>
      <c r="AD603" s="473"/>
      <c r="AE603" s="1164"/>
      <c r="AF603" s="473"/>
      <c r="AG603" s="1164"/>
      <c r="AH603" s="473"/>
      <c r="AI603" s="473"/>
      <c r="AJ603" s="1164"/>
      <c r="AK603" s="473"/>
      <c r="AL603" s="473"/>
      <c r="AM603" s="1164"/>
      <c r="AN603" s="473"/>
      <c r="AO603" s="473"/>
      <c r="AP603" s="1164"/>
      <c r="AQ603" s="473"/>
      <c r="AR603" s="473"/>
      <c r="AS603" s="1236"/>
      <c r="AT603" s="473"/>
      <c r="AU603" s="473"/>
      <c r="AV603" s="1164"/>
      <c r="AW603" s="1164"/>
      <c r="AX603" s="1236"/>
      <c r="AY603" s="473"/>
      <c r="AZ603" s="1236"/>
      <c r="BA603" s="473"/>
      <c r="BB603" s="473"/>
      <c r="BC603" s="1164"/>
      <c r="BD603" s="20"/>
      <c r="BE603" s="473"/>
      <c r="BF603" s="610"/>
      <c r="BG603" s="610"/>
      <c r="BH603" s="610"/>
      <c r="BI603" s="610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</row>
    <row r="604" spans="1:148" s="22" customFormat="1" x14ac:dyDescent="0.25">
      <c r="A604" s="20"/>
      <c r="B604" s="16"/>
      <c r="C604" s="473"/>
      <c r="D604" s="473"/>
      <c r="E604" s="1164"/>
      <c r="F604" s="473"/>
      <c r="G604" s="473"/>
      <c r="H604" s="1164"/>
      <c r="I604" s="473"/>
      <c r="J604" s="473"/>
      <c r="K604" s="1164"/>
      <c r="L604" s="473"/>
      <c r="M604" s="473"/>
      <c r="N604" s="1164"/>
      <c r="O604" s="473"/>
      <c r="P604" s="473"/>
      <c r="Q604" s="1164"/>
      <c r="R604" s="473"/>
      <c r="S604" s="473"/>
      <c r="T604" s="1164"/>
      <c r="U604" s="1164"/>
      <c r="V604" s="473"/>
      <c r="W604" s="473"/>
      <c r="X604" s="1164"/>
      <c r="Y604" s="473"/>
      <c r="Z604" s="473"/>
      <c r="AA604" s="1164"/>
      <c r="AB604" s="473"/>
      <c r="AC604" s="1164"/>
      <c r="AD604" s="473"/>
      <c r="AE604" s="1164"/>
      <c r="AF604" s="473"/>
      <c r="AG604" s="1164"/>
      <c r="AH604" s="473"/>
      <c r="AI604" s="473"/>
      <c r="AJ604" s="1164"/>
      <c r="AK604" s="473"/>
      <c r="AL604" s="473"/>
      <c r="AM604" s="1164"/>
      <c r="AN604" s="473"/>
      <c r="AO604" s="473"/>
      <c r="AP604" s="1164"/>
      <c r="AQ604" s="473"/>
      <c r="AR604" s="473"/>
      <c r="AS604" s="1236"/>
      <c r="AT604" s="473"/>
      <c r="AU604" s="473"/>
      <c r="AV604" s="1164"/>
      <c r="AW604" s="1164"/>
      <c r="AX604" s="1236"/>
      <c r="AY604" s="473"/>
      <c r="AZ604" s="1236"/>
      <c r="BA604" s="473"/>
      <c r="BB604" s="473"/>
      <c r="BC604" s="1164"/>
      <c r="BD604" s="20"/>
      <c r="BE604" s="473"/>
      <c r="BF604" s="610"/>
      <c r="BG604" s="610"/>
      <c r="BH604" s="610"/>
      <c r="BI604" s="610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</row>
    <row r="605" spans="1:148" s="22" customFormat="1" x14ac:dyDescent="0.25">
      <c r="A605" s="20"/>
      <c r="B605" s="16"/>
      <c r="C605" s="473"/>
      <c r="D605" s="473"/>
      <c r="E605" s="1164"/>
      <c r="F605" s="473"/>
      <c r="G605" s="473"/>
      <c r="H605" s="1164"/>
      <c r="I605" s="473"/>
      <c r="J605" s="473"/>
      <c r="K605" s="1164"/>
      <c r="L605" s="473"/>
      <c r="M605" s="473"/>
      <c r="N605" s="1164"/>
      <c r="O605" s="473"/>
      <c r="P605" s="473"/>
      <c r="Q605" s="1164"/>
      <c r="R605" s="473"/>
      <c r="S605" s="473"/>
      <c r="T605" s="1164"/>
      <c r="U605" s="1164"/>
      <c r="V605" s="473"/>
      <c r="W605" s="473"/>
      <c r="X605" s="1164"/>
      <c r="Y605" s="473"/>
      <c r="Z605" s="473"/>
      <c r="AA605" s="1164"/>
      <c r="AB605" s="473"/>
      <c r="AC605" s="1164"/>
      <c r="AD605" s="473"/>
      <c r="AE605" s="1164"/>
      <c r="AF605" s="473"/>
      <c r="AG605" s="1164"/>
      <c r="AH605" s="473"/>
      <c r="AI605" s="473"/>
      <c r="AJ605" s="1164"/>
      <c r="AK605" s="473"/>
      <c r="AL605" s="473"/>
      <c r="AM605" s="1164"/>
      <c r="AN605" s="473"/>
      <c r="AO605" s="473"/>
      <c r="AP605" s="1164"/>
      <c r="AQ605" s="473"/>
      <c r="AR605" s="473"/>
      <c r="AS605" s="1236"/>
      <c r="AT605" s="473"/>
      <c r="AU605" s="473"/>
      <c r="AV605" s="1164"/>
      <c r="AW605" s="1164"/>
      <c r="AX605" s="1236"/>
      <c r="AY605" s="473"/>
      <c r="AZ605" s="1236"/>
      <c r="BA605" s="473"/>
      <c r="BB605" s="473"/>
      <c r="BC605" s="1164"/>
      <c r="BD605" s="20"/>
      <c r="BE605" s="473"/>
      <c r="BF605" s="610"/>
      <c r="BG605" s="610"/>
      <c r="BH605" s="610"/>
      <c r="BI605" s="610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</row>
    <row r="606" spans="1:148" s="22" customFormat="1" x14ac:dyDescent="0.25">
      <c r="A606" s="20"/>
      <c r="B606" s="16"/>
      <c r="C606" s="473"/>
      <c r="D606" s="473"/>
      <c r="E606" s="1164"/>
      <c r="F606" s="473"/>
      <c r="G606" s="473"/>
      <c r="H606" s="1164"/>
      <c r="I606" s="473"/>
      <c r="J606" s="473"/>
      <c r="K606" s="1164"/>
      <c r="L606" s="473"/>
      <c r="M606" s="473"/>
      <c r="N606" s="1164"/>
      <c r="O606" s="473"/>
      <c r="P606" s="473"/>
      <c r="Q606" s="1164"/>
      <c r="R606" s="473"/>
      <c r="S606" s="473"/>
      <c r="T606" s="1164"/>
      <c r="U606" s="1164"/>
      <c r="V606" s="473"/>
      <c r="W606" s="473"/>
      <c r="X606" s="1164"/>
      <c r="Y606" s="473"/>
      <c r="Z606" s="473"/>
      <c r="AA606" s="1164"/>
      <c r="AB606" s="473"/>
      <c r="AC606" s="1164"/>
      <c r="AD606" s="473"/>
      <c r="AE606" s="1164"/>
      <c r="AF606" s="473"/>
      <c r="AG606" s="1164"/>
      <c r="AH606" s="473"/>
      <c r="AI606" s="473"/>
      <c r="AJ606" s="1164"/>
      <c r="AK606" s="473"/>
      <c r="AL606" s="473"/>
      <c r="AM606" s="1164"/>
      <c r="AN606" s="473"/>
      <c r="AO606" s="473"/>
      <c r="AP606" s="1164"/>
      <c r="AQ606" s="473"/>
      <c r="AR606" s="473"/>
      <c r="AS606" s="1236"/>
      <c r="AT606" s="473"/>
      <c r="AU606" s="473"/>
      <c r="AV606" s="1164"/>
      <c r="AW606" s="1164"/>
      <c r="AX606" s="1236"/>
      <c r="AY606" s="473"/>
      <c r="AZ606" s="1236"/>
      <c r="BA606" s="473"/>
      <c r="BB606" s="473"/>
      <c r="BC606" s="1164"/>
      <c r="BD606" s="20"/>
      <c r="BE606" s="473"/>
      <c r="BF606" s="610"/>
      <c r="BG606" s="610"/>
      <c r="BH606" s="610"/>
      <c r="BI606" s="610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</row>
    <row r="607" spans="1:148" s="22" customFormat="1" x14ac:dyDescent="0.25">
      <c r="A607" s="20"/>
      <c r="B607" s="16"/>
      <c r="C607" s="473"/>
      <c r="D607" s="473"/>
      <c r="E607" s="1164"/>
      <c r="F607" s="473"/>
      <c r="G607" s="473"/>
      <c r="H607" s="1164"/>
      <c r="I607" s="473"/>
      <c r="J607" s="473"/>
      <c r="K607" s="1164"/>
      <c r="L607" s="473"/>
      <c r="M607" s="473"/>
      <c r="N607" s="1164"/>
      <c r="O607" s="473"/>
      <c r="P607" s="473"/>
      <c r="Q607" s="1164"/>
      <c r="R607" s="473"/>
      <c r="S607" s="473"/>
      <c r="T607" s="1164"/>
      <c r="U607" s="1164"/>
      <c r="V607" s="473"/>
      <c r="W607" s="473"/>
      <c r="X607" s="1164"/>
      <c r="Y607" s="473"/>
      <c r="Z607" s="473"/>
      <c r="AA607" s="1164"/>
      <c r="AB607" s="473"/>
      <c r="AC607" s="1164"/>
      <c r="AD607" s="473"/>
      <c r="AE607" s="1164"/>
      <c r="AF607" s="473"/>
      <c r="AG607" s="1164"/>
      <c r="AH607" s="473"/>
      <c r="AI607" s="473"/>
      <c r="AJ607" s="1164"/>
      <c r="AK607" s="473"/>
      <c r="AL607" s="473"/>
      <c r="AM607" s="1164"/>
      <c r="AN607" s="473"/>
      <c r="AO607" s="473"/>
      <c r="AP607" s="1164"/>
      <c r="AQ607" s="473"/>
      <c r="AR607" s="473"/>
      <c r="AS607" s="1236"/>
      <c r="AT607" s="473"/>
      <c r="AU607" s="473"/>
      <c r="AV607" s="1164"/>
      <c r="AW607" s="1164"/>
      <c r="AX607" s="1236"/>
      <c r="AY607" s="473"/>
      <c r="AZ607" s="1236"/>
      <c r="BA607" s="473"/>
      <c r="BB607" s="473"/>
      <c r="BC607" s="1164"/>
      <c r="BD607" s="20"/>
      <c r="BE607" s="473"/>
      <c r="BF607" s="610"/>
      <c r="BG607" s="610"/>
      <c r="BH607" s="610"/>
      <c r="BI607" s="610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</row>
    <row r="608" spans="1:148" s="22" customFormat="1" x14ac:dyDescent="0.25">
      <c r="A608" s="20"/>
      <c r="B608" s="16"/>
      <c r="C608" s="473"/>
      <c r="D608" s="473"/>
      <c r="E608" s="1164"/>
      <c r="F608" s="473"/>
      <c r="G608" s="473"/>
      <c r="H608" s="1164"/>
      <c r="I608" s="473"/>
      <c r="J608" s="473"/>
      <c r="K608" s="1164"/>
      <c r="L608" s="473"/>
      <c r="M608" s="473"/>
      <c r="N608" s="1164"/>
      <c r="O608" s="473"/>
      <c r="P608" s="473"/>
      <c r="Q608" s="1164"/>
      <c r="R608" s="473"/>
      <c r="S608" s="473"/>
      <c r="T608" s="1164"/>
      <c r="U608" s="1164"/>
      <c r="V608" s="473"/>
      <c r="W608" s="473"/>
      <c r="X608" s="1164"/>
      <c r="Y608" s="473"/>
      <c r="Z608" s="473"/>
      <c r="AA608" s="1164"/>
      <c r="AB608" s="473"/>
      <c r="AC608" s="1164"/>
      <c r="AD608" s="473"/>
      <c r="AE608" s="1164"/>
      <c r="AF608" s="473"/>
      <c r="AG608" s="1164"/>
      <c r="AH608" s="473"/>
      <c r="AI608" s="473"/>
      <c r="AJ608" s="1164"/>
      <c r="AK608" s="473"/>
      <c r="AL608" s="473"/>
      <c r="AM608" s="1164"/>
      <c r="AN608" s="473"/>
      <c r="AO608" s="473"/>
      <c r="AP608" s="1164"/>
      <c r="AQ608" s="473"/>
      <c r="AR608" s="473"/>
      <c r="AS608" s="1236"/>
      <c r="AT608" s="473"/>
      <c r="AU608" s="473"/>
      <c r="AV608" s="1164"/>
      <c r="AW608" s="1164"/>
      <c r="AX608" s="1236"/>
      <c r="AY608" s="473"/>
      <c r="AZ608" s="1236"/>
      <c r="BA608" s="473"/>
      <c r="BB608" s="473"/>
      <c r="BC608" s="1164"/>
      <c r="BD608" s="20"/>
      <c r="BE608" s="473"/>
      <c r="BF608" s="610"/>
      <c r="BG608" s="610"/>
      <c r="BH608" s="610"/>
      <c r="BI608" s="610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</row>
    <row r="609" spans="1:148" s="22" customFormat="1" x14ac:dyDescent="0.25">
      <c r="A609" s="20"/>
      <c r="B609" s="16"/>
      <c r="C609" s="473"/>
      <c r="D609" s="473"/>
      <c r="E609" s="1164"/>
      <c r="F609" s="473"/>
      <c r="G609" s="473"/>
      <c r="H609" s="1164"/>
      <c r="I609" s="473"/>
      <c r="J609" s="473"/>
      <c r="K609" s="1164"/>
      <c r="L609" s="473"/>
      <c r="M609" s="473"/>
      <c r="N609" s="1164"/>
      <c r="O609" s="473"/>
      <c r="P609" s="473"/>
      <c r="Q609" s="1164"/>
      <c r="R609" s="473"/>
      <c r="S609" s="473"/>
      <c r="T609" s="1164"/>
      <c r="U609" s="1164"/>
      <c r="V609" s="473"/>
      <c r="W609" s="473"/>
      <c r="X609" s="1164"/>
      <c r="Y609" s="473"/>
      <c r="Z609" s="473"/>
      <c r="AA609" s="1164"/>
      <c r="AB609" s="473"/>
      <c r="AC609" s="1164"/>
      <c r="AD609" s="473"/>
      <c r="AE609" s="1164"/>
      <c r="AF609" s="473"/>
      <c r="AG609" s="1164"/>
      <c r="AH609" s="473"/>
      <c r="AI609" s="473"/>
      <c r="AJ609" s="1164"/>
      <c r="AK609" s="473"/>
      <c r="AL609" s="473"/>
      <c r="AM609" s="1164"/>
      <c r="AN609" s="473"/>
      <c r="AO609" s="473"/>
      <c r="AP609" s="1164"/>
      <c r="AQ609" s="473"/>
      <c r="AR609" s="473"/>
      <c r="AS609" s="1236"/>
      <c r="AT609" s="473"/>
      <c r="AU609" s="473"/>
      <c r="AV609" s="1164"/>
      <c r="AW609" s="1164"/>
      <c r="AX609" s="1236"/>
      <c r="AY609" s="473"/>
      <c r="AZ609" s="1236"/>
      <c r="BA609" s="473"/>
      <c r="BB609" s="473"/>
      <c r="BC609" s="1164"/>
      <c r="BD609" s="20"/>
      <c r="BE609" s="473"/>
      <c r="BF609" s="610"/>
      <c r="BG609" s="610"/>
      <c r="BH609" s="610"/>
      <c r="BI609" s="610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</row>
    <row r="610" spans="1:148" s="22" customFormat="1" x14ac:dyDescent="0.25">
      <c r="A610" s="20"/>
      <c r="B610" s="16"/>
      <c r="C610" s="473"/>
      <c r="D610" s="473"/>
      <c r="E610" s="1164"/>
      <c r="F610" s="473"/>
      <c r="G610" s="473"/>
      <c r="H610" s="1164"/>
      <c r="I610" s="473"/>
      <c r="J610" s="473"/>
      <c r="K610" s="1164"/>
      <c r="L610" s="473"/>
      <c r="M610" s="473"/>
      <c r="N610" s="1164"/>
      <c r="O610" s="473"/>
      <c r="P610" s="473"/>
      <c r="Q610" s="1164"/>
      <c r="R610" s="473"/>
      <c r="S610" s="473"/>
      <c r="T610" s="1164"/>
      <c r="U610" s="1164"/>
      <c r="V610" s="473"/>
      <c r="W610" s="473"/>
      <c r="X610" s="1164"/>
      <c r="Y610" s="473"/>
      <c r="Z610" s="473"/>
      <c r="AA610" s="1164"/>
      <c r="AB610" s="473"/>
      <c r="AC610" s="1164"/>
      <c r="AD610" s="473"/>
      <c r="AE610" s="1164"/>
      <c r="AF610" s="473"/>
      <c r="AG610" s="1164"/>
      <c r="AH610" s="473"/>
      <c r="AI610" s="473"/>
      <c r="AJ610" s="1164"/>
      <c r="AK610" s="473"/>
      <c r="AL610" s="473"/>
      <c r="AM610" s="1164"/>
      <c r="AN610" s="473"/>
      <c r="AO610" s="473"/>
      <c r="AP610" s="1164"/>
      <c r="AQ610" s="473"/>
      <c r="AR610" s="473"/>
      <c r="AS610" s="1236"/>
      <c r="AT610" s="473"/>
      <c r="AU610" s="473"/>
      <c r="AV610" s="1164"/>
      <c r="AW610" s="1164"/>
      <c r="AX610" s="1236"/>
      <c r="AY610" s="473"/>
      <c r="AZ610" s="1236"/>
      <c r="BA610" s="473"/>
      <c r="BB610" s="473"/>
      <c r="BC610" s="1164"/>
      <c r="BD610" s="20"/>
      <c r="BE610" s="473"/>
      <c r="BF610" s="610"/>
      <c r="BG610" s="610"/>
      <c r="BH610" s="610"/>
      <c r="BI610" s="610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</row>
    <row r="611" spans="1:148" s="22" customFormat="1" x14ac:dyDescent="0.25">
      <c r="A611" s="20"/>
      <c r="B611" s="16"/>
      <c r="C611" s="473"/>
      <c r="D611" s="473"/>
      <c r="E611" s="1164"/>
      <c r="F611" s="473"/>
      <c r="G611" s="473"/>
      <c r="H611" s="1164"/>
      <c r="I611" s="473"/>
      <c r="J611" s="473"/>
      <c r="K611" s="1164"/>
      <c r="L611" s="473"/>
      <c r="M611" s="473"/>
      <c r="N611" s="1164"/>
      <c r="O611" s="473"/>
      <c r="P611" s="473"/>
      <c r="Q611" s="1164"/>
      <c r="R611" s="473"/>
      <c r="S611" s="473"/>
      <c r="T611" s="1164"/>
      <c r="U611" s="1164"/>
      <c r="V611" s="473"/>
      <c r="W611" s="473"/>
      <c r="X611" s="1164"/>
      <c r="Y611" s="473"/>
      <c r="Z611" s="473"/>
      <c r="AA611" s="1164"/>
      <c r="AB611" s="473"/>
      <c r="AC611" s="1164"/>
      <c r="AD611" s="473"/>
      <c r="AE611" s="1164"/>
      <c r="AF611" s="473"/>
      <c r="AG611" s="1164"/>
      <c r="AH611" s="473"/>
      <c r="AI611" s="473"/>
      <c r="AJ611" s="1164"/>
      <c r="AK611" s="473"/>
      <c r="AL611" s="473"/>
      <c r="AM611" s="1164"/>
      <c r="AN611" s="473"/>
      <c r="AO611" s="473"/>
      <c r="AP611" s="1164"/>
      <c r="AQ611" s="473"/>
      <c r="AR611" s="473"/>
      <c r="AS611" s="1236"/>
      <c r="AT611" s="473"/>
      <c r="AU611" s="473"/>
      <c r="AV611" s="1164"/>
      <c r="AW611" s="1164"/>
      <c r="AX611" s="1236"/>
      <c r="AY611" s="473"/>
      <c r="AZ611" s="1236"/>
      <c r="BA611" s="473"/>
      <c r="BB611" s="473"/>
      <c r="BC611" s="1164"/>
      <c r="BD611" s="20"/>
      <c r="BE611" s="473"/>
      <c r="BF611" s="610"/>
      <c r="BG611" s="610"/>
      <c r="BH611" s="610"/>
      <c r="BI611" s="610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</row>
    <row r="612" spans="1:148" s="22" customFormat="1" x14ac:dyDescent="0.25">
      <c r="A612" s="20"/>
      <c r="B612" s="16"/>
      <c r="C612" s="473"/>
      <c r="D612" s="473"/>
      <c r="E612" s="1164"/>
      <c r="F612" s="473"/>
      <c r="G612" s="473"/>
      <c r="H612" s="1164"/>
      <c r="I612" s="473"/>
      <c r="J612" s="473"/>
      <c r="K612" s="1164"/>
      <c r="L612" s="473"/>
      <c r="M612" s="473"/>
      <c r="N612" s="1164"/>
      <c r="O612" s="473"/>
      <c r="P612" s="473"/>
      <c r="Q612" s="1164"/>
      <c r="R612" s="473"/>
      <c r="S612" s="473"/>
      <c r="T612" s="1164"/>
      <c r="U612" s="1164"/>
      <c r="V612" s="473"/>
      <c r="W612" s="473"/>
      <c r="X612" s="1164"/>
      <c r="Y612" s="473"/>
      <c r="Z612" s="473"/>
      <c r="AA612" s="1164"/>
      <c r="AB612" s="473"/>
      <c r="AC612" s="1164"/>
      <c r="AD612" s="473"/>
      <c r="AE612" s="1164"/>
      <c r="AF612" s="473"/>
      <c r="AG612" s="1164"/>
      <c r="AH612" s="473"/>
      <c r="AI612" s="473"/>
      <c r="AJ612" s="1164"/>
      <c r="AK612" s="473"/>
      <c r="AL612" s="473"/>
      <c r="AM612" s="1164"/>
      <c r="AN612" s="473"/>
      <c r="AO612" s="473"/>
      <c r="AP612" s="1164"/>
      <c r="AQ612" s="473"/>
      <c r="AR612" s="473"/>
      <c r="AS612" s="1236"/>
      <c r="AT612" s="473"/>
      <c r="AU612" s="473"/>
      <c r="AV612" s="1164"/>
      <c r="AW612" s="1164"/>
      <c r="AX612" s="1236"/>
      <c r="AY612" s="473"/>
      <c r="AZ612" s="1236"/>
      <c r="BA612" s="473"/>
      <c r="BB612" s="473"/>
      <c r="BC612" s="1164"/>
      <c r="BD612" s="20"/>
      <c r="BE612" s="473"/>
      <c r="BF612" s="610"/>
      <c r="BG612" s="610"/>
      <c r="BH612" s="610"/>
      <c r="BI612" s="610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</row>
    <row r="613" spans="1:148" s="22" customFormat="1" x14ac:dyDescent="0.25">
      <c r="A613" s="20"/>
      <c r="B613" s="16"/>
      <c r="C613" s="473"/>
      <c r="D613" s="473"/>
      <c r="E613" s="1164"/>
      <c r="F613" s="473"/>
      <c r="G613" s="473"/>
      <c r="H613" s="1164"/>
      <c r="I613" s="473"/>
      <c r="J613" s="473"/>
      <c r="K613" s="1164"/>
      <c r="L613" s="473"/>
      <c r="M613" s="473"/>
      <c r="N613" s="1164"/>
      <c r="O613" s="473"/>
      <c r="P613" s="473"/>
      <c r="Q613" s="1164"/>
      <c r="R613" s="473"/>
      <c r="S613" s="473"/>
      <c r="T613" s="1164"/>
      <c r="U613" s="1164"/>
      <c r="V613" s="473"/>
      <c r="W613" s="473"/>
      <c r="X613" s="1164"/>
      <c r="Y613" s="473"/>
      <c r="Z613" s="473"/>
      <c r="AA613" s="1164"/>
      <c r="AB613" s="473"/>
      <c r="AC613" s="1164"/>
      <c r="AD613" s="473"/>
      <c r="AE613" s="1164"/>
      <c r="AF613" s="473"/>
      <c r="AG613" s="1164"/>
      <c r="AH613" s="473"/>
      <c r="AI613" s="473"/>
      <c r="AJ613" s="1164"/>
      <c r="AK613" s="473"/>
      <c r="AL613" s="473"/>
      <c r="AM613" s="1164"/>
      <c r="AN613" s="473"/>
      <c r="AO613" s="473"/>
      <c r="AP613" s="1164"/>
      <c r="AQ613" s="473"/>
      <c r="AR613" s="473"/>
      <c r="AS613" s="1236"/>
      <c r="AT613" s="473"/>
      <c r="AU613" s="473"/>
      <c r="AV613" s="1164"/>
      <c r="AW613" s="1164"/>
      <c r="AX613" s="1236"/>
      <c r="AY613" s="473"/>
      <c r="AZ613" s="1236"/>
      <c r="BA613" s="473"/>
      <c r="BB613" s="473"/>
      <c r="BC613" s="1164"/>
      <c r="BD613" s="20"/>
      <c r="BE613" s="473"/>
      <c r="BF613" s="610"/>
      <c r="BG613" s="610"/>
      <c r="BH613" s="610"/>
      <c r="BI613" s="610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</row>
    <row r="614" spans="1:148" s="22" customFormat="1" x14ac:dyDescent="0.25">
      <c r="A614" s="20"/>
      <c r="B614" s="16"/>
      <c r="C614" s="473"/>
      <c r="D614" s="473"/>
      <c r="E614" s="1164"/>
      <c r="F614" s="473"/>
      <c r="G614" s="473"/>
      <c r="H614" s="1164"/>
      <c r="I614" s="473"/>
      <c r="J614" s="473"/>
      <c r="K614" s="1164"/>
      <c r="L614" s="473"/>
      <c r="M614" s="473"/>
      <c r="N614" s="1164"/>
      <c r="O614" s="473"/>
      <c r="P614" s="473"/>
      <c r="Q614" s="1164"/>
      <c r="R614" s="473"/>
      <c r="S614" s="473"/>
      <c r="T614" s="1164"/>
      <c r="U614" s="1164"/>
      <c r="V614" s="473"/>
      <c r="W614" s="473"/>
      <c r="X614" s="1164"/>
      <c r="Y614" s="473"/>
      <c r="Z614" s="473"/>
      <c r="AA614" s="1164"/>
      <c r="AB614" s="473"/>
      <c r="AC614" s="1164"/>
      <c r="AD614" s="473"/>
      <c r="AE614" s="1164"/>
      <c r="AF614" s="473"/>
      <c r="AG614" s="1164"/>
      <c r="AH614" s="473"/>
      <c r="AI614" s="473"/>
      <c r="AJ614" s="1164"/>
      <c r="AK614" s="473"/>
      <c r="AL614" s="473"/>
      <c r="AM614" s="1164"/>
      <c r="AN614" s="473"/>
      <c r="AO614" s="473"/>
      <c r="AP614" s="1164"/>
      <c r="AQ614" s="473"/>
      <c r="AR614" s="473"/>
      <c r="AS614" s="1236"/>
      <c r="AT614" s="473"/>
      <c r="AU614" s="473"/>
      <c r="AV614" s="1164"/>
      <c r="AW614" s="1164"/>
      <c r="AX614" s="1236"/>
      <c r="AY614" s="473"/>
      <c r="AZ614" s="1236"/>
      <c r="BA614" s="473"/>
      <c r="BB614" s="473"/>
      <c r="BC614" s="1164"/>
      <c r="BD614" s="20"/>
      <c r="BE614" s="473"/>
      <c r="BF614" s="610"/>
      <c r="BG614" s="610"/>
      <c r="BH614" s="610"/>
      <c r="BI614" s="610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</row>
    <row r="615" spans="1:148" s="22" customFormat="1" x14ac:dyDescent="0.25">
      <c r="A615" s="20"/>
      <c r="B615" s="16"/>
      <c r="C615" s="473"/>
      <c r="D615" s="473"/>
      <c r="E615" s="1164"/>
      <c r="F615" s="473"/>
      <c r="G615" s="473"/>
      <c r="H615" s="1164"/>
      <c r="I615" s="473"/>
      <c r="J615" s="473"/>
      <c r="K615" s="1164"/>
      <c r="L615" s="473"/>
      <c r="M615" s="473"/>
      <c r="N615" s="1164"/>
      <c r="O615" s="473"/>
      <c r="P615" s="473"/>
      <c r="Q615" s="1164"/>
      <c r="R615" s="473"/>
      <c r="S615" s="473"/>
      <c r="T615" s="1164"/>
      <c r="U615" s="1164"/>
      <c r="V615" s="473"/>
      <c r="W615" s="473"/>
      <c r="X615" s="1164"/>
      <c r="Y615" s="473"/>
      <c r="Z615" s="473"/>
      <c r="AA615" s="1164"/>
      <c r="AB615" s="473"/>
      <c r="AC615" s="1164"/>
      <c r="AD615" s="473"/>
      <c r="AE615" s="1164"/>
      <c r="AF615" s="473"/>
      <c r="AG615" s="1164"/>
      <c r="AH615" s="473"/>
      <c r="AI615" s="473"/>
      <c r="AJ615" s="1164"/>
      <c r="AK615" s="473"/>
      <c r="AL615" s="473"/>
      <c r="AM615" s="1164"/>
      <c r="AN615" s="473"/>
      <c r="AO615" s="473"/>
      <c r="AP615" s="1164"/>
      <c r="AQ615" s="473"/>
      <c r="AR615" s="473"/>
      <c r="AS615" s="1236"/>
      <c r="AT615" s="473"/>
      <c r="AU615" s="473"/>
      <c r="AV615" s="1164"/>
      <c r="AW615" s="1164"/>
      <c r="AX615" s="1236"/>
      <c r="AY615" s="473"/>
      <c r="AZ615" s="1236"/>
      <c r="BA615" s="473"/>
      <c r="BB615" s="473"/>
      <c r="BC615" s="1164"/>
      <c r="BD615" s="20"/>
      <c r="BE615" s="473"/>
      <c r="BF615" s="610"/>
      <c r="BG615" s="610"/>
      <c r="BH615" s="610"/>
      <c r="BI615" s="610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</row>
    <row r="616" spans="1:148" s="22" customFormat="1" x14ac:dyDescent="0.25">
      <c r="A616" s="20"/>
      <c r="B616" s="16"/>
      <c r="C616" s="473"/>
      <c r="D616" s="473"/>
      <c r="E616" s="1164"/>
      <c r="F616" s="473"/>
      <c r="G616" s="473"/>
      <c r="H616" s="1164"/>
      <c r="I616" s="473"/>
      <c r="J616" s="473"/>
      <c r="K616" s="1164"/>
      <c r="L616" s="473"/>
      <c r="M616" s="473"/>
      <c r="N616" s="1164"/>
      <c r="O616" s="473"/>
      <c r="P616" s="473"/>
      <c r="Q616" s="1164"/>
      <c r="R616" s="473"/>
      <c r="S616" s="473"/>
      <c r="T616" s="1164"/>
      <c r="U616" s="1164"/>
      <c r="V616" s="473"/>
      <c r="W616" s="473"/>
      <c r="X616" s="1164"/>
      <c r="Y616" s="473"/>
      <c r="Z616" s="473"/>
      <c r="AA616" s="1164"/>
      <c r="AB616" s="473"/>
      <c r="AC616" s="1164"/>
      <c r="AD616" s="473"/>
      <c r="AE616" s="1164"/>
      <c r="AF616" s="473"/>
      <c r="AG616" s="1164"/>
      <c r="AH616" s="473"/>
      <c r="AI616" s="473"/>
      <c r="AJ616" s="1164"/>
      <c r="AK616" s="473"/>
      <c r="AL616" s="473"/>
      <c r="AM616" s="1164"/>
      <c r="AN616" s="473"/>
      <c r="AO616" s="473"/>
      <c r="AP616" s="1164"/>
      <c r="AQ616" s="473"/>
      <c r="AR616" s="473"/>
      <c r="AS616" s="1236"/>
      <c r="AT616" s="473"/>
      <c r="AU616" s="473"/>
      <c r="AV616" s="1164"/>
      <c r="AW616" s="1164"/>
      <c r="AX616" s="1236"/>
      <c r="AY616" s="473"/>
      <c r="AZ616" s="1236"/>
      <c r="BA616" s="473"/>
      <c r="BB616" s="473"/>
      <c r="BC616" s="1164"/>
      <c r="BD616" s="20"/>
      <c r="BE616" s="473"/>
      <c r="BF616" s="610"/>
      <c r="BG616" s="610"/>
      <c r="BH616" s="610"/>
      <c r="BI616" s="610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</row>
    <row r="617" spans="1:148" s="22" customFormat="1" x14ac:dyDescent="0.25">
      <c r="A617" s="20"/>
      <c r="B617" s="16"/>
      <c r="C617" s="473"/>
      <c r="D617" s="473"/>
      <c r="E617" s="1164"/>
      <c r="F617" s="473"/>
      <c r="G617" s="473"/>
      <c r="H617" s="1164"/>
      <c r="I617" s="473"/>
      <c r="J617" s="473"/>
      <c r="K617" s="1164"/>
      <c r="L617" s="473"/>
      <c r="M617" s="473"/>
      <c r="N617" s="1164"/>
      <c r="O617" s="473"/>
      <c r="P617" s="473"/>
      <c r="Q617" s="1164"/>
      <c r="R617" s="473"/>
      <c r="S617" s="473"/>
      <c r="T617" s="1164"/>
      <c r="U617" s="1164"/>
      <c r="V617" s="473"/>
      <c r="W617" s="473"/>
      <c r="X617" s="1164"/>
      <c r="Y617" s="473"/>
      <c r="Z617" s="473"/>
      <c r="AA617" s="1164"/>
      <c r="AB617" s="473"/>
      <c r="AC617" s="1164"/>
      <c r="AD617" s="473"/>
      <c r="AE617" s="1164"/>
      <c r="AF617" s="473"/>
      <c r="AG617" s="1164"/>
      <c r="AH617" s="473"/>
      <c r="AI617" s="473"/>
      <c r="AJ617" s="1164"/>
      <c r="AK617" s="473"/>
      <c r="AL617" s="473"/>
      <c r="AM617" s="1164"/>
      <c r="AN617" s="473"/>
      <c r="AO617" s="473"/>
      <c r="AP617" s="1164"/>
      <c r="AQ617" s="473"/>
      <c r="AR617" s="473"/>
      <c r="AS617" s="1236"/>
      <c r="AT617" s="473"/>
      <c r="AU617" s="473"/>
      <c r="AV617" s="1164"/>
      <c r="AW617" s="1164"/>
      <c r="AX617" s="1236"/>
      <c r="AY617" s="473"/>
      <c r="AZ617" s="1236"/>
      <c r="BA617" s="473"/>
      <c r="BB617" s="473"/>
      <c r="BC617" s="1164"/>
      <c r="BD617" s="20"/>
      <c r="BE617" s="473"/>
      <c r="BF617" s="610"/>
      <c r="BG617" s="610"/>
      <c r="BH617" s="610"/>
      <c r="BI617" s="610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</row>
    <row r="618" spans="1:148" s="22" customFormat="1" x14ac:dyDescent="0.25">
      <c r="A618" s="20"/>
      <c r="B618" s="16"/>
      <c r="C618" s="473"/>
      <c r="D618" s="473"/>
      <c r="E618" s="1164"/>
      <c r="F618" s="473"/>
      <c r="G618" s="473"/>
      <c r="H618" s="1164"/>
      <c r="I618" s="473"/>
      <c r="J618" s="473"/>
      <c r="K618" s="1164"/>
      <c r="L618" s="473"/>
      <c r="M618" s="473"/>
      <c r="N618" s="1164"/>
      <c r="O618" s="473"/>
      <c r="P618" s="473"/>
      <c r="Q618" s="1164"/>
      <c r="R618" s="473"/>
      <c r="S618" s="473"/>
      <c r="T618" s="1164"/>
      <c r="U618" s="1164"/>
      <c r="V618" s="473"/>
      <c r="W618" s="473"/>
      <c r="X618" s="1164"/>
      <c r="Y618" s="473"/>
      <c r="Z618" s="473"/>
      <c r="AA618" s="1164"/>
      <c r="AB618" s="473"/>
      <c r="AC618" s="1164"/>
      <c r="AD618" s="473"/>
      <c r="AE618" s="1164"/>
      <c r="AF618" s="473"/>
      <c r="AG618" s="1164"/>
      <c r="AH618" s="473"/>
      <c r="AI618" s="473"/>
      <c r="AJ618" s="1164"/>
      <c r="AK618" s="473"/>
      <c r="AL618" s="473"/>
      <c r="AM618" s="1164"/>
      <c r="AN618" s="473"/>
      <c r="AO618" s="473"/>
      <c r="AP618" s="1164"/>
      <c r="AQ618" s="473"/>
      <c r="AR618" s="473"/>
      <c r="AS618" s="1236"/>
      <c r="AT618" s="473"/>
      <c r="AU618" s="473"/>
      <c r="AV618" s="1164"/>
      <c r="AW618" s="1164"/>
      <c r="AX618" s="1236"/>
      <c r="AY618" s="473"/>
      <c r="AZ618" s="1236"/>
      <c r="BA618" s="473"/>
      <c r="BB618" s="473"/>
      <c r="BC618" s="1164"/>
      <c r="BD618" s="20"/>
      <c r="BE618" s="473"/>
      <c r="BF618" s="610"/>
      <c r="BG618" s="610"/>
      <c r="BH618" s="610"/>
      <c r="BI618" s="610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</row>
    <row r="619" spans="1:148" s="22" customFormat="1" x14ac:dyDescent="0.25">
      <c r="A619" s="20"/>
      <c r="B619" s="16"/>
      <c r="C619" s="473"/>
      <c r="D619" s="473"/>
      <c r="E619" s="1164"/>
      <c r="F619" s="473"/>
      <c r="G619" s="473"/>
      <c r="H619" s="1164"/>
      <c r="I619" s="473"/>
      <c r="J619" s="473"/>
      <c r="K619" s="1164"/>
      <c r="L619" s="473"/>
      <c r="M619" s="473"/>
      <c r="N619" s="1164"/>
      <c r="O619" s="473"/>
      <c r="P619" s="473"/>
      <c r="Q619" s="1164"/>
      <c r="R619" s="473"/>
      <c r="S619" s="473"/>
      <c r="T619" s="1164"/>
      <c r="U619" s="1164"/>
      <c r="V619" s="473"/>
      <c r="W619" s="473"/>
      <c r="X619" s="1164"/>
      <c r="Y619" s="473"/>
      <c r="Z619" s="473"/>
      <c r="AA619" s="1164"/>
      <c r="AB619" s="473"/>
      <c r="AC619" s="1164"/>
      <c r="AD619" s="473"/>
      <c r="AE619" s="1164"/>
      <c r="AF619" s="473"/>
      <c r="AG619" s="1164"/>
      <c r="AH619" s="473"/>
      <c r="AI619" s="473"/>
      <c r="AJ619" s="1164"/>
      <c r="AK619" s="473"/>
      <c r="AL619" s="473"/>
      <c r="AM619" s="1164"/>
      <c r="AN619" s="473"/>
      <c r="AO619" s="473"/>
      <c r="AP619" s="1164"/>
      <c r="AQ619" s="473"/>
      <c r="AR619" s="473"/>
      <c r="AS619" s="1236"/>
      <c r="AT619" s="473"/>
      <c r="AU619" s="473"/>
      <c r="AV619" s="1164"/>
      <c r="AW619" s="1164"/>
      <c r="AX619" s="1236"/>
      <c r="AY619" s="473"/>
      <c r="AZ619" s="1236"/>
      <c r="BA619" s="473"/>
      <c r="BB619" s="473"/>
      <c r="BC619" s="1164"/>
      <c r="BD619" s="20"/>
      <c r="BE619" s="473"/>
      <c r="BF619" s="610"/>
      <c r="BG619" s="610"/>
      <c r="BH619" s="610"/>
      <c r="BI619" s="610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</row>
    <row r="620" spans="1:148" s="22" customFormat="1" x14ac:dyDescent="0.25">
      <c r="A620" s="20"/>
      <c r="B620" s="16"/>
      <c r="C620" s="473"/>
      <c r="D620" s="473"/>
      <c r="E620" s="1164"/>
      <c r="F620" s="473"/>
      <c r="G620" s="473"/>
      <c r="H620" s="1164"/>
      <c r="I620" s="473"/>
      <c r="J620" s="473"/>
      <c r="K620" s="1164"/>
      <c r="L620" s="473"/>
      <c r="M620" s="473"/>
      <c r="N620" s="1164"/>
      <c r="O620" s="473"/>
      <c r="P620" s="473"/>
      <c r="Q620" s="1164"/>
      <c r="R620" s="473"/>
      <c r="S620" s="473"/>
      <c r="T620" s="1164"/>
      <c r="U620" s="1164"/>
      <c r="V620" s="473"/>
      <c r="W620" s="473"/>
      <c r="X620" s="1164"/>
      <c r="Y620" s="473"/>
      <c r="Z620" s="473"/>
      <c r="AA620" s="1164"/>
      <c r="AB620" s="473"/>
      <c r="AC620" s="1164"/>
      <c r="AD620" s="473"/>
      <c r="AE620" s="1164"/>
      <c r="AF620" s="473"/>
      <c r="AG620" s="1164"/>
      <c r="AH620" s="473"/>
      <c r="AI620" s="473"/>
      <c r="AJ620" s="1164"/>
      <c r="AK620" s="473"/>
      <c r="AL620" s="473"/>
      <c r="AM620" s="1164"/>
      <c r="AN620" s="473"/>
      <c r="AO620" s="473"/>
      <c r="AP620" s="1164"/>
      <c r="AQ620" s="473"/>
      <c r="AR620" s="473"/>
      <c r="AS620" s="1236"/>
      <c r="AT620" s="473"/>
      <c r="AU620" s="473"/>
      <c r="AV620" s="1164"/>
      <c r="AW620" s="1164"/>
      <c r="AX620" s="1236"/>
      <c r="AY620" s="473"/>
      <c r="AZ620" s="1236"/>
      <c r="BA620" s="473"/>
      <c r="BB620" s="473"/>
      <c r="BC620" s="1164"/>
      <c r="BD620" s="20"/>
      <c r="BE620" s="473"/>
      <c r="BF620" s="610"/>
      <c r="BG620" s="610"/>
      <c r="BH620" s="610"/>
      <c r="BI620" s="610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</row>
    <row r="621" spans="1:148" s="22" customFormat="1" x14ac:dyDescent="0.25">
      <c r="A621" s="20"/>
      <c r="B621" s="16"/>
      <c r="C621" s="473"/>
      <c r="D621" s="473"/>
      <c r="E621" s="1164"/>
      <c r="F621" s="473"/>
      <c r="G621" s="473"/>
      <c r="H621" s="1164"/>
      <c r="I621" s="473"/>
      <c r="J621" s="473"/>
      <c r="K621" s="1164"/>
      <c r="L621" s="473"/>
      <c r="M621" s="473"/>
      <c r="N621" s="1164"/>
      <c r="O621" s="473"/>
      <c r="P621" s="473"/>
      <c r="Q621" s="1164"/>
      <c r="R621" s="473"/>
      <c r="S621" s="473"/>
      <c r="T621" s="1164"/>
      <c r="U621" s="1164"/>
      <c r="V621" s="473"/>
      <c r="W621" s="473"/>
      <c r="X621" s="1164"/>
      <c r="Y621" s="473"/>
      <c r="Z621" s="473"/>
      <c r="AA621" s="1164"/>
      <c r="AB621" s="473"/>
      <c r="AC621" s="1164"/>
      <c r="AD621" s="473"/>
      <c r="AE621" s="1164"/>
      <c r="AF621" s="473"/>
      <c r="AG621" s="1164"/>
      <c r="AH621" s="473"/>
      <c r="AI621" s="473"/>
      <c r="AJ621" s="1164"/>
      <c r="AK621" s="473"/>
      <c r="AL621" s="473"/>
      <c r="AM621" s="1164"/>
      <c r="AN621" s="473"/>
      <c r="AO621" s="473"/>
      <c r="AP621" s="1164"/>
      <c r="AQ621" s="473"/>
      <c r="AR621" s="473"/>
      <c r="AS621" s="1236"/>
      <c r="AT621" s="473"/>
      <c r="AU621" s="473"/>
      <c r="AV621" s="1164"/>
      <c r="AW621" s="1164"/>
      <c r="AX621" s="1236"/>
      <c r="AY621" s="473"/>
      <c r="AZ621" s="1236"/>
      <c r="BA621" s="473"/>
      <c r="BB621" s="473"/>
      <c r="BC621" s="1164"/>
      <c r="BD621" s="20"/>
      <c r="BE621" s="473"/>
      <c r="BF621" s="610"/>
      <c r="BG621" s="610"/>
      <c r="BH621" s="610"/>
      <c r="BI621" s="610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</row>
    <row r="622" spans="1:148" s="22" customFormat="1" x14ac:dyDescent="0.25">
      <c r="A622" s="20"/>
      <c r="B622" s="16"/>
      <c r="C622" s="473"/>
      <c r="D622" s="473"/>
      <c r="E622" s="1164"/>
      <c r="F622" s="473"/>
      <c r="G622" s="473"/>
      <c r="H622" s="1164"/>
      <c r="I622" s="473"/>
      <c r="J622" s="473"/>
      <c r="K622" s="1164"/>
      <c r="L622" s="473"/>
      <c r="M622" s="473"/>
      <c r="N622" s="1164"/>
      <c r="O622" s="473"/>
      <c r="P622" s="473"/>
      <c r="Q622" s="1164"/>
      <c r="R622" s="473"/>
      <c r="S622" s="473"/>
      <c r="T622" s="1164"/>
      <c r="U622" s="1164"/>
      <c r="V622" s="473"/>
      <c r="W622" s="473"/>
      <c r="X622" s="1164"/>
      <c r="Y622" s="473"/>
      <c r="Z622" s="473"/>
      <c r="AA622" s="1164"/>
      <c r="AB622" s="473"/>
      <c r="AC622" s="1164"/>
      <c r="AD622" s="473"/>
      <c r="AE622" s="1164"/>
      <c r="AF622" s="473"/>
      <c r="AG622" s="1164"/>
      <c r="AH622" s="473"/>
      <c r="AI622" s="473"/>
      <c r="AJ622" s="1164"/>
      <c r="AK622" s="473"/>
      <c r="AL622" s="473"/>
      <c r="AM622" s="1164"/>
      <c r="AN622" s="473"/>
      <c r="AO622" s="473"/>
      <c r="AP622" s="1164"/>
      <c r="AQ622" s="473"/>
      <c r="AR622" s="473"/>
      <c r="AS622" s="1236"/>
      <c r="AT622" s="473"/>
      <c r="AU622" s="473"/>
      <c r="AV622" s="1164"/>
      <c r="AW622" s="1164"/>
      <c r="AX622" s="1236"/>
      <c r="AY622" s="473"/>
      <c r="AZ622" s="1236"/>
      <c r="BA622" s="473"/>
      <c r="BB622" s="473"/>
      <c r="BC622" s="1164"/>
      <c r="BD622" s="20"/>
      <c r="BE622" s="473"/>
      <c r="BF622" s="610"/>
      <c r="BG622" s="610"/>
      <c r="BH622" s="610"/>
      <c r="BI622" s="610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</row>
    <row r="623" spans="1:148" s="22" customFormat="1" x14ac:dyDescent="0.25">
      <c r="A623" s="20"/>
      <c r="B623" s="16"/>
      <c r="C623" s="473"/>
      <c r="D623" s="473"/>
      <c r="E623" s="1164"/>
      <c r="F623" s="473"/>
      <c r="G623" s="473"/>
      <c r="H623" s="1164"/>
      <c r="I623" s="473"/>
      <c r="J623" s="473"/>
      <c r="K623" s="1164"/>
      <c r="L623" s="473"/>
      <c r="M623" s="473"/>
      <c r="N623" s="1164"/>
      <c r="O623" s="473"/>
      <c r="P623" s="473"/>
      <c r="Q623" s="1164"/>
      <c r="R623" s="473"/>
      <c r="S623" s="473"/>
      <c r="T623" s="1164"/>
      <c r="U623" s="1164"/>
      <c r="V623" s="473"/>
      <c r="W623" s="473"/>
      <c r="X623" s="1164"/>
      <c r="Y623" s="473"/>
      <c r="Z623" s="473"/>
      <c r="AA623" s="1164"/>
      <c r="AB623" s="473"/>
      <c r="AC623" s="1164"/>
      <c r="AD623" s="473"/>
      <c r="AE623" s="1164"/>
      <c r="AF623" s="473"/>
      <c r="AG623" s="1164"/>
      <c r="AH623" s="473"/>
      <c r="AI623" s="473"/>
      <c r="AJ623" s="1164"/>
      <c r="AK623" s="473"/>
      <c r="AL623" s="473"/>
      <c r="AM623" s="1164"/>
      <c r="AN623" s="473"/>
      <c r="AO623" s="473"/>
      <c r="AP623" s="1164"/>
      <c r="AQ623" s="473"/>
      <c r="AR623" s="473"/>
      <c r="AS623" s="1236"/>
      <c r="AT623" s="473"/>
      <c r="AU623" s="473"/>
      <c r="AV623" s="1164"/>
      <c r="AW623" s="1164"/>
      <c r="AX623" s="1236"/>
      <c r="AY623" s="473"/>
      <c r="AZ623" s="1236"/>
      <c r="BA623" s="473"/>
      <c r="BB623" s="473"/>
      <c r="BC623" s="1164"/>
      <c r="BD623" s="20"/>
      <c r="BE623" s="473"/>
      <c r="BF623" s="610"/>
      <c r="BG623" s="610"/>
      <c r="BH623" s="610"/>
      <c r="BI623" s="610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</row>
    <row r="624" spans="1:148" s="22" customFormat="1" x14ac:dyDescent="0.25">
      <c r="A624" s="20"/>
      <c r="B624" s="16"/>
      <c r="C624" s="473"/>
      <c r="D624" s="473"/>
      <c r="E624" s="1164"/>
      <c r="F624" s="473"/>
      <c r="G624" s="473"/>
      <c r="H624" s="1164"/>
      <c r="I624" s="473"/>
      <c r="J624" s="473"/>
      <c r="K624" s="1164"/>
      <c r="L624" s="473"/>
      <c r="M624" s="473"/>
      <c r="N624" s="1164"/>
      <c r="O624" s="473"/>
      <c r="P624" s="473"/>
      <c r="Q624" s="1164"/>
      <c r="R624" s="473"/>
      <c r="S624" s="473"/>
      <c r="T624" s="1164"/>
      <c r="U624" s="1164"/>
      <c r="V624" s="473"/>
      <c r="W624" s="473"/>
      <c r="X624" s="1164"/>
      <c r="Y624" s="473"/>
      <c r="Z624" s="473"/>
      <c r="AA624" s="1164"/>
      <c r="AB624" s="473"/>
      <c r="AC624" s="1164"/>
      <c r="AD624" s="473"/>
      <c r="AE624" s="1164"/>
      <c r="AF624" s="473"/>
      <c r="AG624" s="1164"/>
      <c r="AH624" s="473"/>
      <c r="AI624" s="473"/>
      <c r="AJ624" s="1164"/>
      <c r="AK624" s="473"/>
      <c r="AL624" s="473"/>
      <c r="AM624" s="1164"/>
      <c r="AN624" s="473"/>
      <c r="AO624" s="473"/>
      <c r="AP624" s="1164"/>
      <c r="AQ624" s="473"/>
      <c r="AR624" s="473"/>
      <c r="AS624" s="1236"/>
      <c r="AT624" s="473"/>
      <c r="AU624" s="473"/>
      <c r="AV624" s="1164"/>
      <c r="AW624" s="1164"/>
      <c r="AX624" s="1236"/>
      <c r="AY624" s="473"/>
      <c r="AZ624" s="1236"/>
      <c r="BA624" s="473"/>
      <c r="BB624" s="473"/>
      <c r="BC624" s="1164"/>
      <c r="BD624" s="20"/>
      <c r="BE624" s="473"/>
      <c r="BF624" s="610"/>
      <c r="BG624" s="610"/>
      <c r="BH624" s="610"/>
      <c r="BI624" s="610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</row>
    <row r="625" spans="1:148" s="22" customFormat="1" x14ac:dyDescent="0.25">
      <c r="A625" s="20"/>
      <c r="B625" s="16"/>
      <c r="C625" s="473"/>
      <c r="D625" s="473"/>
      <c r="E625" s="1164"/>
      <c r="F625" s="473"/>
      <c r="G625" s="473"/>
      <c r="H625" s="1164"/>
      <c r="I625" s="473"/>
      <c r="J625" s="473"/>
      <c r="K625" s="1164"/>
      <c r="L625" s="473"/>
      <c r="M625" s="473"/>
      <c r="N625" s="1164"/>
      <c r="O625" s="473"/>
      <c r="P625" s="473"/>
      <c r="Q625" s="1164"/>
      <c r="R625" s="473"/>
      <c r="S625" s="473"/>
      <c r="T625" s="1164"/>
      <c r="U625" s="1164"/>
      <c r="V625" s="473"/>
      <c r="W625" s="473"/>
      <c r="X625" s="1164"/>
      <c r="Y625" s="473"/>
      <c r="Z625" s="473"/>
      <c r="AA625" s="1164"/>
      <c r="AB625" s="473"/>
      <c r="AC625" s="1164"/>
      <c r="AD625" s="473"/>
      <c r="AE625" s="1164"/>
      <c r="AF625" s="473"/>
      <c r="AG625" s="1164"/>
      <c r="AH625" s="473"/>
      <c r="AI625" s="473"/>
      <c r="AJ625" s="1164"/>
      <c r="AK625" s="473"/>
      <c r="AL625" s="473"/>
      <c r="AM625" s="1164"/>
      <c r="AN625" s="473"/>
      <c r="AO625" s="473"/>
      <c r="AP625" s="1164"/>
      <c r="AQ625" s="473"/>
      <c r="AR625" s="473"/>
      <c r="AS625" s="1236"/>
      <c r="AT625" s="473"/>
      <c r="AU625" s="473"/>
      <c r="AV625" s="1164"/>
      <c r="AW625" s="1164"/>
      <c r="AX625" s="1236"/>
      <c r="AY625" s="473"/>
      <c r="AZ625" s="1236"/>
      <c r="BA625" s="473"/>
      <c r="BB625" s="473"/>
      <c r="BC625" s="1164"/>
      <c r="BD625" s="20"/>
      <c r="BE625" s="473"/>
      <c r="BF625" s="610"/>
      <c r="BG625" s="610"/>
      <c r="BH625" s="610"/>
      <c r="BI625" s="610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</row>
    <row r="626" spans="1:148" s="22" customFormat="1" x14ac:dyDescent="0.25">
      <c r="A626" s="20"/>
      <c r="B626" s="16"/>
      <c r="C626" s="473"/>
      <c r="D626" s="473"/>
      <c r="E626" s="1164"/>
      <c r="F626" s="473"/>
      <c r="G626" s="473"/>
      <c r="H626" s="1164"/>
      <c r="I626" s="473"/>
      <c r="J626" s="473"/>
      <c r="K626" s="1164"/>
      <c r="L626" s="473"/>
      <c r="M626" s="473"/>
      <c r="N626" s="1164"/>
      <c r="O626" s="473"/>
      <c r="P626" s="473"/>
      <c r="Q626" s="1164"/>
      <c r="R626" s="473"/>
      <c r="S626" s="473"/>
      <c r="T626" s="1164"/>
      <c r="U626" s="1164"/>
      <c r="V626" s="473"/>
      <c r="W626" s="473"/>
      <c r="X626" s="1164"/>
      <c r="Y626" s="473"/>
      <c r="Z626" s="473"/>
      <c r="AA626" s="1164"/>
      <c r="AB626" s="473"/>
      <c r="AC626" s="1164"/>
      <c r="AD626" s="473"/>
      <c r="AE626" s="1164"/>
      <c r="AF626" s="473"/>
      <c r="AG626" s="1164"/>
      <c r="AH626" s="473"/>
      <c r="AI626" s="473"/>
      <c r="AJ626" s="1164"/>
      <c r="AK626" s="473"/>
      <c r="AL626" s="473"/>
      <c r="AM626" s="1164"/>
      <c r="AN626" s="473"/>
      <c r="AO626" s="473"/>
      <c r="AP626" s="1164"/>
      <c r="AQ626" s="473"/>
      <c r="AR626" s="473"/>
      <c r="AS626" s="1236"/>
      <c r="AT626" s="473"/>
      <c r="AU626" s="473"/>
      <c r="AV626" s="1164"/>
      <c r="AW626" s="1164"/>
      <c r="AX626" s="1236"/>
      <c r="AY626" s="473"/>
      <c r="AZ626" s="1236"/>
      <c r="BA626" s="473"/>
      <c r="BB626" s="473"/>
      <c r="BC626" s="1164"/>
      <c r="BD626" s="20"/>
      <c r="BE626" s="473"/>
      <c r="BF626" s="610"/>
      <c r="BG626" s="610"/>
      <c r="BH626" s="610"/>
      <c r="BI626" s="610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</row>
    <row r="627" spans="1:148" s="22" customFormat="1" x14ac:dyDescent="0.25">
      <c r="A627" s="20"/>
      <c r="B627" s="16"/>
      <c r="C627" s="473"/>
      <c r="D627" s="473"/>
      <c r="E627" s="1164"/>
      <c r="F627" s="473"/>
      <c r="G627" s="473"/>
      <c r="H627" s="1164"/>
      <c r="I627" s="473"/>
      <c r="J627" s="473"/>
      <c r="K627" s="1164"/>
      <c r="L627" s="473"/>
      <c r="M627" s="473"/>
      <c r="N627" s="1164"/>
      <c r="O627" s="473"/>
      <c r="P627" s="473"/>
      <c r="Q627" s="1164"/>
      <c r="R627" s="473"/>
      <c r="S627" s="473"/>
      <c r="T627" s="1164"/>
      <c r="U627" s="1164"/>
      <c r="V627" s="473"/>
      <c r="W627" s="473"/>
      <c r="X627" s="1164"/>
      <c r="Y627" s="473"/>
      <c r="Z627" s="473"/>
      <c r="AA627" s="1164"/>
      <c r="AB627" s="473"/>
      <c r="AC627" s="1164"/>
      <c r="AD627" s="473"/>
      <c r="AE627" s="1164"/>
      <c r="AF627" s="473"/>
      <c r="AG627" s="1164"/>
      <c r="AH627" s="473"/>
      <c r="AI627" s="473"/>
      <c r="AJ627" s="1164"/>
      <c r="AK627" s="473"/>
      <c r="AL627" s="473"/>
      <c r="AM627" s="1164"/>
      <c r="AN627" s="473"/>
      <c r="AO627" s="473"/>
      <c r="AP627" s="1164"/>
      <c r="AQ627" s="473"/>
      <c r="AR627" s="473"/>
      <c r="AS627" s="1236"/>
      <c r="AT627" s="473"/>
      <c r="AU627" s="473"/>
      <c r="AV627" s="1164"/>
      <c r="AW627" s="1164"/>
      <c r="AX627" s="1236"/>
      <c r="AY627" s="473"/>
      <c r="AZ627" s="1236"/>
      <c r="BA627" s="473"/>
      <c r="BB627" s="473"/>
      <c r="BC627" s="1164"/>
      <c r="BD627" s="20"/>
      <c r="BE627" s="473"/>
      <c r="BF627" s="610"/>
      <c r="BG627" s="610"/>
      <c r="BH627" s="610"/>
      <c r="BI627" s="610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</row>
    <row r="628" spans="1:148" s="22" customFormat="1" x14ac:dyDescent="0.25">
      <c r="A628" s="20"/>
      <c r="B628" s="16"/>
      <c r="C628" s="473"/>
      <c r="D628" s="473"/>
      <c r="E628" s="1164"/>
      <c r="F628" s="473"/>
      <c r="G628" s="473"/>
      <c r="H628" s="1164"/>
      <c r="I628" s="473"/>
      <c r="J628" s="473"/>
      <c r="K628" s="1164"/>
      <c r="L628" s="473"/>
      <c r="M628" s="473"/>
      <c r="N628" s="1164"/>
      <c r="O628" s="473"/>
      <c r="P628" s="473"/>
      <c r="Q628" s="1164"/>
      <c r="R628" s="473"/>
      <c r="S628" s="473"/>
      <c r="T628" s="1164"/>
      <c r="U628" s="1164"/>
      <c r="V628" s="473"/>
      <c r="W628" s="473"/>
      <c r="X628" s="1164"/>
      <c r="Y628" s="473"/>
      <c r="Z628" s="473"/>
      <c r="AA628" s="1164"/>
      <c r="AB628" s="473"/>
      <c r="AC628" s="1164"/>
      <c r="AD628" s="473"/>
      <c r="AE628" s="1164"/>
      <c r="AF628" s="473"/>
      <c r="AG628" s="1164"/>
      <c r="AH628" s="473"/>
      <c r="AI628" s="473"/>
      <c r="AJ628" s="1164"/>
      <c r="AK628" s="473"/>
      <c r="AL628" s="473"/>
      <c r="AM628" s="1164"/>
      <c r="AN628" s="473"/>
      <c r="AO628" s="473"/>
      <c r="AP628" s="1164"/>
      <c r="AQ628" s="473"/>
      <c r="AR628" s="473"/>
      <c r="AS628" s="1236"/>
      <c r="AT628" s="473"/>
      <c r="AU628" s="473"/>
      <c r="AV628" s="1164"/>
      <c r="AW628" s="1164"/>
      <c r="AX628" s="1236"/>
      <c r="AY628" s="473"/>
      <c r="AZ628" s="1236"/>
      <c r="BA628" s="473"/>
      <c r="BB628" s="473"/>
      <c r="BC628" s="1164"/>
      <c r="BD628" s="20"/>
      <c r="BE628" s="473"/>
      <c r="BF628" s="610"/>
      <c r="BG628" s="610"/>
      <c r="BH628" s="610"/>
      <c r="BI628" s="610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</row>
    <row r="629" spans="1:148" s="22" customFormat="1" x14ac:dyDescent="0.25">
      <c r="A629" s="20"/>
      <c r="B629" s="16"/>
      <c r="C629" s="473"/>
      <c r="D629" s="473"/>
      <c r="E629" s="1164"/>
      <c r="F629" s="473"/>
      <c r="G629" s="473"/>
      <c r="H629" s="1164"/>
      <c r="I629" s="473"/>
      <c r="J629" s="473"/>
      <c r="K629" s="1164"/>
      <c r="L629" s="473"/>
      <c r="M629" s="473"/>
      <c r="N629" s="1164"/>
      <c r="O629" s="473"/>
      <c r="P629" s="473"/>
      <c r="Q629" s="1164"/>
      <c r="R629" s="473"/>
      <c r="S629" s="473"/>
      <c r="T629" s="1164"/>
      <c r="U629" s="1164"/>
      <c r="V629" s="473"/>
      <c r="W629" s="473"/>
      <c r="X629" s="1164"/>
      <c r="Y629" s="473"/>
      <c r="Z629" s="473"/>
      <c r="AA629" s="1164"/>
      <c r="AB629" s="473"/>
      <c r="AC629" s="1164"/>
      <c r="AD629" s="473"/>
      <c r="AE629" s="1164"/>
      <c r="AF629" s="473"/>
      <c r="AG629" s="1164"/>
      <c r="AH629" s="473"/>
      <c r="AI629" s="473"/>
      <c r="AJ629" s="1164"/>
      <c r="AK629" s="473"/>
      <c r="AL629" s="473"/>
      <c r="AM629" s="1164"/>
      <c r="AN629" s="473"/>
      <c r="AO629" s="473"/>
      <c r="AP629" s="1164"/>
      <c r="AQ629" s="473"/>
      <c r="AR629" s="473"/>
      <c r="AS629" s="1236"/>
      <c r="AT629" s="473"/>
      <c r="AU629" s="473"/>
      <c r="AV629" s="1164"/>
      <c r="AW629" s="1164"/>
      <c r="AX629" s="1236"/>
      <c r="AY629" s="473"/>
      <c r="AZ629" s="1236"/>
      <c r="BA629" s="473"/>
      <c r="BB629" s="473"/>
      <c r="BC629" s="1164"/>
      <c r="BD629" s="20"/>
      <c r="BE629" s="473"/>
      <c r="BF629" s="610"/>
      <c r="BG629" s="610"/>
      <c r="BH629" s="610"/>
      <c r="BI629" s="610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</row>
    <row r="630" spans="1:148" s="22" customFormat="1" x14ac:dyDescent="0.25">
      <c r="A630" s="20"/>
      <c r="B630" s="16"/>
      <c r="C630" s="473"/>
      <c r="D630" s="473"/>
      <c r="E630" s="1164"/>
      <c r="F630" s="473"/>
      <c r="G630" s="473"/>
      <c r="H630" s="1164"/>
      <c r="I630" s="473"/>
      <c r="J630" s="473"/>
      <c r="K630" s="1164"/>
      <c r="L630" s="473"/>
      <c r="M630" s="473"/>
      <c r="N630" s="1164"/>
      <c r="O630" s="473"/>
      <c r="P630" s="473"/>
      <c r="Q630" s="1164"/>
      <c r="R630" s="473"/>
      <c r="S630" s="473"/>
      <c r="T630" s="1164"/>
      <c r="U630" s="1164"/>
      <c r="V630" s="473"/>
      <c r="W630" s="473"/>
      <c r="X630" s="1164"/>
      <c r="Y630" s="473"/>
      <c r="Z630" s="473"/>
      <c r="AA630" s="1164"/>
      <c r="AB630" s="473"/>
      <c r="AC630" s="1164"/>
      <c r="AD630" s="473"/>
      <c r="AE630" s="1164"/>
      <c r="AF630" s="473"/>
      <c r="AG630" s="1164"/>
      <c r="AH630" s="473"/>
      <c r="AI630" s="473"/>
      <c r="AJ630" s="1164"/>
      <c r="AK630" s="473"/>
      <c r="AL630" s="473"/>
      <c r="AM630" s="1164"/>
      <c r="AN630" s="473"/>
      <c r="AO630" s="473"/>
      <c r="AP630" s="1164"/>
      <c r="AQ630" s="473"/>
      <c r="AR630" s="473"/>
      <c r="AS630" s="1236"/>
      <c r="AT630" s="473"/>
      <c r="AU630" s="473"/>
      <c r="AV630" s="1164"/>
      <c r="AW630" s="1164"/>
      <c r="AX630" s="1236"/>
      <c r="AY630" s="473"/>
      <c r="AZ630" s="1236"/>
      <c r="BA630" s="473"/>
      <c r="BB630" s="473"/>
      <c r="BC630" s="1164"/>
      <c r="BD630" s="20"/>
      <c r="BE630" s="473"/>
      <c r="BF630" s="610"/>
      <c r="BG630" s="610"/>
      <c r="BH630" s="610"/>
      <c r="BI630" s="610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</row>
    <row r="631" spans="1:148" s="22" customFormat="1" x14ac:dyDescent="0.25">
      <c r="A631" s="20"/>
      <c r="B631" s="16"/>
      <c r="C631" s="473"/>
      <c r="D631" s="473"/>
      <c r="E631" s="1164"/>
      <c r="F631" s="473"/>
      <c r="G631" s="473"/>
      <c r="H631" s="1164"/>
      <c r="I631" s="473"/>
      <c r="J631" s="473"/>
      <c r="K631" s="1164"/>
      <c r="L631" s="473"/>
      <c r="M631" s="473"/>
      <c r="N631" s="1164"/>
      <c r="O631" s="473"/>
      <c r="P631" s="473"/>
      <c r="Q631" s="1164"/>
      <c r="R631" s="473"/>
      <c r="S631" s="473"/>
      <c r="T631" s="1164"/>
      <c r="U631" s="1164"/>
      <c r="V631" s="473"/>
      <c r="W631" s="473"/>
      <c r="X631" s="1164"/>
      <c r="Y631" s="473"/>
      <c r="Z631" s="473"/>
      <c r="AA631" s="1164"/>
      <c r="AB631" s="473"/>
      <c r="AC631" s="1164"/>
      <c r="AD631" s="473"/>
      <c r="AE631" s="1164"/>
      <c r="AF631" s="473"/>
      <c r="AG631" s="1164"/>
      <c r="AH631" s="473"/>
      <c r="AI631" s="473"/>
      <c r="AJ631" s="1164"/>
      <c r="AK631" s="473"/>
      <c r="AL631" s="473"/>
      <c r="AM631" s="1164"/>
      <c r="AN631" s="473"/>
      <c r="AO631" s="473"/>
      <c r="AP631" s="1164"/>
      <c r="AQ631" s="473"/>
      <c r="AR631" s="473"/>
      <c r="AS631" s="1236"/>
      <c r="AT631" s="473"/>
      <c r="AU631" s="473"/>
      <c r="AV631" s="1164"/>
      <c r="AW631" s="1164"/>
      <c r="AX631" s="1236"/>
      <c r="AY631" s="473"/>
      <c r="AZ631" s="1236"/>
      <c r="BA631" s="473"/>
      <c r="BB631" s="473"/>
      <c r="BC631" s="1164"/>
      <c r="BD631" s="20"/>
      <c r="BE631" s="473"/>
      <c r="BF631" s="610"/>
      <c r="BG631" s="610"/>
      <c r="BH631" s="610"/>
      <c r="BI631" s="610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</row>
    <row r="632" spans="1:148" s="22" customFormat="1" x14ac:dyDescent="0.25">
      <c r="A632" s="20"/>
      <c r="B632" s="16"/>
      <c r="C632" s="473"/>
      <c r="D632" s="473"/>
      <c r="E632" s="1164"/>
      <c r="F632" s="473"/>
      <c r="G632" s="473"/>
      <c r="H632" s="1164"/>
      <c r="I632" s="473"/>
      <c r="J632" s="473"/>
      <c r="K632" s="1164"/>
      <c r="L632" s="473"/>
      <c r="M632" s="473"/>
      <c r="N632" s="1164"/>
      <c r="O632" s="473"/>
      <c r="P632" s="473"/>
      <c r="Q632" s="1164"/>
      <c r="R632" s="473"/>
      <c r="S632" s="473"/>
      <c r="T632" s="1164"/>
      <c r="U632" s="1164"/>
      <c r="V632" s="473"/>
      <c r="W632" s="473"/>
      <c r="X632" s="1164"/>
      <c r="Y632" s="473"/>
      <c r="Z632" s="473"/>
      <c r="AA632" s="1164"/>
      <c r="AB632" s="473"/>
      <c r="AC632" s="1164"/>
      <c r="AD632" s="473"/>
      <c r="AE632" s="1164"/>
      <c r="AF632" s="473"/>
      <c r="AG632" s="1164"/>
      <c r="AH632" s="473"/>
      <c r="AI632" s="473"/>
      <c r="AJ632" s="1164"/>
      <c r="AK632" s="473"/>
      <c r="AL632" s="473"/>
      <c r="AM632" s="1164"/>
      <c r="AN632" s="473"/>
      <c r="AO632" s="473"/>
      <c r="AP632" s="1164"/>
      <c r="AQ632" s="473"/>
      <c r="AR632" s="473"/>
      <c r="AS632" s="1236"/>
      <c r="AT632" s="473"/>
      <c r="AU632" s="473"/>
      <c r="AV632" s="1164"/>
      <c r="AW632" s="1164"/>
      <c r="AX632" s="1236"/>
      <c r="AY632" s="473"/>
      <c r="AZ632" s="1236"/>
      <c r="BA632" s="473"/>
      <c r="BB632" s="473"/>
      <c r="BC632" s="1164"/>
      <c r="BD632" s="20"/>
      <c r="BE632" s="473"/>
      <c r="BF632" s="610"/>
      <c r="BG632" s="610"/>
      <c r="BH632" s="610"/>
      <c r="BI632" s="610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</row>
    <row r="633" spans="1:148" s="22" customFormat="1" x14ac:dyDescent="0.25">
      <c r="A633" s="20"/>
      <c r="B633" s="16"/>
      <c r="C633" s="473"/>
      <c r="D633" s="473"/>
      <c r="E633" s="1164"/>
      <c r="F633" s="473"/>
      <c r="G633" s="473"/>
      <c r="H633" s="1164"/>
      <c r="I633" s="473"/>
      <c r="J633" s="473"/>
      <c r="K633" s="1164"/>
      <c r="L633" s="473"/>
      <c r="M633" s="473"/>
      <c r="N633" s="1164"/>
      <c r="O633" s="473"/>
      <c r="P633" s="473"/>
      <c r="Q633" s="1164"/>
      <c r="R633" s="473"/>
      <c r="S633" s="473"/>
      <c r="T633" s="1164"/>
      <c r="U633" s="1164"/>
      <c r="V633" s="473"/>
      <c r="W633" s="473"/>
      <c r="X633" s="1164"/>
      <c r="Y633" s="473"/>
      <c r="Z633" s="473"/>
      <c r="AA633" s="1164"/>
      <c r="AB633" s="473"/>
      <c r="AC633" s="1164"/>
      <c r="AD633" s="473"/>
      <c r="AE633" s="1164"/>
      <c r="AF633" s="473"/>
      <c r="AG633" s="1164"/>
      <c r="AH633" s="473"/>
      <c r="AI633" s="473"/>
      <c r="AJ633" s="1164"/>
      <c r="AK633" s="473"/>
      <c r="AL633" s="473"/>
      <c r="AM633" s="1164"/>
      <c r="AN633" s="473"/>
      <c r="AO633" s="473"/>
      <c r="AP633" s="1164"/>
      <c r="AQ633" s="473"/>
      <c r="AR633" s="473"/>
      <c r="AS633" s="1236"/>
      <c r="AT633" s="473"/>
      <c r="AU633" s="473"/>
      <c r="AV633" s="1164"/>
      <c r="AW633" s="1164"/>
      <c r="AX633" s="1236"/>
      <c r="AY633" s="473"/>
      <c r="AZ633" s="1236"/>
      <c r="BA633" s="473"/>
      <c r="BB633" s="473"/>
      <c r="BC633" s="1164"/>
      <c r="BD633" s="20"/>
      <c r="BE633" s="473"/>
      <c r="BF633" s="610"/>
      <c r="BG633" s="610"/>
      <c r="BH633" s="610"/>
      <c r="BI633" s="610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</row>
    <row r="634" spans="1:148" s="22" customFormat="1" x14ac:dyDescent="0.25">
      <c r="A634" s="20"/>
      <c r="B634" s="16"/>
      <c r="C634" s="473"/>
      <c r="D634" s="473"/>
      <c r="E634" s="1164"/>
      <c r="F634" s="473"/>
      <c r="G634" s="473"/>
      <c r="H634" s="1164"/>
      <c r="I634" s="473"/>
      <c r="J634" s="473"/>
      <c r="K634" s="1164"/>
      <c r="L634" s="473"/>
      <c r="M634" s="473"/>
      <c r="N634" s="1164"/>
      <c r="O634" s="473"/>
      <c r="P634" s="473"/>
      <c r="Q634" s="1164"/>
      <c r="R634" s="473"/>
      <c r="S634" s="473"/>
      <c r="T634" s="1164"/>
      <c r="U634" s="1164"/>
      <c r="V634" s="473"/>
      <c r="W634" s="473"/>
      <c r="X634" s="1164"/>
      <c r="Y634" s="473"/>
      <c r="Z634" s="473"/>
      <c r="AA634" s="1164"/>
      <c r="AB634" s="473"/>
      <c r="AC634" s="1164"/>
      <c r="AD634" s="473"/>
      <c r="AE634" s="1164"/>
      <c r="AF634" s="473"/>
      <c r="AG634" s="1164"/>
      <c r="AH634" s="473"/>
      <c r="AI634" s="473"/>
      <c r="AJ634" s="1164"/>
      <c r="AK634" s="473"/>
      <c r="AL634" s="473"/>
      <c r="AM634" s="1164"/>
      <c r="AN634" s="473"/>
      <c r="AO634" s="473"/>
      <c r="AP634" s="1164"/>
      <c r="AQ634" s="473"/>
      <c r="AR634" s="473"/>
      <c r="AS634" s="1236"/>
      <c r="AT634" s="473"/>
      <c r="AU634" s="473"/>
      <c r="AV634" s="1164"/>
      <c r="AW634" s="1164"/>
      <c r="AX634" s="1236"/>
      <c r="AY634" s="473"/>
      <c r="AZ634" s="1236"/>
      <c r="BA634" s="473"/>
      <c r="BB634" s="473"/>
      <c r="BC634" s="1164"/>
      <c r="BD634" s="20"/>
      <c r="BE634" s="473"/>
      <c r="BF634" s="610"/>
      <c r="BG634" s="610"/>
      <c r="BH634" s="610"/>
      <c r="BI634" s="610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</row>
    <row r="635" spans="1:148" s="22" customFormat="1" x14ac:dyDescent="0.25">
      <c r="A635" s="20"/>
      <c r="B635" s="16"/>
      <c r="C635" s="473"/>
      <c r="D635" s="473"/>
      <c r="E635" s="1164"/>
      <c r="F635" s="473"/>
      <c r="G635" s="473"/>
      <c r="H635" s="1164"/>
      <c r="I635" s="473"/>
      <c r="J635" s="473"/>
      <c r="K635" s="1164"/>
      <c r="L635" s="473"/>
      <c r="M635" s="473"/>
      <c r="N635" s="1164"/>
      <c r="O635" s="473"/>
      <c r="P635" s="473"/>
      <c r="Q635" s="1164"/>
      <c r="R635" s="473"/>
      <c r="S635" s="473"/>
      <c r="T635" s="1164"/>
      <c r="U635" s="1164"/>
      <c r="V635" s="473"/>
      <c r="W635" s="473"/>
      <c r="X635" s="1164"/>
      <c r="Y635" s="473"/>
      <c r="Z635" s="473"/>
      <c r="AA635" s="1164"/>
      <c r="AB635" s="473"/>
      <c r="AC635" s="1164"/>
      <c r="AD635" s="473"/>
      <c r="AE635" s="1164"/>
      <c r="AF635" s="473"/>
      <c r="AG635" s="1164"/>
      <c r="AH635" s="473"/>
      <c r="AI635" s="473"/>
      <c r="AJ635" s="1164"/>
      <c r="AK635" s="473"/>
      <c r="AL635" s="473"/>
      <c r="AM635" s="1164"/>
      <c r="AN635" s="473"/>
      <c r="AO635" s="473"/>
      <c r="AP635" s="1164"/>
      <c r="AQ635" s="473"/>
      <c r="AR635" s="473"/>
      <c r="AS635" s="1236"/>
      <c r="AT635" s="473"/>
      <c r="AU635" s="473"/>
      <c r="AV635" s="1164"/>
      <c r="AW635" s="1164"/>
      <c r="AX635" s="1236"/>
      <c r="AY635" s="473"/>
      <c r="AZ635" s="1236"/>
      <c r="BA635" s="473"/>
      <c r="BB635" s="473"/>
      <c r="BC635" s="1164"/>
      <c r="BD635" s="20"/>
      <c r="BE635" s="473"/>
      <c r="BF635" s="610"/>
      <c r="BG635" s="610"/>
      <c r="BH635" s="610"/>
      <c r="BI635" s="610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</row>
    <row r="636" spans="1:148" s="22" customFormat="1" x14ac:dyDescent="0.25">
      <c r="A636" s="20"/>
      <c r="B636" s="16"/>
      <c r="C636" s="473"/>
      <c r="D636" s="473"/>
      <c r="E636" s="1164"/>
      <c r="F636" s="473"/>
      <c r="G636" s="473"/>
      <c r="H636" s="1164"/>
      <c r="I636" s="473"/>
      <c r="J636" s="473"/>
      <c r="K636" s="1164"/>
      <c r="L636" s="473"/>
      <c r="M636" s="473"/>
      <c r="N636" s="1164"/>
      <c r="O636" s="473"/>
      <c r="P636" s="473"/>
      <c r="Q636" s="1164"/>
      <c r="R636" s="473"/>
      <c r="S636" s="473"/>
      <c r="T636" s="1164"/>
      <c r="U636" s="1164"/>
      <c r="V636" s="473"/>
      <c r="W636" s="473"/>
      <c r="X636" s="1164"/>
      <c r="Y636" s="473"/>
      <c r="Z636" s="473"/>
      <c r="AA636" s="1164"/>
      <c r="AB636" s="473"/>
      <c r="AC636" s="1164"/>
      <c r="AD636" s="473"/>
      <c r="AE636" s="1164"/>
      <c r="AF636" s="473"/>
      <c r="AG636" s="1164"/>
      <c r="AH636" s="473"/>
      <c r="AI636" s="473"/>
      <c r="AJ636" s="1164"/>
      <c r="AK636" s="473"/>
      <c r="AL636" s="473"/>
      <c r="AM636" s="1164"/>
      <c r="AN636" s="473"/>
      <c r="AO636" s="473"/>
      <c r="AP636" s="1164"/>
      <c r="AQ636" s="473"/>
      <c r="AR636" s="473"/>
      <c r="AS636" s="1236"/>
      <c r="AT636" s="473"/>
      <c r="AU636" s="473"/>
      <c r="AV636" s="1164"/>
      <c r="AW636" s="1164"/>
      <c r="AX636" s="1236"/>
      <c r="AY636" s="473"/>
      <c r="AZ636" s="1236"/>
      <c r="BA636" s="473"/>
      <c r="BB636" s="473"/>
      <c r="BC636" s="1164"/>
      <c r="BD636" s="20"/>
      <c r="BE636" s="473"/>
      <c r="BF636" s="610"/>
      <c r="BG636" s="610"/>
      <c r="BH636" s="610"/>
      <c r="BI636" s="610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</row>
    <row r="637" spans="1:148" s="22" customFormat="1" x14ac:dyDescent="0.25">
      <c r="A637" s="20"/>
      <c r="B637" s="16"/>
      <c r="C637" s="473"/>
      <c r="D637" s="473"/>
      <c r="E637" s="1164"/>
      <c r="F637" s="473"/>
      <c r="G637" s="473"/>
      <c r="H637" s="1164"/>
      <c r="I637" s="473"/>
      <c r="J637" s="473"/>
      <c r="K637" s="1164"/>
      <c r="L637" s="473"/>
      <c r="M637" s="473"/>
      <c r="N637" s="1164"/>
      <c r="O637" s="473"/>
      <c r="P637" s="473"/>
      <c r="Q637" s="1164"/>
      <c r="R637" s="473"/>
      <c r="S637" s="473"/>
      <c r="T637" s="1164"/>
      <c r="U637" s="1164"/>
      <c r="V637" s="473"/>
      <c r="W637" s="473"/>
      <c r="X637" s="1164"/>
      <c r="Y637" s="473"/>
      <c r="Z637" s="473"/>
      <c r="AA637" s="1164"/>
      <c r="AB637" s="473"/>
      <c r="AC637" s="1164"/>
      <c r="AD637" s="473"/>
      <c r="AE637" s="1164"/>
      <c r="AF637" s="473"/>
      <c r="AG637" s="1164"/>
      <c r="AH637" s="473"/>
      <c r="AI637" s="473"/>
      <c r="AJ637" s="1164"/>
      <c r="AK637" s="473"/>
      <c r="AL637" s="473"/>
      <c r="AM637" s="1164"/>
      <c r="AN637" s="473"/>
      <c r="AO637" s="473"/>
      <c r="AP637" s="1164"/>
      <c r="AQ637" s="473"/>
      <c r="AR637" s="473"/>
      <c r="AS637" s="1236"/>
      <c r="AT637" s="473"/>
      <c r="AU637" s="473"/>
      <c r="AV637" s="1164"/>
      <c r="AW637" s="1164"/>
      <c r="AX637" s="1236"/>
      <c r="AY637" s="473"/>
      <c r="AZ637" s="1236"/>
      <c r="BA637" s="473"/>
      <c r="BB637" s="473"/>
      <c r="BC637" s="1164"/>
      <c r="BD637" s="20"/>
      <c r="BE637" s="473"/>
      <c r="BF637" s="610"/>
      <c r="BG637" s="610"/>
      <c r="BH637" s="610"/>
      <c r="BI637" s="610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</row>
    <row r="638" spans="1:148" s="22" customFormat="1" x14ac:dyDescent="0.25">
      <c r="A638" s="20"/>
      <c r="B638" s="16"/>
      <c r="C638" s="473"/>
      <c r="D638" s="473"/>
      <c r="E638" s="1164"/>
      <c r="F638" s="473"/>
      <c r="G638" s="473"/>
      <c r="H638" s="1164"/>
      <c r="I638" s="473"/>
      <c r="J638" s="473"/>
      <c r="K638" s="1164"/>
      <c r="L638" s="473"/>
      <c r="M638" s="473"/>
      <c r="N638" s="1164"/>
      <c r="O638" s="473"/>
      <c r="P638" s="473"/>
      <c r="Q638" s="1164"/>
      <c r="R638" s="473"/>
      <c r="S638" s="473"/>
      <c r="T638" s="1164"/>
      <c r="U638" s="1164"/>
      <c r="V638" s="473"/>
      <c r="W638" s="473"/>
      <c r="X638" s="1164"/>
      <c r="Y638" s="473"/>
      <c r="Z638" s="473"/>
      <c r="AA638" s="1164"/>
      <c r="AB638" s="473"/>
      <c r="AC638" s="1164"/>
      <c r="AD638" s="473"/>
      <c r="AE638" s="1164"/>
      <c r="AF638" s="473"/>
      <c r="AG638" s="1164"/>
      <c r="AH638" s="473"/>
      <c r="AI638" s="473"/>
      <c r="AJ638" s="1164"/>
      <c r="AK638" s="473"/>
      <c r="AL638" s="473"/>
      <c r="AM638" s="1164"/>
      <c r="AN638" s="473"/>
      <c r="AO638" s="473"/>
      <c r="AP638" s="1164"/>
      <c r="AQ638" s="473"/>
      <c r="AR638" s="473"/>
      <c r="AS638" s="1236"/>
      <c r="AT638" s="473"/>
      <c r="AU638" s="473"/>
      <c r="AV638" s="1164"/>
      <c r="AW638" s="1164"/>
      <c r="AX638" s="1236"/>
      <c r="AY638" s="473"/>
      <c r="AZ638" s="1236"/>
      <c r="BA638" s="473"/>
      <c r="BB638" s="473"/>
      <c r="BC638" s="1164"/>
      <c r="BD638" s="20"/>
      <c r="BE638" s="473"/>
      <c r="BF638" s="610"/>
      <c r="BG638" s="610"/>
      <c r="BH638" s="610"/>
      <c r="BI638" s="610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</row>
    <row r="639" spans="1:148" s="22" customFormat="1" x14ac:dyDescent="0.25">
      <c r="A639" s="20"/>
      <c r="B639" s="16"/>
      <c r="C639" s="473"/>
      <c r="D639" s="473"/>
      <c r="E639" s="1164"/>
      <c r="F639" s="473"/>
      <c r="G639" s="473"/>
      <c r="H639" s="1164"/>
      <c r="I639" s="473"/>
      <c r="J639" s="473"/>
      <c r="K639" s="1164"/>
      <c r="L639" s="473"/>
      <c r="M639" s="473"/>
      <c r="N639" s="1164"/>
      <c r="O639" s="473"/>
      <c r="P639" s="473"/>
      <c r="Q639" s="1164"/>
      <c r="R639" s="473"/>
      <c r="S639" s="473"/>
      <c r="T639" s="1164"/>
      <c r="U639" s="1164"/>
      <c r="V639" s="473"/>
      <c r="W639" s="473"/>
      <c r="X639" s="1164"/>
      <c r="Y639" s="473"/>
      <c r="Z639" s="473"/>
      <c r="AA639" s="1164"/>
      <c r="AB639" s="473"/>
      <c r="AC639" s="1164"/>
      <c r="AD639" s="473"/>
      <c r="AE639" s="1164"/>
      <c r="AF639" s="473"/>
      <c r="AG639" s="1164"/>
      <c r="AH639" s="473"/>
      <c r="AI639" s="473"/>
      <c r="AJ639" s="1164"/>
      <c r="AK639" s="473"/>
      <c r="AL639" s="473"/>
      <c r="AM639" s="1164"/>
      <c r="AN639" s="473"/>
      <c r="AO639" s="473"/>
      <c r="AP639" s="1164"/>
      <c r="AQ639" s="473"/>
      <c r="AR639" s="473"/>
      <c r="AS639" s="1236"/>
      <c r="AT639" s="473"/>
      <c r="AU639" s="473"/>
      <c r="AV639" s="1164"/>
      <c r="AW639" s="1164"/>
      <c r="AX639" s="1236"/>
      <c r="AY639" s="473"/>
      <c r="AZ639" s="1236"/>
      <c r="BA639" s="473"/>
      <c r="BB639" s="473"/>
      <c r="BC639" s="1164"/>
      <c r="BD639" s="20"/>
      <c r="BE639" s="473"/>
      <c r="BF639" s="610"/>
      <c r="BG639" s="610"/>
      <c r="BH639" s="610"/>
      <c r="BI639" s="610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</row>
    <row r="640" spans="1:148" s="22" customFormat="1" x14ac:dyDescent="0.25">
      <c r="A640" s="20"/>
      <c r="B640" s="16"/>
      <c r="C640" s="473"/>
      <c r="D640" s="473"/>
      <c r="E640" s="1164"/>
      <c r="F640" s="473"/>
      <c r="G640" s="473"/>
      <c r="H640" s="1164"/>
      <c r="I640" s="473"/>
      <c r="J640" s="473"/>
      <c r="K640" s="1164"/>
      <c r="L640" s="473"/>
      <c r="M640" s="473"/>
      <c r="N640" s="1164"/>
      <c r="O640" s="473"/>
      <c r="P640" s="473"/>
      <c r="Q640" s="1164"/>
      <c r="R640" s="473"/>
      <c r="S640" s="473"/>
      <c r="T640" s="1164"/>
      <c r="U640" s="1164"/>
      <c r="V640" s="473"/>
      <c r="W640" s="473"/>
      <c r="X640" s="1164"/>
      <c r="Y640" s="473"/>
      <c r="Z640" s="473"/>
      <c r="AA640" s="1164"/>
      <c r="AB640" s="473"/>
      <c r="AC640" s="1164"/>
      <c r="AD640" s="473"/>
      <c r="AE640" s="1164"/>
      <c r="AF640" s="473"/>
      <c r="AG640" s="1164"/>
      <c r="AH640" s="473"/>
      <c r="AI640" s="473"/>
      <c r="AJ640" s="1164"/>
      <c r="AK640" s="473"/>
      <c r="AL640" s="473"/>
      <c r="AM640" s="1164"/>
      <c r="AN640" s="473"/>
      <c r="AO640" s="473"/>
      <c r="AP640" s="1164"/>
      <c r="AQ640" s="473"/>
      <c r="AR640" s="473"/>
      <c r="AS640" s="1236"/>
      <c r="AT640" s="473"/>
      <c r="AU640" s="473"/>
      <c r="AV640" s="1164"/>
      <c r="AW640" s="1164"/>
      <c r="AX640" s="1236"/>
      <c r="AY640" s="473"/>
      <c r="AZ640" s="1236"/>
      <c r="BA640" s="473"/>
      <c r="BB640" s="473"/>
      <c r="BC640" s="1164"/>
      <c r="BD640" s="20"/>
      <c r="BE640" s="473"/>
      <c r="BF640" s="610"/>
      <c r="BG640" s="610"/>
      <c r="BH640" s="610"/>
      <c r="BI640" s="610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</row>
    <row r="641" spans="1:148" s="22" customFormat="1" x14ac:dyDescent="0.25">
      <c r="A641" s="20"/>
      <c r="B641" s="16"/>
      <c r="C641" s="473"/>
      <c r="D641" s="473"/>
      <c r="E641" s="1164"/>
      <c r="F641" s="473"/>
      <c r="G641" s="473"/>
      <c r="H641" s="1164"/>
      <c r="I641" s="473"/>
      <c r="J641" s="473"/>
      <c r="K641" s="1164"/>
      <c r="L641" s="473"/>
      <c r="M641" s="473"/>
      <c r="N641" s="1164"/>
      <c r="O641" s="473"/>
      <c r="P641" s="473"/>
      <c r="Q641" s="1164"/>
      <c r="R641" s="473"/>
      <c r="S641" s="473"/>
      <c r="T641" s="1164"/>
      <c r="U641" s="1164"/>
      <c r="V641" s="473"/>
      <c r="W641" s="473"/>
      <c r="X641" s="1164"/>
      <c r="Y641" s="473"/>
      <c r="Z641" s="473"/>
      <c r="AA641" s="1164"/>
      <c r="AB641" s="473"/>
      <c r="AC641" s="1164"/>
      <c r="AD641" s="473"/>
      <c r="AE641" s="1164"/>
      <c r="AF641" s="473"/>
      <c r="AG641" s="1164"/>
      <c r="AH641" s="473"/>
      <c r="AI641" s="473"/>
      <c r="AJ641" s="1164"/>
      <c r="AK641" s="473"/>
      <c r="AL641" s="473"/>
      <c r="AM641" s="1164"/>
      <c r="AN641" s="473"/>
      <c r="AO641" s="473"/>
      <c r="AP641" s="1164"/>
      <c r="AQ641" s="473"/>
      <c r="AR641" s="473"/>
      <c r="AS641" s="1236"/>
      <c r="AT641" s="473"/>
      <c r="AU641" s="473"/>
      <c r="AV641" s="1164"/>
      <c r="AW641" s="1164"/>
      <c r="AX641" s="1236"/>
      <c r="AY641" s="473"/>
      <c r="AZ641" s="1236"/>
      <c r="BA641" s="473"/>
      <c r="BB641" s="473"/>
      <c r="BC641" s="1164"/>
      <c r="BD641" s="20"/>
      <c r="BE641" s="473"/>
      <c r="BF641" s="610"/>
      <c r="BG641" s="610"/>
      <c r="BH641" s="610"/>
      <c r="BI641" s="610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</row>
    <row r="642" spans="1:148" s="22" customFormat="1" x14ac:dyDescent="0.25">
      <c r="A642" s="20"/>
      <c r="B642" s="16"/>
      <c r="C642" s="473"/>
      <c r="D642" s="473"/>
      <c r="E642" s="1164"/>
      <c r="F642" s="473"/>
      <c r="G642" s="473"/>
      <c r="H642" s="1164"/>
      <c r="I642" s="473"/>
      <c r="J642" s="473"/>
      <c r="K642" s="1164"/>
      <c r="L642" s="473"/>
      <c r="M642" s="473"/>
      <c r="N642" s="1164"/>
      <c r="O642" s="473"/>
      <c r="P642" s="473"/>
      <c r="Q642" s="1164"/>
      <c r="R642" s="473"/>
      <c r="S642" s="473"/>
      <c r="T642" s="1164"/>
      <c r="U642" s="1164"/>
      <c r="V642" s="473"/>
      <c r="W642" s="473"/>
      <c r="X642" s="1164"/>
      <c r="Y642" s="473"/>
      <c r="Z642" s="473"/>
      <c r="AA642" s="1164"/>
      <c r="AB642" s="473"/>
      <c r="AC642" s="1164"/>
      <c r="AD642" s="473"/>
      <c r="AE642" s="1164"/>
      <c r="AF642" s="473"/>
      <c r="AG642" s="1164"/>
      <c r="AH642" s="473"/>
      <c r="AI642" s="473"/>
      <c r="AJ642" s="1164"/>
      <c r="AK642" s="473"/>
      <c r="AL642" s="473"/>
      <c r="AM642" s="1164"/>
      <c r="AN642" s="473"/>
      <c r="AO642" s="473"/>
      <c r="AP642" s="1164"/>
      <c r="AQ642" s="473"/>
      <c r="AR642" s="473"/>
      <c r="AS642" s="1236"/>
      <c r="AT642" s="473"/>
      <c r="AU642" s="473"/>
      <c r="AV642" s="1164"/>
      <c r="AW642" s="1164"/>
      <c r="AX642" s="1236"/>
      <c r="AY642" s="473"/>
      <c r="AZ642" s="1236"/>
      <c r="BA642" s="473"/>
      <c r="BB642" s="473"/>
      <c r="BC642" s="1164"/>
      <c r="BD642" s="20"/>
      <c r="BE642" s="473"/>
      <c r="BF642" s="610"/>
      <c r="BG642" s="610"/>
      <c r="BH642" s="610"/>
      <c r="BI642" s="610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</row>
    <row r="643" spans="1:148" s="22" customFormat="1" x14ac:dyDescent="0.25">
      <c r="A643" s="20"/>
      <c r="B643" s="16"/>
      <c r="C643" s="473"/>
      <c r="D643" s="473"/>
      <c r="E643" s="1164"/>
      <c r="F643" s="473"/>
      <c r="G643" s="473"/>
      <c r="H643" s="1164"/>
      <c r="I643" s="473"/>
      <c r="J643" s="473"/>
      <c r="K643" s="1164"/>
      <c r="L643" s="473"/>
      <c r="M643" s="473"/>
      <c r="N643" s="1164"/>
      <c r="O643" s="473"/>
      <c r="P643" s="473"/>
      <c r="Q643" s="1164"/>
      <c r="R643" s="473"/>
      <c r="S643" s="473"/>
      <c r="T643" s="1164"/>
      <c r="U643" s="1164"/>
      <c r="V643" s="473"/>
      <c r="W643" s="473"/>
      <c r="X643" s="1164"/>
      <c r="Y643" s="473"/>
      <c r="Z643" s="473"/>
      <c r="AA643" s="1164"/>
      <c r="AB643" s="473"/>
      <c r="AC643" s="1164"/>
      <c r="AD643" s="473"/>
      <c r="AE643" s="1164"/>
      <c r="AF643" s="473"/>
      <c r="AG643" s="1164"/>
      <c r="AH643" s="473"/>
      <c r="AI643" s="473"/>
      <c r="AJ643" s="1164"/>
      <c r="AK643" s="473"/>
      <c r="AL643" s="473"/>
      <c r="AM643" s="1164"/>
      <c r="AN643" s="473"/>
      <c r="AO643" s="473"/>
      <c r="AP643" s="1164"/>
      <c r="AQ643" s="473"/>
      <c r="AR643" s="473"/>
      <c r="AS643" s="1236"/>
      <c r="AT643" s="473"/>
      <c r="AU643" s="473"/>
      <c r="AV643" s="1164"/>
      <c r="AW643" s="1164"/>
      <c r="AX643" s="1236"/>
      <c r="AY643" s="473"/>
      <c r="AZ643" s="1236"/>
      <c r="BA643" s="473"/>
      <c r="BB643" s="473"/>
      <c r="BC643" s="1164"/>
      <c r="BD643" s="20"/>
      <c r="BE643" s="473"/>
      <c r="BF643" s="610"/>
      <c r="BG643" s="610"/>
      <c r="BH643" s="610"/>
      <c r="BI643" s="610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</row>
    <row r="644" spans="1:148" s="22" customFormat="1" x14ac:dyDescent="0.25">
      <c r="A644" s="20"/>
      <c r="B644" s="16"/>
      <c r="C644" s="473"/>
      <c r="D644" s="473"/>
      <c r="E644" s="1164"/>
      <c r="F644" s="473"/>
      <c r="G644" s="473"/>
      <c r="H644" s="1164"/>
      <c r="I644" s="473"/>
      <c r="J644" s="473"/>
      <c r="K644" s="1164"/>
      <c r="L644" s="473"/>
      <c r="M644" s="473"/>
      <c r="N644" s="1164"/>
      <c r="O644" s="473"/>
      <c r="P644" s="473"/>
      <c r="Q644" s="1164"/>
      <c r="R644" s="473"/>
      <c r="S644" s="473"/>
      <c r="T644" s="1164"/>
      <c r="U644" s="1164"/>
      <c r="V644" s="473"/>
      <c r="W644" s="473"/>
      <c r="X644" s="1164"/>
      <c r="Y644" s="473"/>
      <c r="Z644" s="473"/>
      <c r="AA644" s="1164"/>
      <c r="AB644" s="473"/>
      <c r="AC644" s="1164"/>
      <c r="AD644" s="473"/>
      <c r="AE644" s="1164"/>
      <c r="AF644" s="473"/>
      <c r="AG644" s="1164"/>
      <c r="AH644" s="473"/>
      <c r="AI644" s="473"/>
      <c r="AJ644" s="1164"/>
      <c r="AK644" s="473"/>
      <c r="AL644" s="473"/>
      <c r="AM644" s="1164"/>
      <c r="AN644" s="473"/>
      <c r="AO644" s="473"/>
      <c r="AP644" s="1164"/>
      <c r="AQ644" s="473"/>
      <c r="AR644" s="473"/>
      <c r="AS644" s="1236"/>
      <c r="AT644" s="473"/>
      <c r="AU644" s="473"/>
      <c r="AV644" s="1164"/>
      <c r="AW644" s="1164"/>
      <c r="AX644" s="1236"/>
      <c r="AY644" s="473"/>
      <c r="AZ644" s="1236"/>
      <c r="BA644" s="473"/>
      <c r="BB644" s="473"/>
      <c r="BC644" s="1164"/>
      <c r="BD644" s="20"/>
      <c r="BE644" s="473"/>
      <c r="BF644" s="610"/>
      <c r="BG644" s="610"/>
      <c r="BH644" s="610"/>
      <c r="BI644" s="610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</row>
    <row r="645" spans="1:148" s="22" customFormat="1" x14ac:dyDescent="0.25">
      <c r="A645" s="20"/>
      <c r="B645" s="16"/>
      <c r="C645" s="473"/>
      <c r="D645" s="473"/>
      <c r="E645" s="1164"/>
      <c r="F645" s="473"/>
      <c r="G645" s="473"/>
      <c r="H645" s="1164"/>
      <c r="I645" s="473"/>
      <c r="J645" s="473"/>
      <c r="K645" s="1164"/>
      <c r="L645" s="473"/>
      <c r="M645" s="473"/>
      <c r="N645" s="1164"/>
      <c r="O645" s="473"/>
      <c r="P645" s="473"/>
      <c r="Q645" s="1164"/>
      <c r="R645" s="473"/>
      <c r="S645" s="473"/>
      <c r="T645" s="1164"/>
      <c r="U645" s="1164"/>
      <c r="V645" s="473"/>
      <c r="W645" s="473"/>
      <c r="X645" s="1164"/>
      <c r="Y645" s="473"/>
      <c r="Z645" s="473"/>
      <c r="AA645" s="1164"/>
      <c r="AB645" s="473"/>
      <c r="AC645" s="1164"/>
      <c r="AD645" s="473"/>
      <c r="AE645" s="1164"/>
      <c r="AF645" s="473"/>
      <c r="AG645" s="1164"/>
      <c r="AH645" s="473"/>
      <c r="AI645" s="473"/>
      <c r="AJ645" s="1164"/>
      <c r="AK645" s="473"/>
      <c r="AL645" s="473"/>
      <c r="AM645" s="1164"/>
      <c r="AN645" s="473"/>
      <c r="AO645" s="473"/>
      <c r="AP645" s="1164"/>
      <c r="AQ645" s="473"/>
      <c r="AR645" s="473"/>
      <c r="AS645" s="1236"/>
      <c r="AT645" s="473"/>
      <c r="AU645" s="473"/>
      <c r="AV645" s="1164"/>
      <c r="AW645" s="1164"/>
      <c r="AX645" s="1236"/>
      <c r="AY645" s="473"/>
      <c r="AZ645" s="1236"/>
      <c r="BA645" s="473"/>
      <c r="BB645" s="473"/>
      <c r="BC645" s="1164"/>
      <c r="BD645" s="20"/>
      <c r="BE645" s="473"/>
      <c r="BF645" s="610"/>
      <c r="BG645" s="610"/>
      <c r="BH645" s="610"/>
      <c r="BI645" s="610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</row>
    <row r="646" spans="1:148" s="22" customFormat="1" x14ac:dyDescent="0.25">
      <c r="A646" s="20"/>
      <c r="B646" s="16"/>
      <c r="C646" s="473"/>
      <c r="D646" s="473"/>
      <c r="E646" s="1164"/>
      <c r="F646" s="473"/>
      <c r="G646" s="473"/>
      <c r="H646" s="1164"/>
      <c r="I646" s="473"/>
      <c r="J646" s="473"/>
      <c r="K646" s="1164"/>
      <c r="L646" s="473"/>
      <c r="M646" s="473"/>
      <c r="N646" s="1164"/>
      <c r="O646" s="473"/>
      <c r="P646" s="473"/>
      <c r="Q646" s="1164"/>
      <c r="R646" s="473"/>
      <c r="S646" s="473"/>
      <c r="T646" s="1164"/>
      <c r="U646" s="1164"/>
      <c r="V646" s="473"/>
      <c r="W646" s="473"/>
      <c r="X646" s="1164"/>
      <c r="Y646" s="473"/>
      <c r="Z646" s="473"/>
      <c r="AA646" s="1164"/>
      <c r="AB646" s="473"/>
      <c r="AC646" s="1164"/>
      <c r="AD646" s="473"/>
      <c r="AE646" s="1164"/>
      <c r="AF646" s="473"/>
      <c r="AG646" s="1164"/>
      <c r="AH646" s="473"/>
      <c r="AI646" s="473"/>
      <c r="AJ646" s="1164"/>
      <c r="AK646" s="473"/>
      <c r="AL646" s="473"/>
      <c r="AM646" s="1164"/>
      <c r="AN646" s="473"/>
      <c r="AO646" s="473"/>
      <c r="AP646" s="1164"/>
      <c r="AQ646" s="473"/>
      <c r="AR646" s="473"/>
      <c r="AS646" s="1236"/>
      <c r="AT646" s="473"/>
      <c r="AU646" s="473"/>
      <c r="AV646" s="1164"/>
      <c r="AW646" s="1164"/>
      <c r="AX646" s="1236"/>
      <c r="AY646" s="473"/>
      <c r="AZ646" s="1236"/>
      <c r="BA646" s="473"/>
      <c r="BB646" s="473"/>
      <c r="BC646" s="1164"/>
      <c r="BD646" s="20"/>
      <c r="BE646" s="473"/>
      <c r="BF646" s="610"/>
      <c r="BG646" s="610"/>
      <c r="BH646" s="610"/>
      <c r="BI646" s="610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</row>
    <row r="647" spans="1:148" s="22" customFormat="1" x14ac:dyDescent="0.25">
      <c r="A647" s="20"/>
      <c r="B647" s="16"/>
      <c r="C647" s="473"/>
      <c r="D647" s="473"/>
      <c r="E647" s="1164"/>
      <c r="F647" s="473"/>
      <c r="G647" s="473"/>
      <c r="H647" s="1164"/>
      <c r="I647" s="473"/>
      <c r="J647" s="473"/>
      <c r="K647" s="1164"/>
      <c r="L647" s="473"/>
      <c r="M647" s="473"/>
      <c r="N647" s="1164"/>
      <c r="O647" s="473"/>
      <c r="P647" s="473"/>
      <c r="Q647" s="1164"/>
      <c r="R647" s="473"/>
      <c r="S647" s="473"/>
      <c r="T647" s="1164"/>
      <c r="U647" s="1164"/>
      <c r="V647" s="473"/>
      <c r="W647" s="473"/>
      <c r="X647" s="1164"/>
      <c r="Y647" s="473"/>
      <c r="Z647" s="473"/>
      <c r="AA647" s="1164"/>
      <c r="AB647" s="473"/>
      <c r="AC647" s="1164"/>
      <c r="AD647" s="473"/>
      <c r="AE647" s="1164"/>
      <c r="AF647" s="473"/>
      <c r="AG647" s="1164"/>
      <c r="AH647" s="473"/>
      <c r="AI647" s="473"/>
      <c r="AJ647" s="1164"/>
      <c r="AK647" s="473"/>
      <c r="AL647" s="473"/>
      <c r="AM647" s="1164"/>
      <c r="AN647" s="473"/>
      <c r="AO647" s="473"/>
      <c r="AP647" s="1164"/>
      <c r="AQ647" s="473"/>
      <c r="AR647" s="473"/>
      <c r="AS647" s="1236"/>
      <c r="AT647" s="473"/>
      <c r="AU647" s="473"/>
      <c r="AV647" s="1164"/>
      <c r="AW647" s="1164"/>
      <c r="AX647" s="1236"/>
      <c r="AY647" s="473"/>
      <c r="AZ647" s="1236"/>
      <c r="BA647" s="473"/>
      <c r="BB647" s="473"/>
      <c r="BC647" s="1164"/>
      <c r="BD647" s="20"/>
      <c r="BE647" s="473"/>
      <c r="BF647" s="610"/>
      <c r="BG647" s="610"/>
      <c r="BH647" s="610"/>
      <c r="BI647" s="610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</row>
    <row r="648" spans="1:148" s="22" customFormat="1" x14ac:dyDescent="0.25">
      <c r="A648" s="20"/>
      <c r="B648" s="16"/>
      <c r="C648" s="473"/>
      <c r="D648" s="473"/>
      <c r="E648" s="1164"/>
      <c r="F648" s="473"/>
      <c r="G648" s="473"/>
      <c r="H648" s="1164"/>
      <c r="I648" s="473"/>
      <c r="J648" s="473"/>
      <c r="K648" s="1164"/>
      <c r="L648" s="473"/>
      <c r="M648" s="473"/>
      <c r="N648" s="1164"/>
      <c r="O648" s="473"/>
      <c r="P648" s="473"/>
      <c r="Q648" s="1164"/>
      <c r="R648" s="473"/>
      <c r="S648" s="473"/>
      <c r="T648" s="1164"/>
      <c r="U648" s="1164"/>
      <c r="V648" s="473"/>
      <c r="W648" s="473"/>
      <c r="X648" s="1164"/>
      <c r="Y648" s="473"/>
      <c r="Z648" s="473"/>
      <c r="AA648" s="1164"/>
      <c r="AB648" s="473"/>
      <c r="AC648" s="1164"/>
      <c r="AD648" s="473"/>
      <c r="AE648" s="1164"/>
      <c r="AF648" s="473"/>
      <c r="AG648" s="1164"/>
      <c r="AH648" s="473"/>
      <c r="AI648" s="473"/>
      <c r="AJ648" s="1164"/>
      <c r="AK648" s="473"/>
      <c r="AL648" s="473"/>
      <c r="AM648" s="1164"/>
      <c r="AN648" s="473"/>
      <c r="AO648" s="473"/>
      <c r="AP648" s="1164"/>
      <c r="AQ648" s="473"/>
      <c r="AR648" s="473"/>
      <c r="AS648" s="1236"/>
      <c r="AT648" s="473"/>
      <c r="AU648" s="473"/>
      <c r="AV648" s="1164"/>
      <c r="AW648" s="1164"/>
      <c r="AX648" s="1236"/>
      <c r="AY648" s="473"/>
      <c r="AZ648" s="1236"/>
      <c r="BA648" s="473"/>
      <c r="BB648" s="473"/>
      <c r="BC648" s="1164"/>
      <c r="BD648" s="20"/>
      <c r="BE648" s="473"/>
      <c r="BF648" s="610"/>
      <c r="BG648" s="610"/>
      <c r="BH648" s="610"/>
      <c r="BI648" s="610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</row>
    <row r="649" spans="1:148" s="22" customFormat="1" x14ac:dyDescent="0.25">
      <c r="A649" s="20"/>
      <c r="B649" s="16"/>
      <c r="C649" s="473"/>
      <c r="D649" s="473"/>
      <c r="E649" s="1164"/>
      <c r="F649" s="473"/>
      <c r="G649" s="473"/>
      <c r="H649" s="1164"/>
      <c r="I649" s="473"/>
      <c r="J649" s="473"/>
      <c r="K649" s="1164"/>
      <c r="L649" s="473"/>
      <c r="M649" s="473"/>
      <c r="N649" s="1164"/>
      <c r="O649" s="473"/>
      <c r="P649" s="473"/>
      <c r="Q649" s="1164"/>
      <c r="R649" s="473"/>
      <c r="S649" s="473"/>
      <c r="T649" s="1164"/>
      <c r="U649" s="1164"/>
      <c r="V649" s="473"/>
      <c r="W649" s="473"/>
      <c r="X649" s="1164"/>
      <c r="Y649" s="473"/>
      <c r="Z649" s="473"/>
      <c r="AA649" s="1164"/>
      <c r="AB649" s="473"/>
      <c r="AC649" s="1164"/>
      <c r="AD649" s="473"/>
      <c r="AE649" s="1164"/>
      <c r="AF649" s="473"/>
      <c r="AG649" s="1164"/>
      <c r="AH649" s="473"/>
      <c r="AI649" s="473"/>
      <c r="AJ649" s="1164"/>
      <c r="AK649" s="473"/>
      <c r="AL649" s="473"/>
      <c r="AM649" s="1164"/>
      <c r="AN649" s="473"/>
      <c r="AO649" s="473"/>
      <c r="AP649" s="1164"/>
      <c r="AQ649" s="473"/>
      <c r="AR649" s="473"/>
      <c r="AS649" s="1236"/>
      <c r="AT649" s="473"/>
      <c r="AU649" s="473"/>
      <c r="AV649" s="1164"/>
      <c r="AW649" s="1164"/>
      <c r="AX649" s="1236"/>
      <c r="AY649" s="473"/>
      <c r="AZ649" s="1236"/>
      <c r="BA649" s="473"/>
      <c r="BB649" s="473"/>
      <c r="BC649" s="1164"/>
      <c r="BD649" s="20"/>
      <c r="BE649" s="473"/>
      <c r="BF649" s="610"/>
      <c r="BG649" s="610"/>
      <c r="BH649" s="610"/>
      <c r="BI649" s="610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</row>
    <row r="650" spans="1:148" s="22" customFormat="1" x14ac:dyDescent="0.25">
      <c r="A650" s="20"/>
      <c r="B650" s="16"/>
      <c r="C650" s="473"/>
      <c r="D650" s="473"/>
      <c r="E650" s="1164"/>
      <c r="F650" s="473"/>
      <c r="G650" s="473"/>
      <c r="H650" s="1164"/>
      <c r="I650" s="473"/>
      <c r="J650" s="473"/>
      <c r="K650" s="1164"/>
      <c r="L650" s="473"/>
      <c r="M650" s="473"/>
      <c r="N650" s="1164"/>
      <c r="O650" s="473"/>
      <c r="P650" s="473"/>
      <c r="Q650" s="1164"/>
      <c r="R650" s="473"/>
      <c r="S650" s="473"/>
      <c r="T650" s="1164"/>
      <c r="U650" s="1164"/>
      <c r="V650" s="473"/>
      <c r="W650" s="473"/>
      <c r="X650" s="1164"/>
      <c r="Y650" s="473"/>
      <c r="Z650" s="473"/>
      <c r="AA650" s="1164"/>
      <c r="AB650" s="473"/>
      <c r="AC650" s="1164"/>
      <c r="AD650" s="473"/>
      <c r="AE650" s="1164"/>
      <c r="AF650" s="473"/>
      <c r="AG650" s="1164"/>
      <c r="AH650" s="473"/>
      <c r="AI650" s="473"/>
      <c r="AJ650" s="1164"/>
      <c r="AK650" s="473"/>
      <c r="AL650" s="473"/>
      <c r="AM650" s="1164"/>
      <c r="AN650" s="473"/>
      <c r="AO650" s="473"/>
      <c r="AP650" s="1164"/>
      <c r="AQ650" s="473"/>
      <c r="AR650" s="473"/>
      <c r="AS650" s="1236"/>
      <c r="AT650" s="473"/>
      <c r="AU650" s="473"/>
      <c r="AV650" s="1164"/>
      <c r="AW650" s="1164"/>
      <c r="AX650" s="1236"/>
      <c r="AY650" s="473"/>
      <c r="AZ650" s="1236"/>
      <c r="BA650" s="473"/>
      <c r="BB650" s="473"/>
      <c r="BC650" s="1164"/>
      <c r="BD650" s="20"/>
      <c r="BE650" s="473"/>
      <c r="BF650" s="610"/>
      <c r="BG650" s="610"/>
      <c r="BH650" s="610"/>
      <c r="BI650" s="610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</row>
    <row r="651" spans="1:148" s="22" customFormat="1" x14ac:dyDescent="0.25">
      <c r="A651" s="20"/>
      <c r="B651" s="16"/>
      <c r="C651" s="473"/>
      <c r="D651" s="473"/>
      <c r="E651" s="1164"/>
      <c r="F651" s="473"/>
      <c r="G651" s="473"/>
      <c r="H651" s="1164"/>
      <c r="I651" s="473"/>
      <c r="J651" s="473"/>
      <c r="K651" s="1164"/>
      <c r="L651" s="473"/>
      <c r="M651" s="473"/>
      <c r="N651" s="1164"/>
      <c r="O651" s="473"/>
      <c r="P651" s="473"/>
      <c r="Q651" s="1164"/>
      <c r="R651" s="473"/>
      <c r="S651" s="473"/>
      <c r="T651" s="1164"/>
      <c r="U651" s="1164"/>
      <c r="V651" s="473"/>
      <c r="W651" s="473"/>
      <c r="X651" s="1164"/>
      <c r="Y651" s="473"/>
      <c r="Z651" s="473"/>
      <c r="AA651" s="1164"/>
      <c r="AB651" s="473"/>
      <c r="AC651" s="1164"/>
      <c r="AD651" s="473"/>
      <c r="AE651" s="1164"/>
      <c r="AF651" s="473"/>
      <c r="AG651" s="1164"/>
      <c r="AH651" s="473"/>
      <c r="AI651" s="473"/>
      <c r="AJ651" s="1164"/>
      <c r="AK651" s="473"/>
      <c r="AL651" s="473"/>
      <c r="AM651" s="1164"/>
      <c r="AN651" s="473"/>
      <c r="AO651" s="473"/>
      <c r="AP651" s="1164"/>
      <c r="AQ651" s="473"/>
      <c r="AR651" s="473"/>
      <c r="AS651" s="1236"/>
      <c r="AT651" s="473"/>
      <c r="AU651" s="473"/>
      <c r="AV651" s="1164"/>
      <c r="AW651" s="1164"/>
      <c r="AX651" s="1236"/>
      <c r="AY651" s="473"/>
      <c r="AZ651" s="1236"/>
      <c r="BA651" s="473"/>
      <c r="BB651" s="473"/>
      <c r="BC651" s="1164"/>
      <c r="BD651" s="20"/>
      <c r="BE651" s="473"/>
      <c r="BF651" s="610"/>
      <c r="BG651" s="610"/>
      <c r="BH651" s="610"/>
      <c r="BI651" s="610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</row>
    <row r="652" spans="1:148" s="22" customFormat="1" x14ac:dyDescent="0.25">
      <c r="A652" s="20"/>
      <c r="B652" s="16"/>
      <c r="C652" s="473"/>
      <c r="D652" s="473"/>
      <c r="E652" s="1164"/>
      <c r="F652" s="473"/>
      <c r="G652" s="473"/>
      <c r="H652" s="1164"/>
      <c r="I652" s="473"/>
      <c r="J652" s="473"/>
      <c r="K652" s="1164"/>
      <c r="L652" s="473"/>
      <c r="M652" s="473"/>
      <c r="N652" s="1164"/>
      <c r="O652" s="473"/>
      <c r="P652" s="473"/>
      <c r="Q652" s="1164"/>
      <c r="R652" s="473"/>
      <c r="S652" s="473"/>
      <c r="T652" s="1164"/>
      <c r="U652" s="1164"/>
      <c r="V652" s="473"/>
      <c r="W652" s="473"/>
      <c r="X652" s="1164"/>
      <c r="Y652" s="473"/>
      <c r="Z652" s="473"/>
      <c r="AA652" s="1164"/>
      <c r="AB652" s="473"/>
      <c r="AC652" s="1164"/>
      <c r="AD652" s="473"/>
      <c r="AE652" s="1164"/>
      <c r="AF652" s="473"/>
      <c r="AG652" s="1164"/>
      <c r="AH652" s="473"/>
      <c r="AI652" s="473"/>
      <c r="AJ652" s="1164"/>
      <c r="AK652" s="473"/>
      <c r="AL652" s="473"/>
      <c r="AM652" s="1164"/>
      <c r="AN652" s="473"/>
      <c r="AO652" s="473"/>
      <c r="AP652" s="1164"/>
      <c r="AQ652" s="473"/>
      <c r="AR652" s="473"/>
      <c r="AS652" s="1236"/>
      <c r="AT652" s="473"/>
      <c r="AU652" s="473"/>
      <c r="AV652" s="1164"/>
      <c r="AW652" s="1164"/>
      <c r="AX652" s="1236"/>
      <c r="AY652" s="473"/>
      <c r="AZ652" s="1236"/>
      <c r="BA652" s="473"/>
      <c r="BB652" s="473"/>
      <c r="BC652" s="1164"/>
      <c r="BD652" s="20"/>
      <c r="BE652" s="473"/>
      <c r="BF652" s="610"/>
      <c r="BG652" s="610"/>
      <c r="BH652" s="610"/>
      <c r="BI652" s="610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</row>
    <row r="653" spans="1:148" s="22" customFormat="1" x14ac:dyDescent="0.25">
      <c r="A653" s="20"/>
      <c r="B653" s="16"/>
      <c r="C653" s="473"/>
      <c r="D653" s="473"/>
      <c r="E653" s="1164"/>
      <c r="F653" s="473"/>
      <c r="G653" s="473"/>
      <c r="H653" s="1164"/>
      <c r="I653" s="473"/>
      <c r="J653" s="473"/>
      <c r="K653" s="1164"/>
      <c r="L653" s="473"/>
      <c r="M653" s="473"/>
      <c r="N653" s="1164"/>
      <c r="O653" s="473"/>
      <c r="P653" s="473"/>
      <c r="Q653" s="1164"/>
      <c r="R653" s="473"/>
      <c r="S653" s="473"/>
      <c r="T653" s="1164"/>
      <c r="U653" s="1164"/>
      <c r="V653" s="473"/>
      <c r="W653" s="473"/>
      <c r="X653" s="1164"/>
      <c r="Y653" s="473"/>
      <c r="Z653" s="473"/>
      <c r="AA653" s="1164"/>
      <c r="AB653" s="473"/>
      <c r="AC653" s="1164"/>
      <c r="AD653" s="473"/>
      <c r="AE653" s="1164"/>
      <c r="AF653" s="473"/>
      <c r="AG653" s="1164"/>
      <c r="AH653" s="473"/>
      <c r="AI653" s="473"/>
      <c r="AJ653" s="1164"/>
      <c r="AK653" s="473"/>
      <c r="AL653" s="473"/>
      <c r="AM653" s="1164"/>
      <c r="AN653" s="473"/>
      <c r="AO653" s="473"/>
      <c r="AP653" s="1164"/>
      <c r="AQ653" s="473"/>
      <c r="AR653" s="473"/>
      <c r="AS653" s="1236"/>
      <c r="AT653" s="473"/>
      <c r="AU653" s="473"/>
      <c r="AV653" s="1164"/>
      <c r="AW653" s="1164"/>
      <c r="AX653" s="1236"/>
      <c r="AY653" s="473"/>
      <c r="AZ653" s="1236"/>
      <c r="BA653" s="473"/>
      <c r="BB653" s="473"/>
      <c r="BC653" s="1164"/>
      <c r="BD653" s="20"/>
      <c r="BE653" s="473"/>
      <c r="BF653" s="610"/>
      <c r="BG653" s="610"/>
      <c r="BH653" s="610"/>
      <c r="BI653" s="610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</row>
    <row r="654" spans="1:148" s="22" customFormat="1" x14ac:dyDescent="0.25">
      <c r="A654" s="20"/>
      <c r="B654" s="16"/>
      <c r="C654" s="473"/>
      <c r="D654" s="473"/>
      <c r="E654" s="1164"/>
      <c r="F654" s="473"/>
      <c r="G654" s="473"/>
      <c r="H654" s="1164"/>
      <c r="I654" s="473"/>
      <c r="J654" s="473"/>
      <c r="K654" s="1164"/>
      <c r="L654" s="473"/>
      <c r="M654" s="473"/>
      <c r="N654" s="1164"/>
      <c r="O654" s="473"/>
      <c r="P654" s="473"/>
      <c r="Q654" s="1164"/>
      <c r="R654" s="473"/>
      <c r="S654" s="473"/>
      <c r="T654" s="1164"/>
      <c r="U654" s="1164"/>
      <c r="V654" s="473"/>
      <c r="W654" s="473"/>
      <c r="X654" s="1164"/>
      <c r="Y654" s="473"/>
      <c r="Z654" s="473"/>
      <c r="AA654" s="1164"/>
      <c r="AB654" s="473"/>
      <c r="AC654" s="1164"/>
      <c r="AD654" s="473"/>
      <c r="AE654" s="1164"/>
      <c r="AF654" s="473"/>
      <c r="AG654" s="1164"/>
      <c r="AH654" s="473"/>
      <c r="AI654" s="473"/>
      <c r="AJ654" s="1164"/>
      <c r="AK654" s="473"/>
      <c r="AL654" s="473"/>
      <c r="AM654" s="1164"/>
      <c r="AN654" s="473"/>
      <c r="AO654" s="473"/>
      <c r="AP654" s="1164"/>
      <c r="AQ654" s="473"/>
      <c r="AR654" s="473"/>
      <c r="AS654" s="1236"/>
      <c r="AT654" s="473"/>
      <c r="AU654" s="473"/>
      <c r="AV654" s="1164"/>
      <c r="AW654" s="1164"/>
      <c r="AX654" s="1236"/>
      <c r="AY654" s="473"/>
      <c r="AZ654" s="1236"/>
      <c r="BA654" s="473"/>
      <c r="BB654" s="473"/>
      <c r="BC654" s="1164"/>
      <c r="BD654" s="20"/>
      <c r="BE654" s="473"/>
      <c r="BF654" s="610"/>
      <c r="BG654" s="610"/>
      <c r="BH654" s="610"/>
      <c r="BI654" s="610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</row>
    <row r="655" spans="1:148" s="22" customFormat="1" x14ac:dyDescent="0.25">
      <c r="A655" s="20"/>
      <c r="B655" s="16"/>
      <c r="C655" s="473"/>
      <c r="D655" s="473"/>
      <c r="E655" s="1164"/>
      <c r="F655" s="473"/>
      <c r="G655" s="473"/>
      <c r="H655" s="1164"/>
      <c r="I655" s="473"/>
      <c r="J655" s="473"/>
      <c r="K655" s="1164"/>
      <c r="L655" s="473"/>
      <c r="M655" s="473"/>
      <c r="N655" s="1164"/>
      <c r="O655" s="473"/>
      <c r="P655" s="473"/>
      <c r="Q655" s="1164"/>
      <c r="R655" s="473"/>
      <c r="S655" s="473"/>
      <c r="T655" s="1164"/>
      <c r="U655" s="1164"/>
      <c r="V655" s="473"/>
      <c r="W655" s="473"/>
      <c r="X655" s="1164"/>
      <c r="Y655" s="473"/>
      <c r="Z655" s="473"/>
      <c r="AA655" s="1164"/>
      <c r="AB655" s="473"/>
      <c r="AC655" s="1164"/>
      <c r="AD655" s="473"/>
      <c r="AE655" s="1164"/>
      <c r="AF655" s="473"/>
      <c r="AG655" s="1164"/>
      <c r="AH655" s="473"/>
      <c r="AI655" s="473"/>
      <c r="AJ655" s="1164"/>
      <c r="AK655" s="473"/>
      <c r="AL655" s="473"/>
      <c r="AM655" s="1164"/>
      <c r="AN655" s="473"/>
      <c r="AO655" s="473"/>
      <c r="AP655" s="1164"/>
      <c r="AQ655" s="473"/>
      <c r="AR655" s="473"/>
      <c r="AS655" s="1236"/>
      <c r="AT655" s="473"/>
      <c r="AU655" s="473"/>
      <c r="AV655" s="1164"/>
      <c r="AW655" s="1164"/>
      <c r="AX655" s="1236"/>
      <c r="AY655" s="473"/>
      <c r="AZ655" s="1236"/>
      <c r="BA655" s="473"/>
      <c r="BB655" s="473"/>
      <c r="BC655" s="1164"/>
      <c r="BD655" s="20"/>
      <c r="BE655" s="473"/>
      <c r="BF655" s="610"/>
      <c r="BG655" s="610"/>
      <c r="BH655" s="610"/>
      <c r="BI655" s="610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</row>
    <row r="656" spans="1:148" s="22" customFormat="1" x14ac:dyDescent="0.25">
      <c r="A656" s="20"/>
      <c r="B656" s="16"/>
      <c r="C656" s="473"/>
      <c r="D656" s="473"/>
      <c r="E656" s="1164"/>
      <c r="F656" s="473"/>
      <c r="G656" s="473"/>
      <c r="H656" s="1164"/>
      <c r="I656" s="473"/>
      <c r="J656" s="473"/>
      <c r="K656" s="1164"/>
      <c r="L656" s="473"/>
      <c r="M656" s="473"/>
      <c r="N656" s="1164"/>
      <c r="O656" s="473"/>
      <c r="P656" s="473"/>
      <c r="Q656" s="1164"/>
      <c r="R656" s="473"/>
      <c r="S656" s="473"/>
      <c r="T656" s="1164"/>
      <c r="U656" s="1164"/>
      <c r="V656" s="473"/>
      <c r="W656" s="473"/>
      <c r="X656" s="1164"/>
      <c r="Y656" s="473"/>
      <c r="Z656" s="473"/>
      <c r="AA656" s="1164"/>
      <c r="AB656" s="473"/>
      <c r="AC656" s="1164"/>
      <c r="AD656" s="473"/>
      <c r="AE656" s="1164"/>
      <c r="AF656" s="473"/>
      <c r="AG656" s="1164"/>
      <c r="AH656" s="473"/>
      <c r="AI656" s="473"/>
      <c r="AJ656" s="1164"/>
      <c r="AK656" s="473"/>
      <c r="AL656" s="473"/>
      <c r="AM656" s="1164"/>
      <c r="AN656" s="473"/>
      <c r="AO656" s="473"/>
      <c r="AP656" s="1164"/>
      <c r="AQ656" s="473"/>
      <c r="AR656" s="473"/>
      <c r="AS656" s="1236"/>
      <c r="AT656" s="473"/>
      <c r="AU656" s="473"/>
      <c r="AV656" s="1164"/>
      <c r="AW656" s="1164"/>
      <c r="AX656" s="1236"/>
      <c r="AY656" s="473"/>
      <c r="AZ656" s="1236"/>
      <c r="BA656" s="473"/>
      <c r="BB656" s="473"/>
      <c r="BC656" s="1164"/>
      <c r="BD656" s="20"/>
      <c r="BE656" s="473"/>
      <c r="BF656" s="610"/>
      <c r="BG656" s="610"/>
      <c r="BH656" s="610"/>
      <c r="BI656" s="610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</row>
    <row r="657" spans="1:148" s="22" customFormat="1" x14ac:dyDescent="0.25">
      <c r="A657" s="20"/>
      <c r="B657" s="16"/>
      <c r="C657" s="473"/>
      <c r="D657" s="473"/>
      <c r="E657" s="1164"/>
      <c r="F657" s="473"/>
      <c r="G657" s="473"/>
      <c r="H657" s="1164"/>
      <c r="I657" s="473"/>
      <c r="J657" s="473"/>
      <c r="K657" s="1164"/>
      <c r="L657" s="473"/>
      <c r="M657" s="473"/>
      <c r="N657" s="1164"/>
      <c r="O657" s="473"/>
      <c r="P657" s="473"/>
      <c r="Q657" s="1164"/>
      <c r="R657" s="473"/>
      <c r="S657" s="473"/>
      <c r="T657" s="1164"/>
      <c r="U657" s="1164"/>
      <c r="V657" s="473"/>
      <c r="W657" s="473"/>
      <c r="X657" s="1164"/>
      <c r="Y657" s="473"/>
      <c r="Z657" s="473"/>
      <c r="AA657" s="1164"/>
      <c r="AB657" s="473"/>
      <c r="AC657" s="1164"/>
      <c r="AD657" s="473"/>
      <c r="AE657" s="1164"/>
      <c r="AF657" s="473"/>
      <c r="AG657" s="1164"/>
      <c r="AH657" s="473"/>
      <c r="AI657" s="473"/>
      <c r="AJ657" s="1164"/>
      <c r="AK657" s="473"/>
      <c r="AL657" s="473"/>
      <c r="AM657" s="1164"/>
      <c r="AN657" s="473"/>
      <c r="AO657" s="473"/>
      <c r="AP657" s="1164"/>
      <c r="AQ657" s="473"/>
      <c r="AR657" s="473"/>
      <c r="AS657" s="1236"/>
      <c r="AT657" s="473"/>
      <c r="AU657" s="473"/>
      <c r="AV657" s="1164"/>
      <c r="AW657" s="1164"/>
      <c r="AX657" s="1236"/>
      <c r="AY657" s="473"/>
      <c r="AZ657" s="1236"/>
      <c r="BA657" s="473"/>
      <c r="BB657" s="473"/>
      <c r="BC657" s="1164"/>
      <c r="BD657" s="20"/>
      <c r="BE657" s="473"/>
      <c r="BF657" s="610"/>
      <c r="BG657" s="610"/>
      <c r="BH657" s="610"/>
      <c r="BI657" s="610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</row>
    <row r="658" spans="1:148" s="22" customFormat="1" x14ac:dyDescent="0.25">
      <c r="A658" s="20"/>
      <c r="B658" s="16"/>
      <c r="C658" s="473"/>
      <c r="D658" s="473"/>
      <c r="E658" s="1164"/>
      <c r="F658" s="473"/>
      <c r="G658" s="473"/>
      <c r="H658" s="1164"/>
      <c r="I658" s="473"/>
      <c r="J658" s="473"/>
      <c r="K658" s="1164"/>
      <c r="L658" s="473"/>
      <c r="M658" s="473"/>
      <c r="N658" s="1164"/>
      <c r="O658" s="473"/>
      <c r="P658" s="473"/>
      <c r="Q658" s="1164"/>
      <c r="R658" s="473"/>
      <c r="S658" s="473"/>
      <c r="T658" s="1164"/>
      <c r="U658" s="1164"/>
      <c r="V658" s="473"/>
      <c r="W658" s="473"/>
      <c r="X658" s="1164"/>
      <c r="Y658" s="473"/>
      <c r="Z658" s="473"/>
      <c r="AA658" s="1164"/>
      <c r="AB658" s="473"/>
      <c r="AC658" s="1164"/>
      <c r="AD658" s="473"/>
      <c r="AE658" s="1164"/>
      <c r="AF658" s="473"/>
      <c r="AG658" s="1164"/>
      <c r="AH658" s="473"/>
      <c r="AI658" s="473"/>
      <c r="AJ658" s="1164"/>
      <c r="AK658" s="473"/>
      <c r="AL658" s="473"/>
      <c r="AM658" s="1164"/>
      <c r="AN658" s="473"/>
      <c r="AO658" s="473"/>
      <c r="AP658" s="1164"/>
      <c r="AQ658" s="473"/>
      <c r="AR658" s="473"/>
      <c r="AS658" s="1236"/>
      <c r="AT658" s="473"/>
      <c r="AU658" s="473"/>
      <c r="AV658" s="1164"/>
      <c r="AW658" s="1164"/>
      <c r="AX658" s="1236"/>
      <c r="AY658" s="473"/>
      <c r="AZ658" s="1236"/>
      <c r="BA658" s="473"/>
      <c r="BB658" s="473"/>
      <c r="BC658" s="1164"/>
      <c r="BD658" s="20"/>
      <c r="BE658" s="473"/>
      <c r="BF658" s="610"/>
      <c r="BG658" s="610"/>
      <c r="BH658" s="610"/>
      <c r="BI658" s="610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</row>
    <row r="659" spans="1:148" s="22" customFormat="1" x14ac:dyDescent="0.25">
      <c r="A659" s="20"/>
      <c r="B659" s="16"/>
      <c r="C659" s="473"/>
      <c r="D659" s="473"/>
      <c r="E659" s="1164"/>
      <c r="F659" s="473"/>
      <c r="G659" s="473"/>
      <c r="H659" s="1164"/>
      <c r="I659" s="473"/>
      <c r="J659" s="473"/>
      <c r="K659" s="1164"/>
      <c r="L659" s="473"/>
      <c r="M659" s="473"/>
      <c r="N659" s="1164"/>
      <c r="O659" s="473"/>
      <c r="P659" s="473"/>
      <c r="Q659" s="1164"/>
      <c r="R659" s="473"/>
      <c r="S659" s="473"/>
      <c r="T659" s="1164"/>
      <c r="U659" s="1164"/>
      <c r="V659" s="473"/>
      <c r="W659" s="473"/>
      <c r="X659" s="1164"/>
      <c r="Y659" s="473"/>
      <c r="Z659" s="473"/>
      <c r="AA659" s="1164"/>
      <c r="AB659" s="473"/>
      <c r="AC659" s="1164"/>
      <c r="AD659" s="473"/>
      <c r="AE659" s="1164"/>
      <c r="AF659" s="473"/>
      <c r="AG659" s="1164"/>
      <c r="AH659" s="473"/>
      <c r="AI659" s="473"/>
      <c r="AJ659" s="1164"/>
      <c r="AK659" s="473"/>
      <c r="AL659" s="473"/>
      <c r="AM659" s="1164"/>
      <c r="AN659" s="473"/>
      <c r="AO659" s="473"/>
      <c r="AP659" s="1164"/>
      <c r="AQ659" s="473"/>
      <c r="AR659" s="473"/>
      <c r="AS659" s="1236"/>
      <c r="AT659" s="473"/>
      <c r="AU659" s="473"/>
      <c r="AV659" s="1164"/>
      <c r="AW659" s="1164"/>
      <c r="AX659" s="1236"/>
      <c r="AY659" s="473"/>
      <c r="AZ659" s="1236"/>
      <c r="BA659" s="473"/>
      <c r="BB659" s="473"/>
      <c r="BC659" s="1164"/>
      <c r="BD659" s="20"/>
      <c r="BE659" s="473"/>
      <c r="BF659" s="610"/>
      <c r="BG659" s="610"/>
      <c r="BH659" s="610"/>
      <c r="BI659" s="610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</row>
    <row r="660" spans="1:148" s="22" customFormat="1" x14ac:dyDescent="0.25">
      <c r="A660" s="20"/>
      <c r="B660" s="16"/>
      <c r="C660" s="473"/>
      <c r="D660" s="473"/>
      <c r="E660" s="1164"/>
      <c r="F660" s="473"/>
      <c r="G660" s="473"/>
      <c r="H660" s="1164"/>
      <c r="I660" s="473"/>
      <c r="J660" s="473"/>
      <c r="K660" s="1164"/>
      <c r="L660" s="473"/>
      <c r="M660" s="473"/>
      <c r="N660" s="1164"/>
      <c r="O660" s="473"/>
      <c r="P660" s="473"/>
      <c r="Q660" s="1164"/>
      <c r="R660" s="473"/>
      <c r="S660" s="473"/>
      <c r="T660" s="1164"/>
      <c r="U660" s="1164"/>
      <c r="V660" s="473"/>
      <c r="W660" s="473"/>
      <c r="X660" s="1164"/>
      <c r="Y660" s="473"/>
      <c r="Z660" s="473"/>
      <c r="AA660" s="1164"/>
      <c r="AB660" s="473"/>
      <c r="AC660" s="1164"/>
      <c r="AD660" s="473"/>
      <c r="AE660" s="1164"/>
      <c r="AF660" s="473"/>
      <c r="AG660" s="1164"/>
      <c r="AH660" s="473"/>
      <c r="AI660" s="473"/>
      <c r="AJ660" s="1164"/>
      <c r="AK660" s="473"/>
      <c r="AL660" s="473"/>
      <c r="AM660" s="1164"/>
      <c r="AN660" s="473"/>
      <c r="AO660" s="473"/>
      <c r="AP660" s="1164"/>
      <c r="AQ660" s="473"/>
      <c r="AR660" s="473"/>
      <c r="AS660" s="1236"/>
      <c r="AT660" s="473"/>
      <c r="AU660" s="473"/>
      <c r="AV660" s="1164"/>
      <c r="AW660" s="1164"/>
      <c r="AX660" s="1236"/>
      <c r="AY660" s="473"/>
      <c r="AZ660" s="1236"/>
      <c r="BA660" s="473"/>
      <c r="BB660" s="473"/>
      <c r="BC660" s="1164"/>
      <c r="BD660" s="20"/>
      <c r="BE660" s="473"/>
      <c r="BF660" s="610"/>
      <c r="BG660" s="610"/>
      <c r="BH660" s="610"/>
      <c r="BI660" s="610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</row>
    <row r="661" spans="1:148" s="22" customFormat="1" x14ac:dyDescent="0.25">
      <c r="A661" s="20"/>
      <c r="B661" s="16"/>
      <c r="C661" s="473"/>
      <c r="D661" s="473"/>
      <c r="E661" s="1164"/>
      <c r="F661" s="473"/>
      <c r="G661" s="473"/>
      <c r="H661" s="1164"/>
      <c r="I661" s="473"/>
      <c r="J661" s="473"/>
      <c r="K661" s="1164"/>
      <c r="L661" s="473"/>
      <c r="M661" s="473"/>
      <c r="N661" s="1164"/>
      <c r="O661" s="473"/>
      <c r="P661" s="473"/>
      <c r="Q661" s="1164"/>
      <c r="R661" s="473"/>
      <c r="S661" s="473"/>
      <c r="T661" s="1164"/>
      <c r="U661" s="1164"/>
      <c r="V661" s="473"/>
      <c r="W661" s="473"/>
      <c r="X661" s="1164"/>
      <c r="Y661" s="473"/>
      <c r="Z661" s="473"/>
      <c r="AA661" s="1164"/>
      <c r="AB661" s="473"/>
      <c r="AC661" s="1164"/>
      <c r="AD661" s="473"/>
      <c r="AE661" s="1164"/>
      <c r="AF661" s="473"/>
      <c r="AG661" s="1164"/>
      <c r="AH661" s="473"/>
      <c r="AI661" s="473"/>
      <c r="AJ661" s="1164"/>
      <c r="AK661" s="473"/>
      <c r="AL661" s="473"/>
      <c r="AM661" s="1164"/>
      <c r="AN661" s="473"/>
      <c r="AO661" s="473"/>
      <c r="AP661" s="1164"/>
      <c r="AQ661" s="473"/>
      <c r="AR661" s="473"/>
      <c r="AS661" s="1236"/>
      <c r="AT661" s="473"/>
      <c r="AU661" s="473"/>
      <c r="AV661" s="1164"/>
      <c r="AW661" s="1164"/>
      <c r="AX661" s="1236"/>
      <c r="AY661" s="473"/>
      <c r="AZ661" s="1236"/>
      <c r="BA661" s="473"/>
      <c r="BB661" s="473"/>
      <c r="BC661" s="1164"/>
      <c r="BD661" s="20"/>
      <c r="BE661" s="473"/>
      <c r="BF661" s="610"/>
      <c r="BG661" s="610"/>
      <c r="BH661" s="610"/>
      <c r="BI661" s="610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</row>
    <row r="662" spans="1:148" s="22" customFormat="1" x14ac:dyDescent="0.25">
      <c r="A662" s="20"/>
      <c r="B662" s="16"/>
      <c r="C662" s="473"/>
      <c r="D662" s="473"/>
      <c r="E662" s="1164"/>
      <c r="F662" s="473"/>
      <c r="G662" s="473"/>
      <c r="H662" s="1164"/>
      <c r="I662" s="473"/>
      <c r="J662" s="473"/>
      <c r="K662" s="1164"/>
      <c r="L662" s="473"/>
      <c r="M662" s="473"/>
      <c r="N662" s="1164"/>
      <c r="O662" s="473"/>
      <c r="P662" s="473"/>
      <c r="Q662" s="1164"/>
      <c r="R662" s="473"/>
      <c r="S662" s="473"/>
      <c r="T662" s="1164"/>
      <c r="U662" s="1164"/>
      <c r="V662" s="473"/>
      <c r="W662" s="473"/>
      <c r="X662" s="1164"/>
      <c r="Y662" s="473"/>
      <c r="Z662" s="473"/>
      <c r="AA662" s="1164"/>
      <c r="AB662" s="473"/>
      <c r="AC662" s="1164"/>
      <c r="AD662" s="473"/>
      <c r="AE662" s="1164"/>
      <c r="AF662" s="473"/>
      <c r="AG662" s="1164"/>
      <c r="AH662" s="473"/>
      <c r="AI662" s="473"/>
      <c r="AJ662" s="1164"/>
      <c r="AK662" s="473"/>
      <c r="AL662" s="473"/>
      <c r="AM662" s="1164"/>
      <c r="AN662" s="473"/>
      <c r="AO662" s="473"/>
      <c r="AP662" s="1164"/>
      <c r="AQ662" s="473"/>
      <c r="AR662" s="473"/>
      <c r="AS662" s="1236"/>
      <c r="AT662" s="473"/>
      <c r="AU662" s="473"/>
      <c r="AV662" s="1164"/>
      <c r="AW662" s="1164"/>
      <c r="AX662" s="1236"/>
      <c r="AY662" s="473"/>
      <c r="AZ662" s="1236"/>
      <c r="BA662" s="473"/>
      <c r="BB662" s="473"/>
      <c r="BC662" s="1164"/>
      <c r="BD662" s="20"/>
      <c r="BE662" s="473"/>
      <c r="BF662" s="610"/>
      <c r="BG662" s="610"/>
      <c r="BH662" s="610"/>
      <c r="BI662" s="610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</row>
    <row r="663" spans="1:148" s="22" customFormat="1" x14ac:dyDescent="0.25">
      <c r="A663" s="20"/>
      <c r="B663" s="16"/>
      <c r="C663" s="473"/>
      <c r="D663" s="473"/>
      <c r="E663" s="1164"/>
      <c r="F663" s="473"/>
      <c r="G663" s="473"/>
      <c r="H663" s="1164"/>
      <c r="I663" s="473"/>
      <c r="J663" s="473"/>
      <c r="K663" s="1164"/>
      <c r="L663" s="473"/>
      <c r="M663" s="473"/>
      <c r="N663" s="1164"/>
      <c r="O663" s="473"/>
      <c r="P663" s="473"/>
      <c r="Q663" s="1164"/>
      <c r="R663" s="473"/>
      <c r="S663" s="473"/>
      <c r="T663" s="1164"/>
      <c r="U663" s="1164"/>
      <c r="V663" s="473"/>
      <c r="W663" s="473"/>
      <c r="X663" s="1164"/>
      <c r="Y663" s="473"/>
      <c r="Z663" s="473"/>
      <c r="AA663" s="1164"/>
      <c r="AB663" s="473"/>
      <c r="AC663" s="1164"/>
      <c r="AD663" s="473"/>
      <c r="AE663" s="1164"/>
      <c r="AF663" s="473"/>
      <c r="AG663" s="1164"/>
      <c r="AH663" s="473"/>
      <c r="AI663" s="473"/>
      <c r="AJ663" s="1164"/>
      <c r="AK663" s="473"/>
      <c r="AL663" s="473"/>
      <c r="AM663" s="1164"/>
      <c r="AN663" s="473"/>
      <c r="AO663" s="473"/>
      <c r="AP663" s="1164"/>
      <c r="AQ663" s="473"/>
      <c r="AR663" s="473"/>
      <c r="AS663" s="1236"/>
      <c r="AT663" s="473"/>
      <c r="AU663" s="473"/>
      <c r="AV663" s="1164"/>
      <c r="AW663" s="1164"/>
      <c r="AX663" s="1236"/>
      <c r="AY663" s="473"/>
      <c r="AZ663" s="1236"/>
      <c r="BA663" s="473"/>
      <c r="BB663" s="473"/>
      <c r="BC663" s="1164"/>
      <c r="BD663" s="20"/>
      <c r="BE663" s="473"/>
      <c r="BF663" s="610"/>
      <c r="BG663" s="610"/>
      <c r="BH663" s="610"/>
      <c r="BI663" s="610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</row>
    <row r="664" spans="1:148" s="22" customFormat="1" x14ac:dyDescent="0.25">
      <c r="A664" s="20"/>
      <c r="B664" s="16"/>
      <c r="C664" s="473"/>
      <c r="D664" s="473"/>
      <c r="E664" s="1164"/>
      <c r="F664" s="473"/>
      <c r="G664" s="473"/>
      <c r="H664" s="1164"/>
      <c r="I664" s="473"/>
      <c r="J664" s="473"/>
      <c r="K664" s="1164"/>
      <c r="L664" s="473"/>
      <c r="M664" s="473"/>
      <c r="N664" s="1164"/>
      <c r="O664" s="473"/>
      <c r="P664" s="473"/>
      <c r="Q664" s="1164"/>
      <c r="R664" s="473"/>
      <c r="S664" s="473"/>
      <c r="T664" s="1164"/>
      <c r="U664" s="1164"/>
      <c r="V664" s="473"/>
      <c r="W664" s="473"/>
      <c r="X664" s="1164"/>
      <c r="Y664" s="473"/>
      <c r="Z664" s="473"/>
      <c r="AA664" s="1164"/>
      <c r="AB664" s="473"/>
      <c r="AC664" s="1164"/>
      <c r="AD664" s="473"/>
      <c r="AE664" s="1164"/>
      <c r="AF664" s="473"/>
      <c r="AG664" s="1164"/>
      <c r="AH664" s="473"/>
      <c r="AI664" s="473"/>
      <c r="AJ664" s="1164"/>
      <c r="AK664" s="473"/>
      <c r="AL664" s="473"/>
      <c r="AM664" s="1164"/>
      <c r="AN664" s="473"/>
      <c r="AO664" s="473"/>
      <c r="AP664" s="1164"/>
      <c r="AQ664" s="473"/>
      <c r="AR664" s="473"/>
      <c r="AS664" s="1236"/>
      <c r="AT664" s="473"/>
      <c r="AU664" s="473"/>
      <c r="AV664" s="1164"/>
      <c r="AW664" s="1164"/>
      <c r="AX664" s="1236"/>
      <c r="AY664" s="473"/>
      <c r="AZ664" s="1236"/>
      <c r="BA664" s="473"/>
      <c r="BB664" s="473"/>
      <c r="BC664" s="1164"/>
      <c r="BD664" s="20"/>
      <c r="BE664" s="473"/>
      <c r="BF664" s="610"/>
      <c r="BG664" s="610"/>
      <c r="BH664" s="610"/>
      <c r="BI664" s="610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</row>
    <row r="665" spans="1:148" s="22" customFormat="1" x14ac:dyDescent="0.25">
      <c r="A665" s="20"/>
      <c r="B665" s="16"/>
      <c r="C665" s="473"/>
      <c r="D665" s="473"/>
      <c r="E665" s="1164"/>
      <c r="F665" s="473"/>
      <c r="G665" s="473"/>
      <c r="H665" s="1164"/>
      <c r="I665" s="473"/>
      <c r="J665" s="473"/>
      <c r="K665" s="1164"/>
      <c r="L665" s="473"/>
      <c r="M665" s="473"/>
      <c r="N665" s="1164"/>
      <c r="O665" s="473"/>
      <c r="P665" s="473"/>
      <c r="Q665" s="1164"/>
      <c r="R665" s="473"/>
      <c r="S665" s="473"/>
      <c r="T665" s="1164"/>
      <c r="U665" s="1164"/>
      <c r="V665" s="473"/>
      <c r="W665" s="473"/>
      <c r="X665" s="1164"/>
      <c r="Y665" s="473"/>
      <c r="Z665" s="473"/>
      <c r="AA665" s="1164"/>
      <c r="AB665" s="473"/>
      <c r="AC665" s="1164"/>
      <c r="AD665" s="473"/>
      <c r="AE665" s="1164"/>
      <c r="AF665" s="473"/>
      <c r="AG665" s="1164"/>
      <c r="AH665" s="473"/>
      <c r="AI665" s="473"/>
      <c r="AJ665" s="1164"/>
      <c r="AK665" s="473"/>
      <c r="AL665" s="473"/>
      <c r="AM665" s="1164"/>
      <c r="AN665" s="473"/>
      <c r="AO665" s="473"/>
      <c r="AP665" s="1164"/>
      <c r="AQ665" s="473"/>
      <c r="AR665" s="473"/>
      <c r="AS665" s="1236"/>
      <c r="AT665" s="473"/>
      <c r="AU665" s="473"/>
      <c r="AV665" s="1164"/>
      <c r="AW665" s="1164"/>
      <c r="AX665" s="1236"/>
      <c r="AY665" s="473"/>
      <c r="AZ665" s="1236"/>
      <c r="BA665" s="473"/>
      <c r="BB665" s="473"/>
      <c r="BC665" s="1164"/>
      <c r="BD665" s="20"/>
      <c r="BE665" s="473"/>
      <c r="BF665" s="610"/>
      <c r="BG665" s="610"/>
      <c r="BH665" s="610"/>
      <c r="BI665" s="610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</row>
    <row r="666" spans="1:148" s="22" customFormat="1" x14ac:dyDescent="0.25">
      <c r="A666" s="20"/>
      <c r="B666" s="16"/>
      <c r="C666" s="473"/>
      <c r="D666" s="473"/>
      <c r="E666" s="1164"/>
      <c r="F666" s="473"/>
      <c r="G666" s="473"/>
      <c r="H666" s="1164"/>
      <c r="I666" s="473"/>
      <c r="J666" s="473"/>
      <c r="K666" s="1164"/>
      <c r="L666" s="473"/>
      <c r="M666" s="473"/>
      <c r="N666" s="1164"/>
      <c r="O666" s="473"/>
      <c r="P666" s="473"/>
      <c r="Q666" s="1164"/>
      <c r="R666" s="473"/>
      <c r="S666" s="473"/>
      <c r="T666" s="1164"/>
      <c r="U666" s="1164"/>
      <c r="V666" s="473"/>
      <c r="W666" s="473"/>
      <c r="X666" s="1164"/>
      <c r="Y666" s="473"/>
      <c r="Z666" s="473"/>
      <c r="AA666" s="1164"/>
      <c r="AB666" s="473"/>
      <c r="AC666" s="1164"/>
      <c r="AD666" s="473"/>
      <c r="AE666" s="1164"/>
      <c r="AF666" s="473"/>
      <c r="AG666" s="1164"/>
      <c r="AH666" s="473"/>
      <c r="AI666" s="473"/>
      <c r="AJ666" s="1164"/>
      <c r="AK666" s="473"/>
      <c r="AL666" s="473"/>
      <c r="AM666" s="1164"/>
      <c r="AN666" s="473"/>
      <c r="AO666" s="473"/>
      <c r="AP666" s="1164"/>
      <c r="AQ666" s="473"/>
      <c r="AR666" s="473"/>
      <c r="AS666" s="1236"/>
      <c r="AT666" s="473"/>
      <c r="AU666" s="473"/>
      <c r="AV666" s="1164"/>
      <c r="AW666" s="1164"/>
      <c r="AX666" s="1236"/>
      <c r="AY666" s="473"/>
      <c r="AZ666" s="1236"/>
      <c r="BA666" s="473"/>
      <c r="BB666" s="473"/>
      <c r="BC666" s="1164"/>
      <c r="BD666" s="20"/>
      <c r="BE666" s="473"/>
      <c r="BF666" s="610"/>
      <c r="BG666" s="610"/>
      <c r="BH666" s="610"/>
      <c r="BI666" s="610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</row>
    <row r="667" spans="1:148" s="22" customFormat="1" x14ac:dyDescent="0.25">
      <c r="A667" s="20"/>
      <c r="B667" s="16"/>
      <c r="C667" s="473"/>
      <c r="D667" s="473"/>
      <c r="E667" s="1164"/>
      <c r="F667" s="473"/>
      <c r="G667" s="473"/>
      <c r="H667" s="1164"/>
      <c r="I667" s="473"/>
      <c r="J667" s="473"/>
      <c r="K667" s="1164"/>
      <c r="L667" s="473"/>
      <c r="M667" s="473"/>
      <c r="N667" s="1164"/>
      <c r="O667" s="473"/>
      <c r="P667" s="473"/>
      <c r="Q667" s="1164"/>
      <c r="R667" s="473"/>
      <c r="S667" s="473"/>
      <c r="T667" s="1164"/>
      <c r="U667" s="1164"/>
      <c r="V667" s="473"/>
      <c r="W667" s="473"/>
      <c r="X667" s="1164"/>
      <c r="Y667" s="473"/>
      <c r="Z667" s="473"/>
      <c r="AA667" s="1164"/>
      <c r="AB667" s="473"/>
      <c r="AC667" s="1164"/>
      <c r="AD667" s="473"/>
      <c r="AE667" s="1164"/>
      <c r="AF667" s="473"/>
      <c r="AG667" s="1164"/>
      <c r="AH667" s="473"/>
      <c r="AI667" s="473"/>
      <c r="AJ667" s="1164"/>
      <c r="AK667" s="473"/>
      <c r="AL667" s="473"/>
      <c r="AM667" s="1164"/>
      <c r="AN667" s="473"/>
      <c r="AO667" s="473"/>
      <c r="AP667" s="1164"/>
      <c r="AQ667" s="473"/>
      <c r="AR667" s="473"/>
      <c r="AS667" s="1236"/>
      <c r="AT667" s="473"/>
      <c r="AU667" s="473"/>
      <c r="AV667" s="1164"/>
      <c r="AW667" s="1164"/>
      <c r="AX667" s="1236"/>
      <c r="AY667" s="473"/>
      <c r="AZ667" s="1236"/>
      <c r="BA667" s="473"/>
      <c r="BB667" s="473"/>
      <c r="BC667" s="1164"/>
      <c r="BD667" s="20"/>
      <c r="BE667" s="473"/>
      <c r="BF667" s="610"/>
      <c r="BG667" s="610"/>
      <c r="BH667" s="610"/>
      <c r="BI667" s="610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</row>
    <row r="668" spans="1:148" s="22" customFormat="1" x14ac:dyDescent="0.25">
      <c r="A668" s="20"/>
      <c r="B668" s="16"/>
      <c r="C668" s="473"/>
      <c r="D668" s="473"/>
      <c r="E668" s="1164"/>
      <c r="F668" s="473"/>
      <c r="G668" s="473"/>
      <c r="H668" s="1164"/>
      <c r="I668" s="473"/>
      <c r="J668" s="473"/>
      <c r="K668" s="1164"/>
      <c r="L668" s="473"/>
      <c r="M668" s="473"/>
      <c r="N668" s="1164"/>
      <c r="O668" s="473"/>
      <c r="P668" s="473"/>
      <c r="Q668" s="1164"/>
      <c r="R668" s="473"/>
      <c r="S668" s="473"/>
      <c r="T668" s="1164"/>
      <c r="U668" s="1164"/>
      <c r="V668" s="473"/>
      <c r="W668" s="473"/>
      <c r="X668" s="1164"/>
      <c r="Y668" s="473"/>
      <c r="Z668" s="473"/>
      <c r="AA668" s="1164"/>
      <c r="AB668" s="473"/>
      <c r="AC668" s="1164"/>
      <c r="AD668" s="473"/>
      <c r="AE668" s="1164"/>
      <c r="AF668" s="473"/>
      <c r="AG668" s="1164"/>
      <c r="AH668" s="473"/>
      <c r="AI668" s="473"/>
      <c r="AJ668" s="1164"/>
      <c r="AK668" s="473"/>
      <c r="AL668" s="473"/>
      <c r="AM668" s="1164"/>
      <c r="AN668" s="473"/>
      <c r="AO668" s="473"/>
      <c r="AP668" s="1164"/>
      <c r="AQ668" s="473"/>
      <c r="AR668" s="473"/>
      <c r="AS668" s="1236"/>
      <c r="AT668" s="473"/>
      <c r="AU668" s="473"/>
      <c r="AV668" s="1164"/>
      <c r="AW668" s="1164"/>
      <c r="AX668" s="1236"/>
      <c r="AY668" s="473"/>
      <c r="AZ668" s="1236"/>
      <c r="BA668" s="473"/>
      <c r="BB668" s="473"/>
      <c r="BC668" s="1164"/>
      <c r="BD668" s="20"/>
      <c r="BE668" s="473"/>
      <c r="BF668" s="610"/>
      <c r="BG668" s="610"/>
      <c r="BH668" s="610"/>
      <c r="BI668" s="610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</row>
    <row r="669" spans="1:148" s="22" customFormat="1" x14ac:dyDescent="0.25">
      <c r="A669" s="20"/>
      <c r="B669" s="16"/>
      <c r="C669" s="473"/>
      <c r="D669" s="473"/>
      <c r="E669" s="1164"/>
      <c r="F669" s="473"/>
      <c r="G669" s="473"/>
      <c r="H669" s="1164"/>
      <c r="I669" s="473"/>
      <c r="J669" s="473"/>
      <c r="K669" s="1164"/>
      <c r="L669" s="473"/>
      <c r="M669" s="473"/>
      <c r="N669" s="1164"/>
      <c r="O669" s="473"/>
      <c r="P669" s="473"/>
      <c r="Q669" s="1164"/>
      <c r="R669" s="473"/>
      <c r="S669" s="473"/>
      <c r="T669" s="1164"/>
      <c r="U669" s="1164"/>
      <c r="V669" s="473"/>
      <c r="W669" s="473"/>
      <c r="X669" s="1164"/>
      <c r="Y669" s="473"/>
      <c r="Z669" s="473"/>
      <c r="AA669" s="1164"/>
      <c r="AB669" s="473"/>
      <c r="AC669" s="1164"/>
      <c r="AD669" s="473"/>
      <c r="AE669" s="1164"/>
      <c r="AF669" s="473"/>
      <c r="AG669" s="1164"/>
      <c r="AH669" s="473"/>
      <c r="AI669" s="473"/>
      <c r="AJ669" s="1164"/>
      <c r="AK669" s="473"/>
      <c r="AL669" s="473"/>
      <c r="AM669" s="1164"/>
      <c r="AN669" s="473"/>
      <c r="AO669" s="473"/>
      <c r="AP669" s="1164"/>
      <c r="AQ669" s="473"/>
      <c r="AR669" s="473"/>
      <c r="AS669" s="1236"/>
      <c r="AT669" s="473"/>
      <c r="AU669" s="473"/>
      <c r="AV669" s="1164"/>
      <c r="AW669" s="1164"/>
      <c r="AX669" s="1236"/>
      <c r="AY669" s="473"/>
      <c r="AZ669" s="1236"/>
      <c r="BA669" s="473"/>
      <c r="BB669" s="473"/>
      <c r="BC669" s="1164"/>
      <c r="BD669" s="20"/>
      <c r="BE669" s="473"/>
      <c r="BF669" s="610"/>
      <c r="BG669" s="610"/>
      <c r="BH669" s="610"/>
      <c r="BI669" s="610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</row>
    <row r="670" spans="1:148" s="22" customFormat="1" x14ac:dyDescent="0.25">
      <c r="A670" s="20"/>
      <c r="B670" s="16"/>
      <c r="C670" s="473"/>
      <c r="D670" s="473"/>
      <c r="E670" s="1164"/>
      <c r="F670" s="473"/>
      <c r="G670" s="473"/>
      <c r="H670" s="1164"/>
      <c r="I670" s="473"/>
      <c r="J670" s="473"/>
      <c r="K670" s="1164"/>
      <c r="L670" s="473"/>
      <c r="M670" s="473"/>
      <c r="N670" s="1164"/>
      <c r="O670" s="473"/>
      <c r="P670" s="473"/>
      <c r="Q670" s="1164"/>
      <c r="R670" s="473"/>
      <c r="S670" s="473"/>
      <c r="T670" s="1164"/>
      <c r="U670" s="1164"/>
      <c r="V670" s="473"/>
      <c r="W670" s="473"/>
      <c r="X670" s="1164"/>
      <c r="Y670" s="473"/>
      <c r="Z670" s="473"/>
      <c r="AA670" s="1164"/>
      <c r="AB670" s="473"/>
      <c r="AC670" s="1164"/>
      <c r="AD670" s="473"/>
      <c r="AE670" s="1164"/>
      <c r="AF670" s="473"/>
      <c r="AG670" s="1164"/>
      <c r="AH670" s="473"/>
      <c r="AI670" s="473"/>
      <c r="AJ670" s="1164"/>
      <c r="AK670" s="473"/>
      <c r="AL670" s="473"/>
      <c r="AM670" s="1164"/>
      <c r="AN670" s="473"/>
      <c r="AO670" s="473"/>
      <c r="AP670" s="1164"/>
      <c r="AQ670" s="473"/>
      <c r="AR670" s="473"/>
      <c r="AS670" s="1236"/>
      <c r="AT670" s="473"/>
      <c r="AU670" s="473"/>
      <c r="AV670" s="1164"/>
      <c r="AW670" s="1164"/>
      <c r="AX670" s="1236"/>
      <c r="AY670" s="473"/>
      <c r="AZ670" s="1236"/>
      <c r="BA670" s="473"/>
      <c r="BB670" s="473"/>
      <c r="BC670" s="1164"/>
      <c r="BD670" s="20"/>
      <c r="BE670" s="473"/>
      <c r="BF670" s="610"/>
      <c r="BG670" s="610"/>
      <c r="BH670" s="610"/>
      <c r="BI670" s="610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</row>
    <row r="671" spans="1:148" s="22" customFormat="1" x14ac:dyDescent="0.25">
      <c r="A671" s="20"/>
      <c r="B671" s="16"/>
      <c r="C671" s="473"/>
      <c r="D671" s="473"/>
      <c r="E671" s="1164"/>
      <c r="F671" s="473"/>
      <c r="G671" s="473"/>
      <c r="H671" s="1164"/>
      <c r="I671" s="473"/>
      <c r="J671" s="473"/>
      <c r="K671" s="1164"/>
      <c r="L671" s="473"/>
      <c r="M671" s="473"/>
      <c r="N671" s="1164"/>
      <c r="O671" s="473"/>
      <c r="P671" s="473"/>
      <c r="Q671" s="1164"/>
      <c r="R671" s="473"/>
      <c r="S671" s="473"/>
      <c r="T671" s="1164"/>
      <c r="U671" s="1164"/>
      <c r="V671" s="473"/>
      <c r="W671" s="473"/>
      <c r="X671" s="1164"/>
      <c r="Y671" s="473"/>
      <c r="Z671" s="473"/>
      <c r="AA671" s="1164"/>
      <c r="AB671" s="473"/>
      <c r="AC671" s="1164"/>
      <c r="AD671" s="473"/>
      <c r="AE671" s="1164"/>
      <c r="AF671" s="473"/>
      <c r="AG671" s="1164"/>
      <c r="AH671" s="473"/>
      <c r="AI671" s="473"/>
      <c r="AJ671" s="1164"/>
      <c r="AK671" s="473"/>
      <c r="AL671" s="473"/>
      <c r="AM671" s="1164"/>
      <c r="AN671" s="473"/>
      <c r="AO671" s="473"/>
      <c r="AP671" s="1164"/>
      <c r="AQ671" s="473"/>
      <c r="AR671" s="473"/>
      <c r="AS671" s="1236"/>
      <c r="AT671" s="473"/>
      <c r="AU671" s="473"/>
      <c r="AV671" s="1164"/>
      <c r="AW671" s="1164"/>
      <c r="AX671" s="1236"/>
      <c r="AY671" s="473"/>
      <c r="AZ671" s="1236"/>
      <c r="BA671" s="473"/>
      <c r="BB671" s="473"/>
      <c r="BC671" s="1164"/>
      <c r="BD671" s="20"/>
      <c r="BE671" s="473"/>
      <c r="BF671" s="610"/>
      <c r="BG671" s="610"/>
      <c r="BH671" s="610"/>
      <c r="BI671" s="610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</row>
    <row r="672" spans="1:148" s="22" customFormat="1" x14ac:dyDescent="0.25">
      <c r="A672" s="20"/>
      <c r="B672" s="16"/>
      <c r="C672" s="473"/>
      <c r="D672" s="473"/>
      <c r="E672" s="1164"/>
      <c r="F672" s="473"/>
      <c r="G672" s="473"/>
      <c r="H672" s="1164"/>
      <c r="I672" s="473"/>
      <c r="J672" s="473"/>
      <c r="K672" s="1164"/>
      <c r="L672" s="473"/>
      <c r="M672" s="473"/>
      <c r="N672" s="1164"/>
      <c r="O672" s="473"/>
      <c r="P672" s="473"/>
      <c r="Q672" s="1164"/>
      <c r="R672" s="473"/>
      <c r="S672" s="473"/>
      <c r="T672" s="1164"/>
      <c r="U672" s="1164"/>
      <c r="V672" s="473"/>
      <c r="W672" s="473"/>
      <c r="X672" s="1164"/>
      <c r="Y672" s="473"/>
      <c r="Z672" s="473"/>
      <c r="AA672" s="1164"/>
      <c r="AB672" s="473"/>
      <c r="AC672" s="1164"/>
      <c r="AD672" s="473"/>
      <c r="AE672" s="1164"/>
      <c r="AF672" s="473"/>
      <c r="AG672" s="1164"/>
      <c r="AH672" s="473"/>
      <c r="AI672" s="473"/>
      <c r="AJ672" s="1164"/>
      <c r="AK672" s="473"/>
      <c r="AL672" s="473"/>
      <c r="AM672" s="1164"/>
      <c r="AN672" s="473"/>
      <c r="AO672" s="473"/>
      <c r="AP672" s="1164"/>
      <c r="AQ672" s="473"/>
      <c r="AR672" s="473"/>
      <c r="AS672" s="1236"/>
      <c r="AT672" s="473"/>
      <c r="AU672" s="473"/>
      <c r="AV672" s="1164"/>
      <c r="AW672" s="1164"/>
      <c r="AX672" s="1236"/>
      <c r="AY672" s="473"/>
      <c r="AZ672" s="1236"/>
      <c r="BA672" s="473"/>
      <c r="BB672" s="473"/>
      <c r="BC672" s="1164"/>
      <c r="BD672" s="20"/>
      <c r="BE672" s="473"/>
      <c r="BF672" s="610"/>
      <c r="BG672" s="610"/>
      <c r="BH672" s="610"/>
      <c r="BI672" s="610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</row>
    <row r="673" spans="1:148" s="22" customFormat="1" x14ac:dyDescent="0.25">
      <c r="A673" s="20"/>
      <c r="B673" s="16"/>
      <c r="C673" s="473"/>
      <c r="D673" s="473"/>
      <c r="E673" s="1164"/>
      <c r="F673" s="473"/>
      <c r="G673" s="473"/>
      <c r="H673" s="1164"/>
      <c r="I673" s="473"/>
      <c r="J673" s="473"/>
      <c r="K673" s="1164"/>
      <c r="L673" s="473"/>
      <c r="M673" s="473"/>
      <c r="N673" s="1164"/>
      <c r="O673" s="473"/>
      <c r="P673" s="473"/>
      <c r="Q673" s="1164"/>
      <c r="R673" s="473"/>
      <c r="S673" s="473"/>
      <c r="T673" s="1164"/>
      <c r="U673" s="1164"/>
      <c r="V673" s="473"/>
      <c r="W673" s="473"/>
      <c r="X673" s="1164"/>
      <c r="Y673" s="473"/>
      <c r="Z673" s="473"/>
      <c r="AA673" s="1164"/>
      <c r="AB673" s="473"/>
      <c r="AC673" s="1164"/>
      <c r="AD673" s="473"/>
      <c r="AE673" s="1164"/>
      <c r="AF673" s="473"/>
      <c r="AG673" s="1164"/>
      <c r="AH673" s="473"/>
      <c r="AI673" s="473"/>
      <c r="AJ673" s="1164"/>
      <c r="AK673" s="473"/>
      <c r="AL673" s="473"/>
      <c r="AM673" s="1164"/>
      <c r="AN673" s="473"/>
      <c r="AO673" s="473"/>
      <c r="AP673" s="1164"/>
      <c r="AQ673" s="473"/>
      <c r="AR673" s="473"/>
      <c r="AS673" s="1236"/>
      <c r="AT673" s="473"/>
      <c r="AU673" s="473"/>
      <c r="AV673" s="1164"/>
      <c r="AW673" s="1164"/>
      <c r="AX673" s="1236"/>
      <c r="AY673" s="473"/>
      <c r="AZ673" s="1236"/>
      <c r="BA673" s="473"/>
      <c r="BB673" s="473"/>
      <c r="BC673" s="1164"/>
      <c r="BD673" s="20"/>
      <c r="BE673" s="473"/>
      <c r="BF673" s="610"/>
      <c r="BG673" s="610"/>
      <c r="BH673" s="610"/>
      <c r="BI673" s="610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</row>
    <row r="674" spans="1:148" s="22" customFormat="1" x14ac:dyDescent="0.25">
      <c r="A674" s="20"/>
      <c r="B674" s="16"/>
      <c r="C674" s="473"/>
      <c r="D674" s="473"/>
      <c r="E674" s="1164"/>
      <c r="F674" s="473"/>
      <c r="G674" s="473"/>
      <c r="H674" s="1164"/>
      <c r="I674" s="473"/>
      <c r="J674" s="473"/>
      <c r="K674" s="1164"/>
      <c r="L674" s="473"/>
      <c r="M674" s="473"/>
      <c r="N674" s="1164"/>
      <c r="O674" s="473"/>
      <c r="P674" s="473"/>
      <c r="Q674" s="1164"/>
      <c r="R674" s="473"/>
      <c r="S674" s="473"/>
      <c r="T674" s="1164"/>
      <c r="U674" s="1164"/>
      <c r="V674" s="473"/>
      <c r="W674" s="473"/>
      <c r="X674" s="1164"/>
      <c r="Y674" s="473"/>
      <c r="Z674" s="473"/>
      <c r="AA674" s="1164"/>
      <c r="AB674" s="473"/>
      <c r="AC674" s="1164"/>
      <c r="AD674" s="473"/>
      <c r="AE674" s="1164"/>
      <c r="AF674" s="473"/>
      <c r="AG674" s="1164"/>
      <c r="AH674" s="473"/>
      <c r="AI674" s="473"/>
      <c r="AJ674" s="1164"/>
      <c r="AK674" s="473"/>
      <c r="AL674" s="473"/>
      <c r="AM674" s="1164"/>
      <c r="AN674" s="473"/>
      <c r="AO674" s="473"/>
      <c r="AP674" s="1164"/>
      <c r="AQ674" s="473"/>
      <c r="AR674" s="473"/>
      <c r="AS674" s="1236"/>
      <c r="AT674" s="473"/>
      <c r="AU674" s="473"/>
      <c r="AV674" s="1164"/>
      <c r="AW674" s="1164"/>
      <c r="AX674" s="1236"/>
      <c r="AY674" s="473"/>
      <c r="AZ674" s="1236"/>
      <c r="BA674" s="473"/>
      <c r="BB674" s="473"/>
      <c r="BC674" s="1164"/>
      <c r="BD674" s="20"/>
      <c r="BE674" s="473"/>
      <c r="BF674" s="610"/>
      <c r="BG674" s="610"/>
      <c r="BH674" s="610"/>
      <c r="BI674" s="610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</row>
    <row r="675" spans="1:148" s="22" customFormat="1" x14ac:dyDescent="0.25">
      <c r="A675" s="20"/>
      <c r="B675" s="16"/>
      <c r="C675" s="473"/>
      <c r="D675" s="473"/>
      <c r="E675" s="1164"/>
      <c r="F675" s="473"/>
      <c r="G675" s="473"/>
      <c r="H675" s="1164"/>
      <c r="I675" s="473"/>
      <c r="J675" s="473"/>
      <c r="K675" s="1164"/>
      <c r="L675" s="473"/>
      <c r="M675" s="473"/>
      <c r="N675" s="1164"/>
      <c r="O675" s="473"/>
      <c r="P675" s="473"/>
      <c r="Q675" s="1164"/>
      <c r="R675" s="473"/>
      <c r="S675" s="473"/>
      <c r="T675" s="1164"/>
      <c r="U675" s="1164"/>
      <c r="V675" s="473"/>
      <c r="W675" s="473"/>
      <c r="X675" s="1164"/>
      <c r="Y675" s="473"/>
      <c r="Z675" s="473"/>
      <c r="AA675" s="1164"/>
      <c r="AB675" s="473"/>
      <c r="AC675" s="1164"/>
      <c r="AD675" s="473"/>
      <c r="AE675" s="1164"/>
      <c r="AF675" s="473"/>
      <c r="AG675" s="1164"/>
      <c r="AH675" s="473"/>
      <c r="AI675" s="473"/>
      <c r="AJ675" s="1164"/>
      <c r="AK675" s="473"/>
      <c r="AL675" s="473"/>
      <c r="AM675" s="1164"/>
      <c r="AN675" s="473"/>
      <c r="AO675" s="473"/>
      <c r="AP675" s="1164"/>
      <c r="AQ675" s="473"/>
      <c r="AR675" s="473"/>
      <c r="AS675" s="1236"/>
      <c r="AT675" s="473"/>
      <c r="AU675" s="473"/>
      <c r="AV675" s="1164"/>
      <c r="AW675" s="1164"/>
      <c r="AX675" s="1236"/>
      <c r="AY675" s="473"/>
      <c r="AZ675" s="1236"/>
      <c r="BA675" s="473"/>
      <c r="BB675" s="473"/>
      <c r="BC675" s="1164"/>
      <c r="BD675" s="20"/>
      <c r="BE675" s="473"/>
      <c r="BF675" s="610"/>
      <c r="BG675" s="610"/>
      <c r="BH675" s="610"/>
      <c r="BI675" s="610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</row>
    <row r="676" spans="1:148" s="22" customFormat="1" x14ac:dyDescent="0.25">
      <c r="A676" s="20"/>
      <c r="B676" s="16"/>
      <c r="C676" s="473"/>
      <c r="D676" s="473"/>
      <c r="E676" s="1164"/>
      <c r="F676" s="473"/>
      <c r="G676" s="473"/>
      <c r="H676" s="1164"/>
      <c r="I676" s="473"/>
      <c r="J676" s="473"/>
      <c r="K676" s="1164"/>
      <c r="L676" s="473"/>
      <c r="M676" s="473"/>
      <c r="N676" s="1164"/>
      <c r="O676" s="473"/>
      <c r="P676" s="473"/>
      <c r="Q676" s="1164"/>
      <c r="R676" s="473"/>
      <c r="S676" s="473"/>
      <c r="T676" s="1164"/>
      <c r="U676" s="1164"/>
      <c r="V676" s="473"/>
      <c r="W676" s="473"/>
      <c r="X676" s="1164"/>
      <c r="Y676" s="473"/>
      <c r="Z676" s="473"/>
      <c r="AA676" s="1164"/>
      <c r="AB676" s="473"/>
      <c r="AC676" s="1164"/>
      <c r="AD676" s="473"/>
      <c r="AE676" s="1164"/>
      <c r="AF676" s="473"/>
      <c r="AG676" s="1164"/>
      <c r="AH676" s="473"/>
      <c r="AI676" s="473"/>
      <c r="AJ676" s="1164"/>
      <c r="AK676" s="473"/>
      <c r="AL676" s="473"/>
      <c r="AM676" s="1164"/>
      <c r="AN676" s="473"/>
      <c r="AO676" s="473"/>
      <c r="AP676" s="1164"/>
      <c r="AQ676" s="473"/>
      <c r="AR676" s="473"/>
      <c r="AS676" s="1236"/>
      <c r="AT676" s="473"/>
      <c r="AU676" s="473"/>
      <c r="AV676" s="1164"/>
      <c r="AW676" s="1164"/>
      <c r="AX676" s="1236"/>
      <c r="AY676" s="473"/>
      <c r="AZ676" s="1236"/>
      <c r="BA676" s="473"/>
      <c r="BB676" s="473"/>
      <c r="BC676" s="1164"/>
      <c r="BD676" s="20"/>
      <c r="BE676" s="473"/>
      <c r="BF676" s="610"/>
      <c r="BG676" s="610"/>
      <c r="BH676" s="610"/>
      <c r="BI676" s="610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</row>
    <row r="677" spans="1:148" s="22" customFormat="1" x14ac:dyDescent="0.25">
      <c r="A677" s="20"/>
      <c r="B677" s="16"/>
      <c r="C677" s="473"/>
      <c r="D677" s="473"/>
      <c r="E677" s="1164"/>
      <c r="F677" s="473"/>
      <c r="G677" s="473"/>
      <c r="H677" s="1164"/>
      <c r="I677" s="473"/>
      <c r="J677" s="473"/>
      <c r="K677" s="1164"/>
      <c r="L677" s="473"/>
      <c r="M677" s="473"/>
      <c r="N677" s="1164"/>
      <c r="O677" s="473"/>
      <c r="P677" s="473"/>
      <c r="Q677" s="1164"/>
      <c r="R677" s="473"/>
      <c r="S677" s="473"/>
      <c r="T677" s="1164"/>
      <c r="U677" s="1164"/>
      <c r="V677" s="473"/>
      <c r="W677" s="473"/>
      <c r="X677" s="1164"/>
      <c r="Y677" s="473"/>
      <c r="Z677" s="473"/>
      <c r="AA677" s="1164"/>
      <c r="AB677" s="473"/>
      <c r="AC677" s="1164"/>
      <c r="AD677" s="473"/>
      <c r="AE677" s="1164"/>
      <c r="AF677" s="473"/>
      <c r="AG677" s="1164"/>
      <c r="AH677" s="473"/>
      <c r="AI677" s="473"/>
      <c r="AJ677" s="1164"/>
      <c r="AK677" s="473"/>
      <c r="AL677" s="473"/>
      <c r="AM677" s="1164"/>
      <c r="AN677" s="473"/>
      <c r="AO677" s="473"/>
      <c r="AP677" s="1164"/>
      <c r="AQ677" s="473"/>
      <c r="AR677" s="473"/>
      <c r="AS677" s="1236"/>
      <c r="AT677" s="473"/>
      <c r="AU677" s="473"/>
      <c r="AV677" s="1164"/>
      <c r="AW677" s="1164"/>
      <c r="AX677" s="1236"/>
      <c r="AY677" s="473"/>
      <c r="AZ677" s="1236"/>
      <c r="BA677" s="473"/>
      <c r="BB677" s="473"/>
      <c r="BC677" s="1164"/>
      <c r="BD677" s="20"/>
      <c r="BE677" s="473"/>
      <c r="BF677" s="610"/>
      <c r="BG677" s="610"/>
      <c r="BH677" s="610"/>
      <c r="BI677" s="610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</row>
    <row r="678" spans="1:148" s="22" customFormat="1" x14ac:dyDescent="0.25">
      <c r="A678" s="20"/>
      <c r="B678" s="16"/>
      <c r="C678" s="473"/>
      <c r="D678" s="473"/>
      <c r="E678" s="1164"/>
      <c r="F678" s="473"/>
      <c r="G678" s="473"/>
      <c r="H678" s="1164"/>
      <c r="I678" s="473"/>
      <c r="J678" s="473"/>
      <c r="K678" s="1164"/>
      <c r="L678" s="473"/>
      <c r="M678" s="473"/>
      <c r="N678" s="1164"/>
      <c r="O678" s="473"/>
      <c r="P678" s="473"/>
      <c r="Q678" s="1164"/>
      <c r="R678" s="473"/>
      <c r="S678" s="473"/>
      <c r="T678" s="1164"/>
      <c r="U678" s="1164"/>
      <c r="V678" s="473"/>
      <c r="W678" s="473"/>
      <c r="X678" s="1164"/>
      <c r="Y678" s="473"/>
      <c r="Z678" s="473"/>
      <c r="AA678" s="1164"/>
      <c r="AB678" s="473"/>
      <c r="AC678" s="1164"/>
      <c r="AD678" s="473"/>
      <c r="AE678" s="1164"/>
      <c r="AF678" s="473"/>
      <c r="AG678" s="1164"/>
      <c r="AH678" s="473"/>
      <c r="AI678" s="473"/>
      <c r="AJ678" s="1164"/>
      <c r="AK678" s="473"/>
      <c r="AL678" s="473"/>
      <c r="AM678" s="1164"/>
      <c r="AN678" s="473"/>
      <c r="AO678" s="473"/>
      <c r="AP678" s="1164"/>
      <c r="AQ678" s="473"/>
      <c r="AR678" s="473"/>
      <c r="AS678" s="1236"/>
      <c r="AT678" s="473"/>
      <c r="AU678" s="473"/>
      <c r="AV678" s="1164"/>
      <c r="AW678" s="1164"/>
      <c r="AX678" s="1236"/>
      <c r="AY678" s="473"/>
      <c r="AZ678" s="1236"/>
      <c r="BA678" s="473"/>
      <c r="BB678" s="473"/>
      <c r="BC678" s="1164"/>
      <c r="BD678" s="20"/>
      <c r="BE678" s="473"/>
      <c r="BF678" s="610"/>
      <c r="BG678" s="610"/>
      <c r="BH678" s="610"/>
      <c r="BI678" s="610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</row>
    <row r="679" spans="1:148" s="22" customFormat="1" x14ac:dyDescent="0.25">
      <c r="A679" s="20"/>
      <c r="B679" s="16"/>
      <c r="C679" s="473"/>
      <c r="D679" s="473"/>
      <c r="E679" s="1164"/>
      <c r="F679" s="473"/>
      <c r="G679" s="473"/>
      <c r="H679" s="1164"/>
      <c r="I679" s="473"/>
      <c r="J679" s="473"/>
      <c r="K679" s="1164"/>
      <c r="L679" s="473"/>
      <c r="M679" s="473"/>
      <c r="N679" s="1164"/>
      <c r="O679" s="473"/>
      <c r="P679" s="473"/>
      <c r="Q679" s="1164"/>
      <c r="R679" s="473"/>
      <c r="S679" s="473"/>
      <c r="T679" s="1164"/>
      <c r="U679" s="1164"/>
      <c r="V679" s="473"/>
      <c r="W679" s="473"/>
      <c r="X679" s="1164"/>
      <c r="Y679" s="473"/>
      <c r="Z679" s="473"/>
      <c r="AA679" s="1164"/>
      <c r="AB679" s="473"/>
      <c r="AC679" s="1164"/>
      <c r="AD679" s="473"/>
      <c r="AE679" s="1164"/>
      <c r="AF679" s="473"/>
      <c r="AG679" s="1164"/>
      <c r="AH679" s="473"/>
      <c r="AI679" s="473"/>
      <c r="AJ679" s="1164"/>
      <c r="AK679" s="473"/>
      <c r="AL679" s="473"/>
      <c r="AM679" s="1164"/>
      <c r="AN679" s="473"/>
      <c r="AO679" s="473"/>
      <c r="AP679" s="1164"/>
      <c r="AQ679" s="473"/>
      <c r="AR679" s="473"/>
      <c r="AS679" s="1236"/>
      <c r="AT679" s="473"/>
      <c r="AU679" s="473"/>
      <c r="AV679" s="1164"/>
      <c r="AW679" s="1164"/>
      <c r="AX679" s="1236"/>
      <c r="AY679" s="473"/>
      <c r="AZ679" s="1236"/>
      <c r="BA679" s="473"/>
      <c r="BB679" s="473"/>
      <c r="BC679" s="1164"/>
      <c r="BD679" s="20"/>
      <c r="BE679" s="473"/>
      <c r="BF679" s="610"/>
      <c r="BG679" s="610"/>
      <c r="BH679" s="610"/>
      <c r="BI679" s="610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</row>
    <row r="680" spans="1:148" s="22" customFormat="1" x14ac:dyDescent="0.25">
      <c r="A680" s="20"/>
      <c r="B680" s="16"/>
      <c r="C680" s="473"/>
      <c r="D680" s="473"/>
      <c r="E680" s="1164"/>
      <c r="F680" s="473"/>
      <c r="G680" s="473"/>
      <c r="H680" s="1164"/>
      <c r="I680" s="473"/>
      <c r="J680" s="473"/>
      <c r="K680" s="1164"/>
      <c r="L680" s="473"/>
      <c r="M680" s="473"/>
      <c r="N680" s="1164"/>
      <c r="O680" s="473"/>
      <c r="P680" s="473"/>
      <c r="Q680" s="1164"/>
      <c r="R680" s="473"/>
      <c r="S680" s="473"/>
      <c r="T680" s="1164"/>
      <c r="U680" s="1164"/>
      <c r="V680" s="473"/>
      <c r="W680" s="473"/>
      <c r="X680" s="1164"/>
      <c r="Y680" s="473"/>
      <c r="Z680" s="473"/>
      <c r="AA680" s="1164"/>
      <c r="AB680" s="473"/>
      <c r="AC680" s="1164"/>
      <c r="AD680" s="473"/>
      <c r="AE680" s="1164"/>
      <c r="AF680" s="473"/>
      <c r="AG680" s="1164"/>
      <c r="AH680" s="473"/>
      <c r="AI680" s="473"/>
      <c r="AJ680" s="1164"/>
      <c r="AK680" s="473"/>
      <c r="AL680" s="473"/>
      <c r="AM680" s="1164"/>
      <c r="AN680" s="473"/>
      <c r="AO680" s="473"/>
      <c r="AP680" s="1164"/>
      <c r="AQ680" s="473"/>
      <c r="AR680" s="473"/>
      <c r="AS680" s="1236"/>
      <c r="AT680" s="473"/>
      <c r="AU680" s="473"/>
      <c r="AV680" s="1164"/>
      <c r="AW680" s="1164"/>
      <c r="AX680" s="1236"/>
      <c r="AY680" s="473"/>
      <c r="AZ680" s="1236"/>
      <c r="BA680" s="473"/>
      <c r="BB680" s="473"/>
      <c r="BC680" s="1164"/>
      <c r="BD680" s="20"/>
      <c r="BE680" s="473"/>
      <c r="BF680" s="610"/>
      <c r="BG680" s="610"/>
      <c r="BH680" s="610"/>
      <c r="BI680" s="610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</row>
    <row r="681" spans="1:148" s="22" customFormat="1" x14ac:dyDescent="0.25">
      <c r="A681" s="20"/>
      <c r="B681" s="16"/>
      <c r="C681" s="473"/>
      <c r="D681" s="473"/>
      <c r="E681" s="1164"/>
      <c r="F681" s="473"/>
      <c r="G681" s="473"/>
      <c r="H681" s="1164"/>
      <c r="I681" s="473"/>
      <c r="J681" s="473"/>
      <c r="K681" s="1164"/>
      <c r="L681" s="473"/>
      <c r="M681" s="473"/>
      <c r="N681" s="1164"/>
      <c r="O681" s="473"/>
      <c r="P681" s="473"/>
      <c r="Q681" s="1164"/>
      <c r="R681" s="473"/>
      <c r="S681" s="473"/>
      <c r="T681" s="1164"/>
      <c r="U681" s="1164"/>
      <c r="V681" s="473"/>
      <c r="W681" s="473"/>
      <c r="X681" s="1164"/>
      <c r="Y681" s="473"/>
      <c r="Z681" s="473"/>
      <c r="AA681" s="1164"/>
      <c r="AB681" s="473"/>
      <c r="AC681" s="1164"/>
      <c r="AD681" s="473"/>
      <c r="AE681" s="1164"/>
      <c r="AF681" s="473"/>
      <c r="AG681" s="1164"/>
      <c r="AH681" s="473"/>
      <c r="AI681" s="473"/>
      <c r="AJ681" s="1164"/>
      <c r="AK681" s="473"/>
      <c r="AL681" s="473"/>
      <c r="AM681" s="1164"/>
      <c r="AN681" s="473"/>
      <c r="AO681" s="473"/>
      <c r="AP681" s="1164"/>
      <c r="AQ681" s="473"/>
      <c r="AR681" s="473"/>
      <c r="AS681" s="1236"/>
      <c r="AT681" s="473"/>
      <c r="AU681" s="473"/>
      <c r="AV681" s="1164"/>
      <c r="AW681" s="1164"/>
      <c r="AX681" s="1236"/>
      <c r="AY681" s="473"/>
      <c r="AZ681" s="1236"/>
      <c r="BA681" s="473"/>
      <c r="BB681" s="473"/>
      <c r="BC681" s="1164"/>
      <c r="BD681" s="20"/>
      <c r="BE681" s="473"/>
      <c r="BF681" s="610"/>
      <c r="BG681" s="610"/>
      <c r="BH681" s="610"/>
      <c r="BI681" s="610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</row>
    <row r="682" spans="1:148" s="22" customFormat="1" x14ac:dyDescent="0.25">
      <c r="A682" s="20"/>
      <c r="B682" s="16"/>
      <c r="C682" s="473"/>
      <c r="D682" s="473"/>
      <c r="E682" s="1164"/>
      <c r="F682" s="473"/>
      <c r="G682" s="473"/>
      <c r="H682" s="1164"/>
      <c r="I682" s="473"/>
      <c r="J682" s="473"/>
      <c r="K682" s="1164"/>
      <c r="L682" s="473"/>
      <c r="M682" s="473"/>
      <c r="N682" s="1164"/>
      <c r="O682" s="473"/>
      <c r="P682" s="473"/>
      <c r="Q682" s="1164"/>
      <c r="R682" s="473"/>
      <c r="S682" s="473"/>
      <c r="T682" s="1164"/>
      <c r="U682" s="1164"/>
      <c r="V682" s="473"/>
      <c r="W682" s="473"/>
      <c r="X682" s="1164"/>
      <c r="Y682" s="473"/>
      <c r="Z682" s="473"/>
      <c r="AA682" s="1164"/>
      <c r="AB682" s="473"/>
      <c r="AC682" s="1164"/>
      <c r="AD682" s="473"/>
      <c r="AE682" s="1164"/>
      <c r="AF682" s="473"/>
      <c r="AG682" s="1164"/>
      <c r="AH682" s="473"/>
      <c r="AI682" s="473"/>
      <c r="AJ682" s="1164"/>
      <c r="AK682" s="473"/>
      <c r="AL682" s="473"/>
      <c r="AM682" s="1164"/>
      <c r="AN682" s="473"/>
      <c r="AO682" s="473"/>
      <c r="AP682" s="1164"/>
      <c r="AQ682" s="473"/>
      <c r="AR682" s="473"/>
      <c r="AS682" s="1236"/>
      <c r="AT682" s="473"/>
      <c r="AU682" s="473"/>
      <c r="AV682" s="1164"/>
      <c r="AW682" s="1164"/>
      <c r="AX682" s="1236"/>
      <c r="AY682" s="473"/>
      <c r="AZ682" s="1236"/>
      <c r="BA682" s="473"/>
      <c r="BB682" s="473"/>
      <c r="BC682" s="1164"/>
      <c r="BD682" s="20"/>
      <c r="BE682" s="473"/>
      <c r="BF682" s="610"/>
      <c r="BG682" s="610"/>
      <c r="BH682" s="610"/>
      <c r="BI682" s="610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</row>
    <row r="683" spans="1:148" s="22" customFormat="1" x14ac:dyDescent="0.25">
      <c r="A683" s="20"/>
      <c r="B683" s="16"/>
      <c r="C683" s="473"/>
      <c r="D683" s="473"/>
      <c r="E683" s="1164"/>
      <c r="F683" s="473"/>
      <c r="G683" s="473"/>
      <c r="H683" s="1164"/>
      <c r="I683" s="473"/>
      <c r="J683" s="473"/>
      <c r="K683" s="1164"/>
      <c r="L683" s="473"/>
      <c r="M683" s="473"/>
      <c r="N683" s="1164"/>
      <c r="O683" s="473"/>
      <c r="P683" s="473"/>
      <c r="Q683" s="1164"/>
      <c r="R683" s="473"/>
      <c r="S683" s="473"/>
      <c r="T683" s="1164"/>
      <c r="U683" s="1164"/>
      <c r="V683" s="473"/>
      <c r="W683" s="473"/>
      <c r="X683" s="1164"/>
      <c r="Y683" s="473"/>
      <c r="Z683" s="473"/>
      <c r="AA683" s="1164"/>
      <c r="AB683" s="473"/>
      <c r="AC683" s="1164"/>
      <c r="AD683" s="473"/>
      <c r="AE683" s="1164"/>
      <c r="AF683" s="473"/>
      <c r="AG683" s="1164"/>
      <c r="AH683" s="473"/>
      <c r="AI683" s="473"/>
      <c r="AJ683" s="1164"/>
      <c r="AK683" s="473"/>
      <c r="AL683" s="473"/>
      <c r="AM683" s="1164"/>
      <c r="AN683" s="473"/>
      <c r="AO683" s="473"/>
      <c r="AP683" s="1164"/>
      <c r="AQ683" s="473"/>
      <c r="AR683" s="473"/>
      <c r="AS683" s="1236"/>
      <c r="AT683" s="473"/>
      <c r="AU683" s="473"/>
      <c r="AV683" s="1164"/>
      <c r="AW683" s="1164"/>
      <c r="AX683" s="1236"/>
      <c r="AY683" s="473"/>
      <c r="AZ683" s="1236"/>
      <c r="BA683" s="473"/>
      <c r="BB683" s="473"/>
      <c r="BC683" s="1164"/>
      <c r="BD683" s="20"/>
      <c r="BE683" s="473"/>
      <c r="BF683" s="610"/>
      <c r="BG683" s="610"/>
      <c r="BH683" s="610"/>
      <c r="BI683" s="610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</row>
    <row r="684" spans="1:148" s="22" customFormat="1" x14ac:dyDescent="0.25">
      <c r="A684" s="20"/>
      <c r="B684" s="16"/>
      <c r="C684" s="473"/>
      <c r="D684" s="473"/>
      <c r="E684" s="1164"/>
      <c r="F684" s="473"/>
      <c r="G684" s="473"/>
      <c r="H684" s="1164"/>
      <c r="I684" s="473"/>
      <c r="J684" s="473"/>
      <c r="K684" s="1164"/>
      <c r="L684" s="473"/>
      <c r="M684" s="473"/>
      <c r="N684" s="1164"/>
      <c r="O684" s="473"/>
      <c r="P684" s="473"/>
      <c r="Q684" s="1164"/>
      <c r="R684" s="473"/>
      <c r="S684" s="473"/>
      <c r="T684" s="1164"/>
      <c r="U684" s="1164"/>
      <c r="V684" s="473"/>
      <c r="W684" s="473"/>
      <c r="X684" s="1164"/>
      <c r="Y684" s="473"/>
      <c r="Z684" s="473"/>
      <c r="AA684" s="1164"/>
      <c r="AB684" s="473"/>
      <c r="AC684" s="1164"/>
      <c r="AD684" s="473"/>
      <c r="AE684" s="1164"/>
      <c r="AF684" s="473"/>
      <c r="AG684" s="1164"/>
      <c r="AH684" s="473"/>
      <c r="AI684" s="473"/>
      <c r="AJ684" s="1164"/>
      <c r="AK684" s="473"/>
      <c r="AL684" s="473"/>
      <c r="AM684" s="1164"/>
      <c r="AN684" s="473"/>
      <c r="AO684" s="473"/>
      <c r="AP684" s="1164"/>
      <c r="AQ684" s="473"/>
      <c r="AR684" s="473"/>
      <c r="AS684" s="1236"/>
      <c r="AT684" s="473"/>
      <c r="AU684" s="473"/>
      <c r="AV684" s="1164"/>
      <c r="AW684" s="1164"/>
      <c r="AX684" s="1236"/>
      <c r="AY684" s="473"/>
      <c r="AZ684" s="1236"/>
      <c r="BA684" s="473"/>
      <c r="BB684" s="473"/>
      <c r="BC684" s="1164"/>
      <c r="BD684" s="20"/>
      <c r="BE684" s="473"/>
      <c r="BF684" s="610"/>
      <c r="BG684" s="610"/>
      <c r="BH684" s="610"/>
      <c r="BI684" s="610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</row>
    <row r="685" spans="1:148" s="22" customFormat="1" x14ac:dyDescent="0.25">
      <c r="A685" s="20"/>
      <c r="B685" s="16"/>
      <c r="C685" s="473"/>
      <c r="D685" s="473"/>
      <c r="E685" s="1164"/>
      <c r="F685" s="473"/>
      <c r="G685" s="473"/>
      <c r="H685" s="1164"/>
      <c r="I685" s="473"/>
      <c r="J685" s="473"/>
      <c r="K685" s="1164"/>
      <c r="L685" s="473"/>
      <c r="M685" s="473"/>
      <c r="N685" s="1164"/>
      <c r="O685" s="473"/>
      <c r="P685" s="473"/>
      <c r="Q685" s="1164"/>
      <c r="R685" s="473"/>
      <c r="S685" s="473"/>
      <c r="T685" s="1164"/>
      <c r="U685" s="1164"/>
      <c r="V685" s="473"/>
      <c r="W685" s="473"/>
      <c r="X685" s="1164"/>
      <c r="Y685" s="473"/>
      <c r="Z685" s="473"/>
      <c r="AA685" s="1164"/>
      <c r="AB685" s="473"/>
      <c r="AC685" s="1164"/>
      <c r="AD685" s="473"/>
      <c r="AE685" s="1164"/>
      <c r="AF685" s="473"/>
      <c r="AG685" s="1164"/>
      <c r="AH685" s="473"/>
      <c r="AI685" s="473"/>
      <c r="AJ685" s="1164"/>
      <c r="AK685" s="473"/>
      <c r="AL685" s="473"/>
      <c r="AM685" s="1164"/>
      <c r="AN685" s="473"/>
      <c r="AO685" s="473"/>
      <c r="AP685" s="1164"/>
      <c r="AQ685" s="473"/>
      <c r="AR685" s="473"/>
      <c r="AS685" s="1236"/>
      <c r="AT685" s="473"/>
      <c r="AU685" s="473"/>
      <c r="AV685" s="1164"/>
      <c r="AW685" s="1164"/>
      <c r="AX685" s="1236"/>
      <c r="AY685" s="473"/>
      <c r="AZ685" s="1236"/>
      <c r="BA685" s="473"/>
      <c r="BB685" s="473"/>
      <c r="BC685" s="1164"/>
      <c r="BD685" s="20"/>
      <c r="BE685" s="473"/>
      <c r="BF685" s="610"/>
      <c r="BG685" s="610"/>
      <c r="BH685" s="610"/>
      <c r="BI685" s="610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</row>
    <row r="686" spans="1:148" s="22" customFormat="1" x14ac:dyDescent="0.25">
      <c r="A686" s="20"/>
      <c r="B686" s="16"/>
      <c r="C686" s="473"/>
      <c r="D686" s="473"/>
      <c r="E686" s="1164"/>
      <c r="F686" s="473"/>
      <c r="G686" s="473"/>
      <c r="H686" s="1164"/>
      <c r="I686" s="473"/>
      <c r="J686" s="473"/>
      <c r="K686" s="1164"/>
      <c r="L686" s="473"/>
      <c r="M686" s="473"/>
      <c r="N686" s="1164"/>
      <c r="O686" s="473"/>
      <c r="P686" s="473"/>
      <c r="Q686" s="1164"/>
      <c r="R686" s="473"/>
      <c r="S686" s="473"/>
      <c r="T686" s="1164"/>
      <c r="U686" s="1164"/>
      <c r="V686" s="473"/>
      <c r="W686" s="473"/>
      <c r="X686" s="1164"/>
      <c r="Y686" s="473"/>
      <c r="Z686" s="473"/>
      <c r="AA686" s="1164"/>
      <c r="AB686" s="473"/>
      <c r="AC686" s="1164"/>
      <c r="AD686" s="473"/>
      <c r="AE686" s="1164"/>
      <c r="AF686" s="473"/>
      <c r="AG686" s="1164"/>
      <c r="AH686" s="473"/>
      <c r="AI686" s="473"/>
      <c r="AJ686" s="1164"/>
      <c r="AK686" s="473"/>
      <c r="AL686" s="473"/>
      <c r="AM686" s="1164"/>
      <c r="AN686" s="473"/>
      <c r="AO686" s="473"/>
      <c r="AP686" s="1164"/>
      <c r="AQ686" s="473"/>
      <c r="AR686" s="473"/>
      <c r="AS686" s="1236"/>
      <c r="AT686" s="473"/>
      <c r="AU686" s="473"/>
      <c r="AV686" s="1164"/>
      <c r="AW686" s="1164"/>
      <c r="AX686" s="1236"/>
      <c r="AY686" s="473"/>
      <c r="AZ686" s="1236"/>
      <c r="BA686" s="473"/>
      <c r="BB686" s="473"/>
      <c r="BC686" s="1164"/>
      <c r="BD686" s="20"/>
      <c r="BE686" s="473"/>
      <c r="BF686" s="610"/>
      <c r="BG686" s="610"/>
      <c r="BH686" s="610"/>
      <c r="BI686" s="610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</row>
    <row r="687" spans="1:148" s="22" customFormat="1" x14ac:dyDescent="0.25">
      <c r="A687" s="20"/>
      <c r="B687" s="16"/>
      <c r="C687" s="473"/>
      <c r="D687" s="473"/>
      <c r="E687" s="1164"/>
      <c r="F687" s="473"/>
      <c r="G687" s="473"/>
      <c r="H687" s="1164"/>
      <c r="I687" s="473"/>
      <c r="J687" s="473"/>
      <c r="K687" s="1164"/>
      <c r="L687" s="473"/>
      <c r="M687" s="473"/>
      <c r="N687" s="1164"/>
      <c r="O687" s="473"/>
      <c r="P687" s="473"/>
      <c r="Q687" s="1164"/>
      <c r="R687" s="473"/>
      <c r="S687" s="473"/>
      <c r="T687" s="1164"/>
      <c r="U687" s="1164"/>
      <c r="V687" s="473"/>
      <c r="W687" s="473"/>
      <c r="X687" s="1164"/>
      <c r="Y687" s="473"/>
      <c r="Z687" s="473"/>
      <c r="AA687" s="1164"/>
      <c r="AB687" s="473"/>
      <c r="AC687" s="1164"/>
      <c r="AD687" s="473"/>
      <c r="AE687" s="1164"/>
      <c r="AF687" s="473"/>
      <c r="AG687" s="1164"/>
      <c r="AH687" s="473"/>
      <c r="AI687" s="473"/>
      <c r="AJ687" s="1164"/>
      <c r="AK687" s="473"/>
      <c r="AL687" s="473"/>
      <c r="AM687" s="1164"/>
      <c r="AN687" s="473"/>
      <c r="AO687" s="473"/>
      <c r="AP687" s="1164"/>
      <c r="AQ687" s="473"/>
      <c r="AR687" s="473"/>
      <c r="AS687" s="1236"/>
      <c r="AT687" s="473"/>
      <c r="AU687" s="473"/>
      <c r="AV687" s="1164"/>
      <c r="AW687" s="1164"/>
      <c r="AX687" s="1236"/>
      <c r="AY687" s="473"/>
      <c r="AZ687" s="1236"/>
      <c r="BA687" s="473"/>
      <c r="BB687" s="473"/>
      <c r="BC687" s="1164"/>
      <c r="BD687" s="20"/>
      <c r="BE687" s="473"/>
      <c r="BF687" s="610"/>
      <c r="BG687" s="610"/>
      <c r="BH687" s="610"/>
      <c r="BI687" s="610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</row>
    <row r="688" spans="1:148" s="22" customFormat="1" x14ac:dyDescent="0.25">
      <c r="A688" s="20"/>
      <c r="B688" s="16"/>
      <c r="C688" s="473"/>
      <c r="D688" s="473"/>
      <c r="E688" s="1164"/>
      <c r="F688" s="473"/>
      <c r="G688" s="473"/>
      <c r="H688" s="1164"/>
      <c r="I688" s="473"/>
      <c r="J688" s="473"/>
      <c r="K688" s="1164"/>
      <c r="L688" s="473"/>
      <c r="M688" s="473"/>
      <c r="N688" s="1164"/>
      <c r="O688" s="473"/>
      <c r="P688" s="473"/>
      <c r="Q688" s="1164"/>
      <c r="R688" s="473"/>
      <c r="S688" s="473"/>
      <c r="T688" s="1164"/>
      <c r="U688" s="1164"/>
      <c r="V688" s="473"/>
      <c r="W688" s="473"/>
      <c r="X688" s="1164"/>
      <c r="Y688" s="473"/>
      <c r="Z688" s="473"/>
      <c r="AA688" s="1164"/>
      <c r="AB688" s="473"/>
      <c r="AC688" s="1164"/>
      <c r="AD688" s="473"/>
      <c r="AE688" s="1164"/>
      <c r="AF688" s="473"/>
      <c r="AG688" s="1164"/>
      <c r="AH688" s="473"/>
      <c r="AI688" s="473"/>
      <c r="AJ688" s="1164"/>
      <c r="AK688" s="473"/>
      <c r="AL688" s="473"/>
      <c r="AM688" s="1164"/>
      <c r="AN688" s="473"/>
      <c r="AO688" s="473"/>
      <c r="AP688" s="1164"/>
      <c r="AQ688" s="473"/>
      <c r="AR688" s="473"/>
      <c r="AS688" s="1236"/>
      <c r="AT688" s="473"/>
      <c r="AU688" s="473"/>
      <c r="AV688" s="1164"/>
      <c r="AW688" s="1164"/>
      <c r="AX688" s="1236"/>
      <c r="AY688" s="473"/>
      <c r="AZ688" s="1236"/>
      <c r="BA688" s="473"/>
      <c r="BB688" s="473"/>
      <c r="BC688" s="1164"/>
      <c r="BD688" s="20"/>
      <c r="BE688" s="473"/>
      <c r="BF688" s="610"/>
      <c r="BG688" s="610"/>
      <c r="BH688" s="610"/>
      <c r="BI688" s="610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</row>
    <row r="689" spans="1:148" s="22" customFormat="1" x14ac:dyDescent="0.25">
      <c r="A689" s="20"/>
      <c r="B689" s="16"/>
      <c r="C689" s="473"/>
      <c r="D689" s="473"/>
      <c r="E689" s="1164"/>
      <c r="F689" s="473"/>
      <c r="G689" s="473"/>
      <c r="H689" s="1164"/>
      <c r="I689" s="473"/>
      <c r="J689" s="473"/>
      <c r="K689" s="1164"/>
      <c r="L689" s="473"/>
      <c r="M689" s="473"/>
      <c r="N689" s="1164"/>
      <c r="O689" s="473"/>
      <c r="P689" s="473"/>
      <c r="Q689" s="1164"/>
      <c r="R689" s="473"/>
      <c r="S689" s="473"/>
      <c r="T689" s="1164"/>
      <c r="U689" s="1164"/>
      <c r="V689" s="473"/>
      <c r="W689" s="473"/>
      <c r="X689" s="1164"/>
      <c r="Y689" s="473"/>
      <c r="Z689" s="473"/>
      <c r="AA689" s="1164"/>
      <c r="AB689" s="473"/>
      <c r="AC689" s="1164"/>
      <c r="AD689" s="473"/>
      <c r="AE689" s="1164"/>
      <c r="AF689" s="473"/>
      <c r="AG689" s="1164"/>
      <c r="AH689" s="473"/>
      <c r="AI689" s="473"/>
      <c r="AJ689" s="1164"/>
      <c r="AK689" s="473"/>
      <c r="AL689" s="473"/>
      <c r="AM689" s="1164"/>
      <c r="AN689" s="473"/>
      <c r="AO689" s="473"/>
      <c r="AP689" s="1164"/>
      <c r="AQ689" s="473"/>
      <c r="AR689" s="473"/>
      <c r="AS689" s="1236"/>
      <c r="AT689" s="473"/>
      <c r="AU689" s="473"/>
      <c r="AV689" s="1164"/>
      <c r="AW689" s="1164"/>
      <c r="AX689" s="1236"/>
      <c r="AY689" s="473"/>
      <c r="AZ689" s="1236"/>
      <c r="BA689" s="473"/>
      <c r="BB689" s="473"/>
      <c r="BC689" s="1164"/>
      <c r="BD689" s="20"/>
      <c r="BE689" s="473"/>
      <c r="BF689" s="610"/>
      <c r="BG689" s="610"/>
      <c r="BH689" s="610"/>
      <c r="BI689" s="610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</row>
    <row r="690" spans="1:148" s="22" customFormat="1" x14ac:dyDescent="0.25">
      <c r="A690" s="20"/>
      <c r="B690" s="16"/>
      <c r="C690" s="473"/>
      <c r="D690" s="473"/>
      <c r="E690" s="1164"/>
      <c r="F690" s="473"/>
      <c r="G690" s="473"/>
      <c r="H690" s="1164"/>
      <c r="I690" s="473"/>
      <c r="J690" s="473"/>
      <c r="K690" s="1164"/>
      <c r="L690" s="473"/>
      <c r="M690" s="473"/>
      <c r="N690" s="1164"/>
      <c r="O690" s="473"/>
      <c r="P690" s="473"/>
      <c r="Q690" s="1164"/>
      <c r="R690" s="473"/>
      <c r="S690" s="473"/>
      <c r="T690" s="1164"/>
      <c r="U690" s="1164"/>
      <c r="V690" s="473"/>
      <c r="W690" s="473"/>
      <c r="X690" s="1164"/>
      <c r="Y690" s="473"/>
      <c r="Z690" s="473"/>
      <c r="AA690" s="1164"/>
      <c r="AB690" s="473"/>
      <c r="AC690" s="1164"/>
      <c r="AD690" s="473"/>
      <c r="AE690" s="1164"/>
      <c r="AF690" s="473"/>
      <c r="AG690" s="1164"/>
      <c r="AH690" s="473"/>
      <c r="AI690" s="473"/>
      <c r="AJ690" s="1164"/>
      <c r="AK690" s="473"/>
      <c r="AL690" s="473"/>
      <c r="AM690" s="1164"/>
      <c r="AN690" s="473"/>
      <c r="AO690" s="473"/>
      <c r="AP690" s="1164"/>
      <c r="AQ690" s="473"/>
      <c r="AR690" s="473"/>
      <c r="AS690" s="1236"/>
      <c r="AT690" s="473"/>
      <c r="AU690" s="473"/>
      <c r="AV690" s="1164"/>
      <c r="AW690" s="1164"/>
      <c r="AX690" s="1236"/>
      <c r="AY690" s="473"/>
      <c r="AZ690" s="1236"/>
      <c r="BA690" s="473"/>
      <c r="BB690" s="473"/>
      <c r="BC690" s="1164"/>
      <c r="BD690" s="20"/>
      <c r="BE690" s="473"/>
      <c r="BF690" s="610"/>
      <c r="BG690" s="610"/>
      <c r="BH690" s="610"/>
      <c r="BI690" s="610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</row>
    <row r="691" spans="1:148" s="22" customFormat="1" x14ac:dyDescent="0.25">
      <c r="A691" s="20"/>
      <c r="B691" s="16"/>
      <c r="C691" s="473"/>
      <c r="D691" s="473"/>
      <c r="E691" s="1164"/>
      <c r="F691" s="473"/>
      <c r="G691" s="473"/>
      <c r="H691" s="1164"/>
      <c r="I691" s="473"/>
      <c r="J691" s="473"/>
      <c r="K691" s="1164"/>
      <c r="L691" s="473"/>
      <c r="M691" s="473"/>
      <c r="N691" s="1164"/>
      <c r="O691" s="473"/>
      <c r="P691" s="473"/>
      <c r="Q691" s="1164"/>
      <c r="R691" s="473"/>
      <c r="S691" s="473"/>
      <c r="T691" s="1164"/>
      <c r="U691" s="1164"/>
      <c r="V691" s="473"/>
      <c r="W691" s="473"/>
      <c r="X691" s="1164"/>
      <c r="Y691" s="473"/>
      <c r="Z691" s="473"/>
      <c r="AA691" s="1164"/>
      <c r="AB691" s="473"/>
      <c r="AC691" s="1164"/>
      <c r="AD691" s="473"/>
      <c r="AE691" s="1164"/>
      <c r="AF691" s="473"/>
      <c r="AG691" s="1164"/>
      <c r="AH691" s="473"/>
      <c r="AI691" s="473"/>
      <c r="AJ691" s="1164"/>
      <c r="AK691" s="473"/>
      <c r="AL691" s="473"/>
      <c r="AM691" s="1164"/>
      <c r="AN691" s="473"/>
      <c r="AO691" s="473"/>
      <c r="AP691" s="1164"/>
      <c r="AQ691" s="473"/>
      <c r="AR691" s="473"/>
      <c r="AS691" s="1236"/>
      <c r="AT691" s="473"/>
      <c r="AU691" s="473"/>
      <c r="AV691" s="1164"/>
      <c r="AW691" s="1164"/>
      <c r="AX691" s="1236"/>
      <c r="AY691" s="473"/>
      <c r="AZ691" s="1236"/>
      <c r="BA691" s="473"/>
      <c r="BB691" s="473"/>
      <c r="BC691" s="1164"/>
      <c r="BD691" s="20"/>
      <c r="BE691" s="473"/>
      <c r="BF691" s="610"/>
      <c r="BG691" s="610"/>
      <c r="BH691" s="610"/>
      <c r="BI691" s="610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</row>
    <row r="692" spans="1:148" s="22" customFormat="1" x14ac:dyDescent="0.25">
      <c r="A692" s="20"/>
      <c r="B692" s="16"/>
      <c r="C692" s="473"/>
      <c r="D692" s="473"/>
      <c r="E692" s="1164"/>
      <c r="F692" s="473"/>
      <c r="G692" s="473"/>
      <c r="H692" s="1164"/>
      <c r="I692" s="473"/>
      <c r="J692" s="473"/>
      <c r="K692" s="1164"/>
      <c r="L692" s="473"/>
      <c r="M692" s="473"/>
      <c r="N692" s="1164"/>
      <c r="O692" s="473"/>
      <c r="P692" s="473"/>
      <c r="Q692" s="1164"/>
      <c r="R692" s="473"/>
      <c r="S692" s="473"/>
      <c r="T692" s="1164"/>
      <c r="U692" s="1164"/>
      <c r="V692" s="473"/>
      <c r="W692" s="473"/>
      <c r="X692" s="1164"/>
      <c r="Y692" s="473"/>
      <c r="Z692" s="473"/>
      <c r="AA692" s="1164"/>
      <c r="AB692" s="473"/>
      <c r="AC692" s="1164"/>
      <c r="AD692" s="473"/>
      <c r="AE692" s="1164"/>
      <c r="AF692" s="473"/>
      <c r="AG692" s="1164"/>
      <c r="AH692" s="473"/>
      <c r="AI692" s="473"/>
      <c r="AJ692" s="1164"/>
      <c r="AK692" s="473"/>
      <c r="AL692" s="473"/>
      <c r="AM692" s="1164"/>
      <c r="AN692" s="473"/>
      <c r="AO692" s="473"/>
      <c r="AP692" s="1164"/>
      <c r="AQ692" s="473"/>
      <c r="AR692" s="473"/>
      <c r="AS692" s="1236"/>
      <c r="AT692" s="473"/>
      <c r="AU692" s="473"/>
      <c r="AV692" s="1164"/>
      <c r="AW692" s="1164"/>
      <c r="AX692" s="1236"/>
      <c r="AY692" s="473"/>
      <c r="AZ692" s="1236"/>
      <c r="BA692" s="473"/>
      <c r="BB692" s="473"/>
      <c r="BC692" s="1164"/>
      <c r="BD692" s="20"/>
      <c r="BE692" s="473"/>
      <c r="BF692" s="610"/>
      <c r="BG692" s="610"/>
      <c r="BH692" s="610"/>
      <c r="BI692" s="610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</row>
    <row r="693" spans="1:148" s="22" customFormat="1" x14ac:dyDescent="0.25">
      <c r="A693" s="20"/>
      <c r="B693" s="16"/>
      <c r="C693" s="473"/>
      <c r="D693" s="473"/>
      <c r="E693" s="1164"/>
      <c r="F693" s="473"/>
      <c r="G693" s="473"/>
      <c r="H693" s="1164"/>
      <c r="I693" s="473"/>
      <c r="J693" s="473"/>
      <c r="K693" s="1164"/>
      <c r="L693" s="473"/>
      <c r="M693" s="473"/>
      <c r="N693" s="1164"/>
      <c r="O693" s="473"/>
      <c r="P693" s="473"/>
      <c r="Q693" s="1164"/>
      <c r="R693" s="473"/>
      <c r="S693" s="473"/>
      <c r="T693" s="1164"/>
      <c r="U693" s="1164"/>
      <c r="V693" s="473"/>
      <c r="W693" s="473"/>
      <c r="X693" s="1164"/>
      <c r="Y693" s="473"/>
      <c r="Z693" s="473"/>
      <c r="AA693" s="1164"/>
      <c r="AB693" s="473"/>
      <c r="AC693" s="1164"/>
      <c r="AD693" s="473"/>
      <c r="AE693" s="1164"/>
      <c r="AF693" s="473"/>
      <c r="AG693" s="1164"/>
      <c r="AH693" s="473"/>
      <c r="AI693" s="473"/>
      <c r="AJ693" s="1164"/>
      <c r="AK693" s="473"/>
      <c r="AL693" s="473"/>
      <c r="AM693" s="1164"/>
      <c r="AN693" s="473"/>
      <c r="AO693" s="473"/>
      <c r="AP693" s="1164"/>
      <c r="AQ693" s="473"/>
      <c r="AR693" s="473"/>
      <c r="AS693" s="1236"/>
      <c r="AT693" s="473"/>
      <c r="AU693" s="473"/>
      <c r="AV693" s="1164"/>
      <c r="AW693" s="1164"/>
      <c r="AX693" s="1236"/>
      <c r="AY693" s="473"/>
      <c r="AZ693" s="1236"/>
      <c r="BA693" s="473"/>
      <c r="BB693" s="473"/>
      <c r="BC693" s="1164"/>
      <c r="BD693" s="20"/>
      <c r="BE693" s="473"/>
      <c r="BF693" s="610"/>
      <c r="BG693" s="610"/>
      <c r="BH693" s="610"/>
      <c r="BI693" s="610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</row>
    <row r="694" spans="1:148" s="22" customFormat="1" x14ac:dyDescent="0.25">
      <c r="A694" s="20"/>
      <c r="B694" s="16"/>
      <c r="C694" s="473"/>
      <c r="D694" s="473"/>
      <c r="E694" s="1164"/>
      <c r="F694" s="473"/>
      <c r="G694" s="473"/>
      <c r="H694" s="1164"/>
      <c r="I694" s="473"/>
      <c r="J694" s="473"/>
      <c r="K694" s="1164"/>
      <c r="L694" s="473"/>
      <c r="M694" s="473"/>
      <c r="N694" s="1164"/>
      <c r="O694" s="473"/>
      <c r="P694" s="473"/>
      <c r="Q694" s="1164"/>
      <c r="R694" s="473"/>
      <c r="S694" s="473"/>
      <c r="T694" s="1164"/>
      <c r="U694" s="1164"/>
      <c r="V694" s="473"/>
      <c r="W694" s="473"/>
      <c r="X694" s="1164"/>
      <c r="Y694" s="473"/>
      <c r="Z694" s="473"/>
      <c r="AA694" s="1164"/>
      <c r="AB694" s="473"/>
      <c r="AC694" s="1164"/>
      <c r="AD694" s="473"/>
      <c r="AE694" s="1164"/>
      <c r="AF694" s="473"/>
      <c r="AG694" s="1164"/>
      <c r="AH694" s="473"/>
      <c r="AI694" s="473"/>
      <c r="AJ694" s="1164"/>
      <c r="AK694" s="473"/>
      <c r="AL694" s="473"/>
      <c r="AM694" s="1164"/>
      <c r="AN694" s="473"/>
      <c r="AO694" s="473"/>
      <c r="AP694" s="1164"/>
      <c r="AQ694" s="473"/>
      <c r="AR694" s="473"/>
      <c r="AS694" s="1236"/>
      <c r="AT694" s="473"/>
      <c r="AU694" s="473"/>
      <c r="AV694" s="1164"/>
      <c r="AW694" s="1164"/>
      <c r="AX694" s="1236"/>
      <c r="AY694" s="473"/>
      <c r="AZ694" s="1236"/>
      <c r="BA694" s="473"/>
      <c r="BB694" s="473"/>
      <c r="BC694" s="1164"/>
      <c r="BD694" s="20"/>
      <c r="BE694" s="473"/>
      <c r="BF694" s="610"/>
      <c r="BG694" s="610"/>
      <c r="BH694" s="610"/>
      <c r="BI694" s="610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</row>
    <row r="695" spans="1:148" s="22" customFormat="1" x14ac:dyDescent="0.25">
      <c r="A695" s="20"/>
      <c r="B695" s="16"/>
      <c r="C695" s="473"/>
      <c r="D695" s="473"/>
      <c r="E695" s="1164"/>
      <c r="F695" s="473"/>
      <c r="G695" s="473"/>
      <c r="H695" s="1164"/>
      <c r="I695" s="473"/>
      <c r="J695" s="473"/>
      <c r="K695" s="1164"/>
      <c r="L695" s="473"/>
      <c r="M695" s="473"/>
      <c r="N695" s="1164"/>
      <c r="O695" s="473"/>
      <c r="P695" s="473"/>
      <c r="Q695" s="1164"/>
      <c r="R695" s="473"/>
      <c r="S695" s="473"/>
      <c r="T695" s="1164"/>
      <c r="U695" s="1164"/>
      <c r="V695" s="473"/>
      <c r="W695" s="473"/>
      <c r="X695" s="1164"/>
      <c r="Y695" s="473"/>
      <c r="Z695" s="473"/>
      <c r="AA695" s="1164"/>
      <c r="AB695" s="473"/>
      <c r="AC695" s="1164"/>
      <c r="AD695" s="473"/>
      <c r="AE695" s="1164"/>
      <c r="AF695" s="473"/>
      <c r="AG695" s="1164"/>
      <c r="AH695" s="473"/>
      <c r="AI695" s="473"/>
      <c r="AJ695" s="1164"/>
      <c r="AK695" s="473"/>
      <c r="AL695" s="473"/>
      <c r="AM695" s="1164"/>
      <c r="AN695" s="473"/>
      <c r="AO695" s="473"/>
      <c r="AP695" s="1164"/>
      <c r="AQ695" s="473"/>
      <c r="AR695" s="473"/>
      <c r="AS695" s="1236"/>
      <c r="AT695" s="473"/>
      <c r="AU695" s="473"/>
      <c r="AV695" s="1164"/>
      <c r="AW695" s="1164"/>
      <c r="AX695" s="1236"/>
      <c r="AY695" s="473"/>
      <c r="AZ695" s="1236"/>
      <c r="BA695" s="473"/>
      <c r="BB695" s="473"/>
      <c r="BC695" s="1164"/>
      <c r="BD695" s="20"/>
      <c r="BE695" s="473"/>
      <c r="BF695" s="610"/>
      <c r="BG695" s="610"/>
      <c r="BH695" s="610"/>
      <c r="BI695" s="610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</row>
    <row r="696" spans="1:148" s="22" customFormat="1" x14ac:dyDescent="0.25">
      <c r="A696" s="20"/>
      <c r="B696" s="16"/>
      <c r="C696" s="473"/>
      <c r="D696" s="473"/>
      <c r="E696" s="1164"/>
      <c r="F696" s="473"/>
      <c r="G696" s="473"/>
      <c r="H696" s="1164"/>
      <c r="I696" s="473"/>
      <c r="J696" s="473"/>
      <c r="K696" s="1164"/>
      <c r="L696" s="473"/>
      <c r="M696" s="473"/>
      <c r="N696" s="1164"/>
      <c r="O696" s="473"/>
      <c r="P696" s="473"/>
      <c r="Q696" s="1164"/>
      <c r="R696" s="473"/>
      <c r="S696" s="473"/>
      <c r="T696" s="1164"/>
      <c r="U696" s="1164"/>
      <c r="V696" s="473"/>
      <c r="W696" s="473"/>
      <c r="X696" s="1164"/>
      <c r="Y696" s="473"/>
      <c r="Z696" s="473"/>
      <c r="AA696" s="1164"/>
      <c r="AB696" s="473"/>
      <c r="AC696" s="1164"/>
      <c r="AD696" s="473"/>
      <c r="AE696" s="1164"/>
      <c r="AF696" s="473"/>
      <c r="AG696" s="1164"/>
      <c r="AH696" s="473"/>
      <c r="AI696" s="473"/>
      <c r="AJ696" s="1164"/>
      <c r="AK696" s="473"/>
      <c r="AL696" s="473"/>
      <c r="AM696" s="1164"/>
      <c r="AN696" s="473"/>
      <c r="AO696" s="473"/>
      <c r="AP696" s="1164"/>
      <c r="AQ696" s="473"/>
      <c r="AR696" s="473"/>
      <c r="AS696" s="1236"/>
      <c r="AT696" s="473"/>
      <c r="AU696" s="473"/>
      <c r="AV696" s="1164"/>
      <c r="AW696" s="1164"/>
      <c r="AX696" s="1236"/>
      <c r="AY696" s="473"/>
      <c r="AZ696" s="1236"/>
      <c r="BA696" s="473"/>
      <c r="BB696" s="473"/>
      <c r="BC696" s="1164"/>
      <c r="BD696" s="20"/>
      <c r="BE696" s="473"/>
      <c r="BF696" s="610"/>
      <c r="BG696" s="610"/>
      <c r="BH696" s="610"/>
      <c r="BI696" s="610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</row>
    <row r="697" spans="1:148" s="22" customFormat="1" x14ac:dyDescent="0.25">
      <c r="A697" s="20"/>
      <c r="B697" s="16"/>
      <c r="C697" s="473"/>
      <c r="D697" s="473"/>
      <c r="E697" s="1164"/>
      <c r="F697" s="473"/>
      <c r="G697" s="473"/>
      <c r="H697" s="1164"/>
      <c r="I697" s="473"/>
      <c r="J697" s="473"/>
      <c r="K697" s="1164"/>
      <c r="L697" s="473"/>
      <c r="M697" s="473"/>
      <c r="N697" s="1164"/>
      <c r="O697" s="473"/>
      <c r="P697" s="473"/>
      <c r="Q697" s="1164"/>
      <c r="R697" s="473"/>
      <c r="S697" s="473"/>
      <c r="T697" s="1164"/>
      <c r="U697" s="1164"/>
      <c r="V697" s="473"/>
      <c r="W697" s="473"/>
      <c r="X697" s="1164"/>
      <c r="Y697" s="473"/>
      <c r="Z697" s="473"/>
      <c r="AA697" s="1164"/>
      <c r="AB697" s="473"/>
      <c r="AC697" s="1164"/>
      <c r="AD697" s="473"/>
      <c r="AE697" s="1164"/>
      <c r="AF697" s="473"/>
      <c r="AG697" s="1164"/>
      <c r="AH697" s="473"/>
      <c r="AI697" s="473"/>
      <c r="AJ697" s="1164"/>
      <c r="AK697" s="473"/>
      <c r="AL697" s="473"/>
      <c r="AM697" s="1164"/>
      <c r="AN697" s="473"/>
      <c r="AO697" s="473"/>
      <c r="AP697" s="1164"/>
      <c r="AQ697" s="473"/>
      <c r="AR697" s="473"/>
      <c r="AS697" s="1236"/>
      <c r="AT697" s="473"/>
      <c r="AU697" s="473"/>
      <c r="AV697" s="1164"/>
      <c r="AW697" s="1164"/>
      <c r="AX697" s="1236"/>
      <c r="AY697" s="473"/>
      <c r="AZ697" s="1236"/>
      <c r="BA697" s="473"/>
      <c r="BB697" s="473"/>
      <c r="BC697" s="1164"/>
      <c r="BD697" s="20"/>
      <c r="BE697" s="473"/>
      <c r="BF697" s="610"/>
      <c r="BG697" s="610"/>
      <c r="BH697" s="610"/>
      <c r="BI697" s="610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</row>
    <row r="698" spans="1:148" s="22" customFormat="1" x14ac:dyDescent="0.25">
      <c r="A698" s="20"/>
      <c r="B698" s="16"/>
      <c r="C698" s="473"/>
      <c r="D698" s="473"/>
      <c r="E698" s="1164"/>
      <c r="F698" s="473"/>
      <c r="G698" s="473"/>
      <c r="H698" s="1164"/>
      <c r="I698" s="473"/>
      <c r="J698" s="473"/>
      <c r="K698" s="1164"/>
      <c r="L698" s="473"/>
      <c r="M698" s="473"/>
      <c r="N698" s="1164"/>
      <c r="O698" s="473"/>
      <c r="P698" s="473"/>
      <c r="Q698" s="1164"/>
      <c r="R698" s="473"/>
      <c r="S698" s="473"/>
      <c r="T698" s="1164"/>
      <c r="U698" s="1164"/>
      <c r="V698" s="473"/>
      <c r="W698" s="473"/>
      <c r="X698" s="1164"/>
      <c r="Y698" s="473"/>
      <c r="Z698" s="473"/>
      <c r="AA698" s="1164"/>
      <c r="AB698" s="473"/>
      <c r="AC698" s="1164"/>
      <c r="AD698" s="473"/>
      <c r="AE698" s="1164"/>
      <c r="AF698" s="473"/>
      <c r="AG698" s="1164"/>
      <c r="AH698" s="473"/>
      <c r="AI698" s="473"/>
      <c r="AJ698" s="1164"/>
      <c r="AK698" s="473"/>
      <c r="AL698" s="473"/>
      <c r="AM698" s="1164"/>
      <c r="AN698" s="473"/>
      <c r="AO698" s="473"/>
      <c r="AP698" s="1164"/>
      <c r="AQ698" s="473"/>
      <c r="AR698" s="473"/>
      <c r="AS698" s="1236"/>
      <c r="AT698" s="473"/>
      <c r="AU698" s="473"/>
      <c r="AV698" s="1164"/>
      <c r="AW698" s="1164"/>
      <c r="AX698" s="1236"/>
      <c r="AY698" s="473"/>
      <c r="AZ698" s="1236"/>
      <c r="BA698" s="473"/>
      <c r="BB698" s="473"/>
      <c r="BC698" s="1164"/>
      <c r="BD698" s="20"/>
      <c r="BE698" s="473"/>
      <c r="BF698" s="610"/>
      <c r="BG698" s="610"/>
      <c r="BH698" s="610"/>
      <c r="BI698" s="610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</row>
    <row r="699" spans="1:148" s="22" customFormat="1" x14ac:dyDescent="0.25">
      <c r="A699" s="20"/>
      <c r="B699" s="16"/>
      <c r="C699" s="473"/>
      <c r="D699" s="473"/>
      <c r="E699" s="1164"/>
      <c r="F699" s="473"/>
      <c r="G699" s="473"/>
      <c r="H699" s="1164"/>
      <c r="I699" s="473"/>
      <c r="J699" s="473"/>
      <c r="K699" s="1164"/>
      <c r="L699" s="473"/>
      <c r="M699" s="473"/>
      <c r="N699" s="1164"/>
      <c r="O699" s="473"/>
      <c r="P699" s="473"/>
      <c r="Q699" s="1164"/>
      <c r="R699" s="473"/>
      <c r="S699" s="473"/>
      <c r="T699" s="1164"/>
      <c r="U699" s="1164"/>
      <c r="V699" s="473"/>
      <c r="W699" s="473"/>
      <c r="X699" s="1164"/>
      <c r="Y699" s="473"/>
      <c r="Z699" s="473"/>
      <c r="AA699" s="1164"/>
      <c r="AB699" s="473"/>
      <c r="AC699" s="1164"/>
      <c r="AD699" s="473"/>
      <c r="AE699" s="1164"/>
      <c r="AF699" s="473"/>
      <c r="AG699" s="1164"/>
      <c r="AH699" s="473"/>
      <c r="AI699" s="473"/>
      <c r="AJ699" s="1164"/>
      <c r="AK699" s="473"/>
      <c r="AL699" s="473"/>
      <c r="AM699" s="1164"/>
      <c r="AN699" s="473"/>
      <c r="AO699" s="473"/>
      <c r="AP699" s="1164"/>
      <c r="AQ699" s="473"/>
      <c r="AR699" s="473"/>
      <c r="AS699" s="1236"/>
      <c r="AT699" s="473"/>
      <c r="AU699" s="473"/>
      <c r="AV699" s="1164"/>
      <c r="AW699" s="1164"/>
      <c r="AX699" s="1236"/>
      <c r="AY699" s="473"/>
      <c r="AZ699" s="1236"/>
      <c r="BA699" s="473"/>
      <c r="BB699" s="473"/>
      <c r="BC699" s="1164"/>
      <c r="BD699" s="20"/>
      <c r="BE699" s="473"/>
      <c r="BF699" s="610"/>
      <c r="BG699" s="610"/>
      <c r="BH699" s="610"/>
      <c r="BI699" s="610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</row>
    <row r="700" spans="1:148" s="22" customFormat="1" x14ac:dyDescent="0.25">
      <c r="A700" s="20"/>
      <c r="B700" s="16"/>
      <c r="C700" s="473"/>
      <c r="D700" s="473"/>
      <c r="E700" s="1164"/>
      <c r="F700" s="473"/>
      <c r="G700" s="473"/>
      <c r="H700" s="1164"/>
      <c r="I700" s="473"/>
      <c r="J700" s="473"/>
      <c r="K700" s="1164"/>
      <c r="L700" s="473"/>
      <c r="M700" s="473"/>
      <c r="N700" s="1164"/>
      <c r="O700" s="473"/>
      <c r="P700" s="473"/>
      <c r="Q700" s="1164"/>
      <c r="R700" s="473"/>
      <c r="S700" s="473"/>
      <c r="T700" s="1164"/>
      <c r="U700" s="1164"/>
      <c r="V700" s="473"/>
      <c r="W700" s="473"/>
      <c r="X700" s="1164"/>
      <c r="Y700" s="473"/>
      <c r="Z700" s="473"/>
      <c r="AA700" s="1164"/>
      <c r="AB700" s="473"/>
      <c r="AC700" s="1164"/>
      <c r="AD700" s="473"/>
      <c r="AE700" s="1164"/>
      <c r="AF700" s="473"/>
      <c r="AG700" s="1164"/>
      <c r="AH700" s="473"/>
      <c r="AI700" s="473"/>
      <c r="AJ700" s="1164"/>
      <c r="AK700" s="473"/>
      <c r="AL700" s="473"/>
      <c r="AM700" s="1164"/>
      <c r="AN700" s="473"/>
      <c r="AO700" s="473"/>
      <c r="AP700" s="1164"/>
      <c r="AQ700" s="473"/>
      <c r="AR700" s="473"/>
      <c r="AS700" s="1236"/>
      <c r="AT700" s="473"/>
      <c r="AU700" s="473"/>
      <c r="AV700" s="1164"/>
      <c r="AW700" s="1164"/>
      <c r="AX700" s="1236"/>
      <c r="AY700" s="473"/>
      <c r="AZ700" s="1236"/>
      <c r="BA700" s="473"/>
      <c r="BB700" s="473"/>
      <c r="BC700" s="1164"/>
      <c r="BD700" s="20"/>
      <c r="BE700" s="473"/>
      <c r="BF700" s="610"/>
      <c r="BG700" s="610"/>
      <c r="BH700" s="610"/>
      <c r="BI700" s="610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</row>
    <row r="701" spans="1:148" s="22" customFormat="1" x14ac:dyDescent="0.25">
      <c r="A701" s="20"/>
      <c r="B701" s="16"/>
      <c r="C701" s="473"/>
      <c r="D701" s="473"/>
      <c r="E701" s="1164"/>
      <c r="F701" s="473"/>
      <c r="G701" s="473"/>
      <c r="H701" s="1164"/>
      <c r="I701" s="473"/>
      <c r="J701" s="473"/>
      <c r="K701" s="1164"/>
      <c r="L701" s="473"/>
      <c r="M701" s="473"/>
      <c r="N701" s="1164"/>
      <c r="O701" s="473"/>
      <c r="P701" s="473"/>
      <c r="Q701" s="1164"/>
      <c r="R701" s="473"/>
      <c r="S701" s="473"/>
      <c r="T701" s="1164"/>
      <c r="U701" s="1164"/>
      <c r="V701" s="473"/>
      <c r="W701" s="473"/>
      <c r="X701" s="1164"/>
      <c r="Y701" s="473"/>
      <c r="Z701" s="473"/>
      <c r="AA701" s="1164"/>
      <c r="AB701" s="473"/>
      <c r="AC701" s="1164"/>
      <c r="AD701" s="473"/>
      <c r="AE701" s="1164"/>
      <c r="AF701" s="473"/>
      <c r="AG701" s="1164"/>
      <c r="AH701" s="473"/>
      <c r="AI701" s="473"/>
      <c r="AJ701" s="1164"/>
      <c r="AK701" s="473"/>
      <c r="AL701" s="473"/>
      <c r="AM701" s="1164"/>
      <c r="AN701" s="473"/>
      <c r="AO701" s="473"/>
      <c r="AP701" s="1164"/>
      <c r="AQ701" s="473"/>
      <c r="AR701" s="473"/>
      <c r="AS701" s="1236"/>
      <c r="AT701" s="473"/>
      <c r="AU701" s="473"/>
      <c r="AV701" s="1164"/>
      <c r="AW701" s="1164"/>
      <c r="AX701" s="1236"/>
      <c r="AY701" s="473"/>
      <c r="AZ701" s="1236"/>
      <c r="BA701" s="473"/>
      <c r="BB701" s="473"/>
      <c r="BC701" s="1164"/>
      <c r="BD701" s="20"/>
      <c r="BE701" s="473"/>
      <c r="BF701" s="610"/>
      <c r="BG701" s="610"/>
      <c r="BH701" s="610"/>
      <c r="BI701" s="610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</row>
    <row r="702" spans="1:148" s="22" customFormat="1" x14ac:dyDescent="0.25">
      <c r="A702" s="20"/>
      <c r="B702" s="16"/>
      <c r="C702" s="473"/>
      <c r="D702" s="473"/>
      <c r="E702" s="1164"/>
      <c r="F702" s="473"/>
      <c r="G702" s="473"/>
      <c r="H702" s="1164"/>
      <c r="I702" s="473"/>
      <c r="J702" s="473"/>
      <c r="K702" s="1164"/>
      <c r="L702" s="473"/>
      <c r="M702" s="473"/>
      <c r="N702" s="1164"/>
      <c r="O702" s="473"/>
      <c r="P702" s="473"/>
      <c r="Q702" s="1164"/>
      <c r="R702" s="473"/>
      <c r="S702" s="473"/>
      <c r="T702" s="1164"/>
      <c r="U702" s="1164"/>
      <c r="V702" s="473"/>
      <c r="W702" s="473"/>
      <c r="X702" s="1164"/>
      <c r="Y702" s="473"/>
      <c r="Z702" s="473"/>
      <c r="AA702" s="1164"/>
      <c r="AB702" s="473"/>
      <c r="AC702" s="1164"/>
      <c r="AD702" s="473"/>
      <c r="AE702" s="1164"/>
      <c r="AF702" s="473"/>
      <c r="AG702" s="1164"/>
      <c r="AH702" s="473"/>
      <c r="AI702" s="473"/>
      <c r="AJ702" s="1164"/>
      <c r="AK702" s="473"/>
      <c r="AL702" s="473"/>
      <c r="AM702" s="1164"/>
      <c r="AN702" s="473"/>
      <c r="AO702" s="473"/>
      <c r="AP702" s="1164"/>
      <c r="AQ702" s="473"/>
      <c r="AR702" s="473"/>
      <c r="AS702" s="1236"/>
      <c r="AT702" s="473"/>
      <c r="AU702" s="473"/>
      <c r="AV702" s="1164"/>
      <c r="AW702" s="1164"/>
      <c r="AX702" s="1236"/>
      <c r="AY702" s="473"/>
      <c r="AZ702" s="1236"/>
      <c r="BA702" s="473"/>
      <c r="BB702" s="473"/>
      <c r="BC702" s="1164"/>
      <c r="BD702" s="20"/>
      <c r="BE702" s="473"/>
      <c r="BF702" s="610"/>
      <c r="BG702" s="610"/>
      <c r="BH702" s="610"/>
      <c r="BI702" s="610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</row>
    <row r="703" spans="1:148" s="22" customFormat="1" x14ac:dyDescent="0.25">
      <c r="A703" s="20"/>
      <c r="B703" s="16"/>
      <c r="C703" s="473"/>
      <c r="D703" s="473"/>
      <c r="E703" s="1164"/>
      <c r="F703" s="473"/>
      <c r="G703" s="473"/>
      <c r="H703" s="1164"/>
      <c r="I703" s="473"/>
      <c r="J703" s="473"/>
      <c r="K703" s="1164"/>
      <c r="L703" s="473"/>
      <c r="M703" s="473"/>
      <c r="N703" s="1164"/>
      <c r="O703" s="473"/>
      <c r="P703" s="473"/>
      <c r="Q703" s="1164"/>
      <c r="R703" s="473"/>
      <c r="S703" s="473"/>
      <c r="T703" s="1164"/>
      <c r="U703" s="1164"/>
      <c r="V703" s="473"/>
      <c r="W703" s="473"/>
      <c r="X703" s="1164"/>
      <c r="Y703" s="473"/>
      <c r="Z703" s="473"/>
      <c r="AA703" s="1164"/>
      <c r="AB703" s="473"/>
      <c r="AC703" s="1164"/>
      <c r="AD703" s="473"/>
      <c r="AE703" s="1164"/>
      <c r="AF703" s="473"/>
      <c r="AG703" s="1164"/>
      <c r="AH703" s="473"/>
      <c r="AI703" s="473"/>
      <c r="AJ703" s="1164"/>
      <c r="AK703" s="473"/>
      <c r="AL703" s="473"/>
      <c r="AM703" s="1164"/>
      <c r="AN703" s="473"/>
      <c r="AO703" s="473"/>
      <c r="AP703" s="1164"/>
      <c r="AQ703" s="473"/>
      <c r="AR703" s="473"/>
      <c r="AS703" s="1236"/>
      <c r="AT703" s="473"/>
      <c r="AU703" s="473"/>
      <c r="AV703" s="1164"/>
      <c r="AW703" s="1164"/>
      <c r="AX703" s="1236"/>
      <c r="AY703" s="473"/>
      <c r="AZ703" s="1236"/>
      <c r="BA703" s="473"/>
      <c r="BB703" s="473"/>
      <c r="BC703" s="1164"/>
      <c r="BD703" s="20"/>
      <c r="BE703" s="473"/>
      <c r="BF703" s="610"/>
      <c r="BG703" s="610"/>
      <c r="BH703" s="610"/>
      <c r="BI703" s="610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</row>
    <row r="704" spans="1:148" s="22" customFormat="1" x14ac:dyDescent="0.25">
      <c r="A704" s="20"/>
      <c r="B704" s="16"/>
      <c r="C704" s="473"/>
      <c r="D704" s="473"/>
      <c r="E704" s="1164"/>
      <c r="F704" s="473"/>
      <c r="G704" s="473"/>
      <c r="H704" s="1164"/>
      <c r="I704" s="473"/>
      <c r="J704" s="473"/>
      <c r="K704" s="1164"/>
      <c r="L704" s="473"/>
      <c r="M704" s="473"/>
      <c r="N704" s="1164"/>
      <c r="O704" s="473"/>
      <c r="P704" s="473"/>
      <c r="Q704" s="1164"/>
      <c r="R704" s="473"/>
      <c r="S704" s="473"/>
      <c r="T704" s="1164"/>
      <c r="U704" s="1164"/>
      <c r="V704" s="473"/>
      <c r="W704" s="473"/>
      <c r="X704" s="1164"/>
      <c r="Y704" s="473"/>
      <c r="Z704" s="473"/>
      <c r="AA704" s="1164"/>
      <c r="AB704" s="473"/>
      <c r="AC704" s="1164"/>
      <c r="AD704" s="473"/>
      <c r="AE704" s="1164"/>
      <c r="AF704" s="473"/>
      <c r="AG704" s="1164"/>
      <c r="AH704" s="473"/>
      <c r="AI704" s="473"/>
      <c r="AJ704" s="1164"/>
      <c r="AK704" s="473"/>
      <c r="AL704" s="473"/>
      <c r="AM704" s="1164"/>
      <c r="AN704" s="473"/>
      <c r="AO704" s="473"/>
      <c r="AP704" s="1164"/>
      <c r="AQ704" s="473"/>
      <c r="AR704" s="473"/>
      <c r="AS704" s="1236"/>
      <c r="AT704" s="473"/>
      <c r="AU704" s="473"/>
      <c r="AV704" s="1164"/>
      <c r="AW704" s="1164"/>
      <c r="AX704" s="1236"/>
      <c r="AY704" s="473"/>
      <c r="AZ704" s="1236"/>
      <c r="BA704" s="473"/>
      <c r="BB704" s="473"/>
      <c r="BC704" s="1164"/>
      <c r="BD704" s="20"/>
      <c r="BE704" s="473"/>
      <c r="BF704" s="610"/>
      <c r="BG704" s="610"/>
      <c r="BH704" s="610"/>
      <c r="BI704" s="610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</row>
    <row r="705" spans="1:148" s="22" customFormat="1" x14ac:dyDescent="0.25">
      <c r="A705" s="20"/>
      <c r="B705" s="16"/>
      <c r="C705" s="473"/>
      <c r="D705" s="473"/>
      <c r="E705" s="1164"/>
      <c r="F705" s="473"/>
      <c r="G705" s="473"/>
      <c r="H705" s="1164"/>
      <c r="I705" s="473"/>
      <c r="J705" s="473"/>
      <c r="K705" s="1164"/>
      <c r="L705" s="473"/>
      <c r="M705" s="473"/>
      <c r="N705" s="1164"/>
      <c r="O705" s="473"/>
      <c r="P705" s="473"/>
      <c r="Q705" s="1164"/>
      <c r="R705" s="473"/>
      <c r="S705" s="473"/>
      <c r="T705" s="1164"/>
      <c r="U705" s="1164"/>
      <c r="V705" s="473"/>
      <c r="W705" s="473"/>
      <c r="X705" s="1164"/>
      <c r="Y705" s="473"/>
      <c r="Z705" s="473"/>
      <c r="AA705" s="1164"/>
      <c r="AB705" s="473"/>
      <c r="AC705" s="1164"/>
      <c r="AD705" s="473"/>
      <c r="AE705" s="1164"/>
      <c r="AF705" s="473"/>
      <c r="AG705" s="1164"/>
      <c r="AH705" s="473"/>
      <c r="AI705" s="473"/>
      <c r="AJ705" s="1164"/>
      <c r="AK705" s="473"/>
      <c r="AL705" s="473"/>
      <c r="AM705" s="1164"/>
      <c r="AN705" s="473"/>
      <c r="AO705" s="473"/>
      <c r="AP705" s="1164"/>
      <c r="AQ705" s="473"/>
      <c r="AR705" s="473"/>
      <c r="AS705" s="1236"/>
      <c r="AT705" s="473"/>
      <c r="AU705" s="473"/>
      <c r="AV705" s="1164"/>
      <c r="AW705" s="1164"/>
      <c r="AX705" s="1236"/>
      <c r="AY705" s="473"/>
      <c r="AZ705" s="1236"/>
      <c r="BA705" s="473"/>
      <c r="BB705" s="473"/>
      <c r="BC705" s="1164"/>
      <c r="BD705" s="20"/>
      <c r="BE705" s="473"/>
      <c r="BF705" s="610"/>
      <c r="BG705" s="610"/>
      <c r="BH705" s="610"/>
      <c r="BI705" s="610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</row>
    <row r="706" spans="1:148" s="22" customFormat="1" x14ac:dyDescent="0.25">
      <c r="A706" s="20"/>
      <c r="B706" s="16"/>
      <c r="C706" s="473"/>
      <c r="D706" s="473"/>
      <c r="E706" s="1164"/>
      <c r="F706" s="473"/>
      <c r="G706" s="473"/>
      <c r="H706" s="1164"/>
      <c r="I706" s="473"/>
      <c r="J706" s="473"/>
      <c r="K706" s="1164"/>
      <c r="L706" s="473"/>
      <c r="M706" s="473"/>
      <c r="N706" s="1164"/>
      <c r="O706" s="473"/>
      <c r="P706" s="473"/>
      <c r="Q706" s="1164"/>
      <c r="R706" s="473"/>
      <c r="S706" s="473"/>
      <c r="T706" s="1164"/>
      <c r="U706" s="1164"/>
      <c r="V706" s="473"/>
      <c r="W706" s="473"/>
      <c r="X706" s="1164"/>
      <c r="Y706" s="473"/>
      <c r="Z706" s="473"/>
      <c r="AA706" s="1164"/>
      <c r="AB706" s="473"/>
      <c r="AC706" s="1164"/>
      <c r="AD706" s="473"/>
      <c r="AE706" s="1164"/>
      <c r="AF706" s="473"/>
      <c r="AG706" s="1164"/>
      <c r="AH706" s="473"/>
      <c r="AI706" s="473"/>
      <c r="AJ706" s="1164"/>
      <c r="AK706" s="473"/>
      <c r="AL706" s="473"/>
      <c r="AM706" s="1164"/>
      <c r="AN706" s="473"/>
      <c r="AO706" s="473"/>
      <c r="AP706" s="1164"/>
      <c r="AQ706" s="473"/>
      <c r="AR706" s="473"/>
      <c r="AS706" s="1236"/>
      <c r="AT706" s="473"/>
      <c r="AU706" s="473"/>
      <c r="AV706" s="1164"/>
      <c r="AW706" s="1164"/>
      <c r="AX706" s="1236"/>
      <c r="AY706" s="473"/>
      <c r="AZ706" s="1236"/>
      <c r="BA706" s="473"/>
      <c r="BB706" s="473"/>
      <c r="BC706" s="1164"/>
      <c r="BD706" s="20"/>
      <c r="BE706" s="473"/>
      <c r="BF706" s="610"/>
      <c r="BG706" s="610"/>
      <c r="BH706" s="610"/>
      <c r="BI706" s="610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</row>
    <row r="707" spans="1:148" s="22" customFormat="1" x14ac:dyDescent="0.25">
      <c r="A707" s="20"/>
      <c r="B707" s="16"/>
      <c r="C707" s="473"/>
      <c r="D707" s="473"/>
      <c r="E707" s="1164"/>
      <c r="F707" s="473"/>
      <c r="G707" s="473"/>
      <c r="H707" s="1164"/>
      <c r="I707" s="473"/>
      <c r="J707" s="473"/>
      <c r="K707" s="1164"/>
      <c r="L707" s="473"/>
      <c r="M707" s="473"/>
      <c r="N707" s="1164"/>
      <c r="O707" s="473"/>
      <c r="P707" s="473"/>
      <c r="Q707" s="1164"/>
      <c r="R707" s="473"/>
      <c r="S707" s="473"/>
      <c r="T707" s="1164"/>
      <c r="U707" s="1164"/>
      <c r="V707" s="473"/>
      <c r="W707" s="473"/>
      <c r="X707" s="1164"/>
      <c r="Y707" s="473"/>
      <c r="Z707" s="473"/>
      <c r="AA707" s="1164"/>
      <c r="AB707" s="473"/>
      <c r="AC707" s="1164"/>
      <c r="AD707" s="473"/>
      <c r="AE707" s="1164"/>
      <c r="AF707" s="473"/>
      <c r="AG707" s="1164"/>
      <c r="AH707" s="473"/>
      <c r="AI707" s="473"/>
      <c r="AJ707" s="1164"/>
      <c r="AK707" s="473"/>
      <c r="AL707" s="473"/>
      <c r="AM707" s="1164"/>
      <c r="AN707" s="473"/>
      <c r="AO707" s="473"/>
      <c r="AP707" s="1164"/>
      <c r="AQ707" s="473"/>
      <c r="AR707" s="473"/>
      <c r="AS707" s="1236"/>
      <c r="AT707" s="473"/>
      <c r="AU707" s="473"/>
      <c r="AV707" s="1164"/>
      <c r="AW707" s="1164"/>
      <c r="AX707" s="1236"/>
      <c r="AY707" s="473"/>
      <c r="AZ707" s="1236"/>
      <c r="BA707" s="473"/>
      <c r="BB707" s="473"/>
      <c r="BC707" s="1164"/>
      <c r="BD707" s="20"/>
      <c r="BE707" s="473"/>
      <c r="BF707" s="610"/>
      <c r="BG707" s="610"/>
      <c r="BH707" s="610"/>
      <c r="BI707" s="610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</row>
    <row r="708" spans="1:148" s="22" customFormat="1" x14ac:dyDescent="0.25">
      <c r="A708" s="20"/>
      <c r="B708" s="16"/>
      <c r="C708" s="473"/>
      <c r="D708" s="473"/>
      <c r="E708" s="1164"/>
      <c r="F708" s="473"/>
      <c r="G708" s="473"/>
      <c r="H708" s="1164"/>
      <c r="I708" s="473"/>
      <c r="J708" s="473"/>
      <c r="K708" s="1164"/>
      <c r="L708" s="473"/>
      <c r="M708" s="473"/>
      <c r="N708" s="1164"/>
      <c r="O708" s="473"/>
      <c r="P708" s="473"/>
      <c r="Q708" s="1164"/>
      <c r="R708" s="473"/>
      <c r="S708" s="473"/>
      <c r="T708" s="1164"/>
      <c r="U708" s="1164"/>
      <c r="V708" s="473"/>
      <c r="W708" s="473"/>
      <c r="X708" s="1164"/>
      <c r="Y708" s="473"/>
      <c r="Z708" s="473"/>
      <c r="AA708" s="1164"/>
      <c r="AB708" s="473"/>
      <c r="AC708" s="1164"/>
      <c r="AD708" s="473"/>
      <c r="AE708" s="1164"/>
      <c r="AF708" s="473"/>
      <c r="AG708" s="1164"/>
      <c r="AH708" s="473"/>
      <c r="AI708" s="473"/>
      <c r="AJ708" s="1164"/>
      <c r="AK708" s="473"/>
      <c r="AL708" s="473"/>
      <c r="AM708" s="1164"/>
      <c r="AN708" s="473"/>
      <c r="AO708" s="473"/>
      <c r="AP708" s="1164"/>
      <c r="AQ708" s="473"/>
      <c r="AR708" s="473"/>
      <c r="AS708" s="1236"/>
      <c r="AT708" s="473"/>
      <c r="AU708" s="473"/>
      <c r="AV708" s="1164"/>
      <c r="AW708" s="1164"/>
      <c r="AX708" s="1236"/>
      <c r="AY708" s="473"/>
      <c r="AZ708" s="1236"/>
      <c r="BA708" s="473"/>
      <c r="BB708" s="473"/>
      <c r="BC708" s="1164"/>
      <c r="BD708" s="20"/>
      <c r="BE708" s="473"/>
      <c r="BF708" s="610"/>
      <c r="BG708" s="610"/>
      <c r="BH708" s="610"/>
      <c r="BI708" s="610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</row>
    <row r="709" spans="1:148" s="22" customFormat="1" x14ac:dyDescent="0.25">
      <c r="A709" s="20"/>
      <c r="B709" s="16"/>
      <c r="C709" s="473"/>
      <c r="D709" s="473"/>
      <c r="E709" s="1164"/>
      <c r="F709" s="473"/>
      <c r="G709" s="473"/>
      <c r="H709" s="1164"/>
      <c r="I709" s="473"/>
      <c r="J709" s="473"/>
      <c r="K709" s="1164"/>
      <c r="L709" s="473"/>
      <c r="M709" s="473"/>
      <c r="N709" s="1164"/>
      <c r="O709" s="473"/>
      <c r="P709" s="473"/>
      <c r="Q709" s="1164"/>
      <c r="R709" s="473"/>
      <c r="S709" s="473"/>
      <c r="T709" s="1164"/>
      <c r="U709" s="1164"/>
      <c r="V709" s="473"/>
      <c r="W709" s="473"/>
      <c r="X709" s="1164"/>
      <c r="Y709" s="473"/>
      <c r="Z709" s="473"/>
      <c r="AA709" s="1164"/>
      <c r="AB709" s="473"/>
      <c r="AC709" s="1164"/>
      <c r="AD709" s="473"/>
      <c r="AE709" s="1164"/>
      <c r="AF709" s="473"/>
      <c r="AG709" s="1164"/>
      <c r="AH709" s="473"/>
      <c r="AI709" s="473"/>
      <c r="AJ709" s="1164"/>
      <c r="AK709" s="473"/>
      <c r="AL709" s="473"/>
      <c r="AM709" s="1164"/>
      <c r="AN709" s="473"/>
      <c r="AO709" s="473"/>
      <c r="AP709" s="1164"/>
      <c r="AQ709" s="473"/>
      <c r="AR709" s="473"/>
      <c r="AS709" s="1236"/>
      <c r="AT709" s="473"/>
      <c r="AU709" s="473"/>
      <c r="AV709" s="1164"/>
      <c r="AW709" s="1164"/>
      <c r="AX709" s="1236"/>
      <c r="AY709" s="473"/>
      <c r="AZ709" s="1236"/>
      <c r="BA709" s="473"/>
      <c r="BB709" s="473"/>
      <c r="BC709" s="1164"/>
      <c r="BD709" s="20"/>
      <c r="BE709" s="473"/>
      <c r="BF709" s="610"/>
      <c r="BG709" s="610"/>
      <c r="BH709" s="610"/>
      <c r="BI709" s="610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</row>
    <row r="710" spans="1:148" s="22" customFormat="1" x14ac:dyDescent="0.25">
      <c r="A710" s="20"/>
      <c r="B710" s="16"/>
      <c r="C710" s="473"/>
      <c r="D710" s="473"/>
      <c r="E710" s="1164"/>
      <c r="F710" s="473"/>
      <c r="G710" s="473"/>
      <c r="H710" s="1164"/>
      <c r="I710" s="473"/>
      <c r="J710" s="473"/>
      <c r="K710" s="1164"/>
      <c r="L710" s="473"/>
      <c r="M710" s="473"/>
      <c r="N710" s="1164"/>
      <c r="O710" s="473"/>
      <c r="P710" s="473"/>
      <c r="Q710" s="1164"/>
      <c r="R710" s="473"/>
      <c r="S710" s="473"/>
      <c r="T710" s="1164"/>
      <c r="U710" s="1164"/>
      <c r="V710" s="473"/>
      <c r="W710" s="473"/>
      <c r="X710" s="1164"/>
      <c r="Y710" s="473"/>
      <c r="Z710" s="473"/>
      <c r="AA710" s="1164"/>
      <c r="AB710" s="473"/>
      <c r="AC710" s="1164"/>
      <c r="AD710" s="473"/>
      <c r="AE710" s="1164"/>
      <c r="AF710" s="473"/>
      <c r="AG710" s="1164"/>
      <c r="AH710" s="473"/>
      <c r="AI710" s="473"/>
      <c r="AJ710" s="1164"/>
      <c r="AK710" s="473"/>
      <c r="AL710" s="473"/>
      <c r="AM710" s="1164"/>
      <c r="AN710" s="473"/>
      <c r="AO710" s="473"/>
      <c r="AP710" s="1164"/>
      <c r="AQ710" s="473"/>
      <c r="AR710" s="473"/>
      <c r="AS710" s="1236"/>
      <c r="AT710" s="473"/>
      <c r="AU710" s="473"/>
      <c r="AV710" s="1164"/>
      <c r="AW710" s="1164"/>
      <c r="AX710" s="1236"/>
      <c r="AY710" s="473"/>
      <c r="AZ710" s="1236"/>
      <c r="BA710" s="473"/>
      <c r="BB710" s="473"/>
      <c r="BC710" s="1164"/>
      <c r="BD710" s="20"/>
      <c r="BE710" s="473"/>
      <c r="BF710" s="610"/>
      <c r="BG710" s="610"/>
      <c r="BH710" s="610"/>
      <c r="BI710" s="610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</row>
    <row r="711" spans="1:148" s="22" customFormat="1" x14ac:dyDescent="0.25">
      <c r="A711" s="20"/>
      <c r="B711" s="16"/>
      <c r="C711" s="473"/>
      <c r="D711" s="473"/>
      <c r="E711" s="1164"/>
      <c r="F711" s="473"/>
      <c r="G711" s="473"/>
      <c r="H711" s="1164"/>
      <c r="I711" s="473"/>
      <c r="J711" s="473"/>
      <c r="K711" s="1164"/>
      <c r="L711" s="473"/>
      <c r="M711" s="473"/>
      <c r="N711" s="1164"/>
      <c r="O711" s="473"/>
      <c r="P711" s="473"/>
      <c r="Q711" s="1164"/>
      <c r="R711" s="473"/>
      <c r="S711" s="473"/>
      <c r="T711" s="1164"/>
      <c r="U711" s="1164"/>
      <c r="V711" s="473"/>
      <c r="W711" s="473"/>
      <c r="X711" s="1164"/>
      <c r="Y711" s="473"/>
      <c r="Z711" s="473"/>
      <c r="AA711" s="1164"/>
      <c r="AB711" s="473"/>
      <c r="AC711" s="1164"/>
      <c r="AD711" s="473"/>
      <c r="AE711" s="1164"/>
      <c r="AF711" s="473"/>
      <c r="AG711" s="1164"/>
      <c r="AH711" s="473"/>
      <c r="AI711" s="473"/>
      <c r="AJ711" s="1164"/>
      <c r="AK711" s="473"/>
      <c r="AL711" s="473"/>
      <c r="AM711" s="1164"/>
      <c r="AN711" s="473"/>
      <c r="AO711" s="473"/>
      <c r="AP711" s="1164"/>
      <c r="AQ711" s="473"/>
      <c r="AR711" s="473"/>
      <c r="AS711" s="1236"/>
      <c r="AT711" s="473"/>
      <c r="AU711" s="473"/>
      <c r="AV711" s="1164"/>
      <c r="AW711" s="1164"/>
      <c r="AX711" s="1236"/>
      <c r="AY711" s="473"/>
      <c r="AZ711" s="1236"/>
      <c r="BA711" s="473"/>
      <c r="BB711" s="473"/>
      <c r="BC711" s="1164"/>
      <c r="BD711" s="20"/>
      <c r="BE711" s="473"/>
      <c r="BF711" s="610"/>
      <c r="BG711" s="610"/>
      <c r="BH711" s="610"/>
      <c r="BI711" s="610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</row>
    <row r="712" spans="1:148" s="22" customFormat="1" x14ac:dyDescent="0.25">
      <c r="A712" s="20"/>
      <c r="B712" s="16"/>
      <c r="C712" s="473"/>
      <c r="D712" s="473"/>
      <c r="E712" s="1164"/>
      <c r="F712" s="473"/>
      <c r="G712" s="473"/>
      <c r="H712" s="1164"/>
      <c r="I712" s="473"/>
      <c r="J712" s="473"/>
      <c r="K712" s="1164"/>
      <c r="L712" s="473"/>
      <c r="M712" s="473"/>
      <c r="N712" s="1164"/>
      <c r="O712" s="473"/>
      <c r="P712" s="473"/>
      <c r="Q712" s="1164"/>
      <c r="R712" s="473"/>
      <c r="S712" s="473"/>
      <c r="T712" s="1164"/>
      <c r="U712" s="1164"/>
      <c r="V712" s="473"/>
      <c r="W712" s="473"/>
      <c r="X712" s="1164"/>
      <c r="Y712" s="473"/>
      <c r="Z712" s="473"/>
      <c r="AA712" s="1164"/>
      <c r="AB712" s="473"/>
      <c r="AC712" s="1164"/>
      <c r="AD712" s="473"/>
      <c r="AE712" s="1164"/>
      <c r="AF712" s="473"/>
      <c r="AG712" s="1164"/>
      <c r="AH712" s="473"/>
      <c r="AI712" s="473"/>
      <c r="AJ712" s="1164"/>
      <c r="AK712" s="473"/>
      <c r="AL712" s="473"/>
      <c r="AM712" s="1164"/>
      <c r="AN712" s="473"/>
      <c r="AO712" s="473"/>
      <c r="AP712" s="1164"/>
      <c r="AQ712" s="473"/>
      <c r="AR712" s="473"/>
      <c r="AS712" s="1236"/>
      <c r="AT712" s="473"/>
      <c r="AU712" s="473"/>
      <c r="AV712" s="1164"/>
      <c r="AW712" s="1164"/>
      <c r="AX712" s="1236"/>
      <c r="AY712" s="473"/>
      <c r="AZ712" s="1236"/>
      <c r="BA712" s="473"/>
      <c r="BB712" s="473"/>
      <c r="BC712" s="1164"/>
      <c r="BD712" s="20"/>
      <c r="BE712" s="473"/>
      <c r="BF712" s="610"/>
      <c r="BG712" s="610"/>
      <c r="BH712" s="610"/>
      <c r="BI712" s="610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</row>
    <row r="713" spans="1:148" s="22" customFormat="1" x14ac:dyDescent="0.25">
      <c r="A713" s="20"/>
      <c r="B713" s="16"/>
      <c r="C713" s="473"/>
      <c r="D713" s="473"/>
      <c r="E713" s="1164"/>
      <c r="F713" s="473"/>
      <c r="G713" s="473"/>
      <c r="H713" s="1164"/>
      <c r="I713" s="473"/>
      <c r="J713" s="473"/>
      <c r="K713" s="1164"/>
      <c r="L713" s="473"/>
      <c r="M713" s="473"/>
      <c r="N713" s="1164"/>
      <c r="O713" s="473"/>
      <c r="P713" s="473"/>
      <c r="Q713" s="1164"/>
      <c r="R713" s="473"/>
      <c r="S713" s="473"/>
      <c r="T713" s="1164"/>
      <c r="U713" s="1164"/>
      <c r="V713" s="473"/>
      <c r="W713" s="473"/>
      <c r="X713" s="1164"/>
      <c r="Y713" s="473"/>
      <c r="Z713" s="473"/>
      <c r="AA713" s="1164"/>
      <c r="AB713" s="473"/>
      <c r="AC713" s="1164"/>
      <c r="AD713" s="473"/>
      <c r="AE713" s="1164"/>
      <c r="AF713" s="473"/>
      <c r="AG713" s="1164"/>
      <c r="AH713" s="473"/>
      <c r="AI713" s="473"/>
      <c r="AJ713" s="1164"/>
      <c r="AK713" s="473"/>
      <c r="AL713" s="473"/>
      <c r="AM713" s="1164"/>
      <c r="AN713" s="473"/>
      <c r="AO713" s="473"/>
      <c r="AP713" s="1164"/>
      <c r="AQ713" s="473"/>
      <c r="AR713" s="473"/>
      <c r="AS713" s="1236"/>
      <c r="AT713" s="473"/>
      <c r="AU713" s="473"/>
      <c r="AV713" s="1164"/>
      <c r="AW713" s="1164"/>
      <c r="AX713" s="1236"/>
      <c r="AY713" s="473"/>
      <c r="AZ713" s="1236"/>
      <c r="BA713" s="473"/>
      <c r="BB713" s="473"/>
      <c r="BC713" s="1164"/>
      <c r="BD713" s="20"/>
      <c r="BE713" s="473"/>
      <c r="BF713" s="610"/>
      <c r="BG713" s="610"/>
      <c r="BH713" s="610"/>
      <c r="BI713" s="610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</row>
    <row r="714" spans="1:148" s="22" customFormat="1" x14ac:dyDescent="0.25">
      <c r="A714" s="20"/>
      <c r="B714" s="16"/>
      <c r="C714" s="473"/>
      <c r="D714" s="473"/>
      <c r="E714" s="1164"/>
      <c r="F714" s="473"/>
      <c r="G714" s="473"/>
      <c r="H714" s="1164"/>
      <c r="I714" s="473"/>
      <c r="J714" s="473"/>
      <c r="K714" s="1164"/>
      <c r="L714" s="473"/>
      <c r="M714" s="473"/>
      <c r="N714" s="1164"/>
      <c r="O714" s="473"/>
      <c r="P714" s="473"/>
      <c r="Q714" s="1164"/>
      <c r="R714" s="473"/>
      <c r="S714" s="473"/>
      <c r="T714" s="1164"/>
      <c r="U714" s="1164"/>
      <c r="V714" s="473"/>
      <c r="W714" s="473"/>
      <c r="X714" s="1164"/>
      <c r="Y714" s="473"/>
      <c r="Z714" s="473"/>
      <c r="AA714" s="1164"/>
      <c r="AB714" s="473"/>
      <c r="AC714" s="1164"/>
      <c r="AD714" s="473"/>
      <c r="AE714" s="1164"/>
      <c r="AF714" s="473"/>
      <c r="AG714" s="1164"/>
      <c r="AH714" s="473"/>
      <c r="AI714" s="473"/>
      <c r="AJ714" s="1164"/>
      <c r="AK714" s="473"/>
      <c r="AL714" s="473"/>
      <c r="AM714" s="1164"/>
      <c r="AN714" s="473"/>
      <c r="AO714" s="473"/>
      <c r="AP714" s="1164"/>
      <c r="AQ714" s="473"/>
      <c r="AR714" s="473"/>
      <c r="AS714" s="1236"/>
      <c r="AT714" s="473"/>
      <c r="AU714" s="473"/>
      <c r="AV714" s="1164"/>
      <c r="AW714" s="1164"/>
      <c r="AX714" s="1236"/>
      <c r="AY714" s="473"/>
      <c r="AZ714" s="1236"/>
      <c r="BA714" s="473"/>
      <c r="BB714" s="473"/>
      <c r="BC714" s="1164"/>
      <c r="BD714" s="20"/>
      <c r="BE714" s="473"/>
      <c r="BF714" s="610"/>
      <c r="BG714" s="610"/>
      <c r="BH714" s="610"/>
      <c r="BI714" s="610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</row>
    <row r="715" spans="1:148" s="22" customFormat="1" x14ac:dyDescent="0.25">
      <c r="A715" s="20"/>
      <c r="B715" s="16"/>
      <c r="C715" s="473"/>
      <c r="D715" s="473"/>
      <c r="E715" s="1164"/>
      <c r="F715" s="473"/>
      <c r="G715" s="473"/>
      <c r="H715" s="1164"/>
      <c r="I715" s="473"/>
      <c r="J715" s="473"/>
      <c r="K715" s="1164"/>
      <c r="L715" s="473"/>
      <c r="M715" s="473"/>
      <c r="N715" s="1164"/>
      <c r="O715" s="473"/>
      <c r="P715" s="473"/>
      <c r="Q715" s="1164"/>
      <c r="R715" s="473"/>
      <c r="S715" s="473"/>
      <c r="T715" s="1164"/>
      <c r="U715" s="1164"/>
      <c r="V715" s="473"/>
      <c r="W715" s="473"/>
      <c r="X715" s="1164"/>
      <c r="Y715" s="473"/>
      <c r="Z715" s="473"/>
      <c r="AA715" s="1164"/>
      <c r="AB715" s="473"/>
      <c r="AC715" s="1164"/>
      <c r="AD715" s="473"/>
      <c r="AE715" s="1164"/>
      <c r="AF715" s="473"/>
      <c r="AG715" s="1164"/>
      <c r="AH715" s="473"/>
      <c r="AI715" s="473"/>
      <c r="AJ715" s="1164"/>
      <c r="AK715" s="473"/>
      <c r="AL715" s="473"/>
      <c r="AM715" s="1164"/>
      <c r="AN715" s="473"/>
      <c r="AO715" s="473"/>
      <c r="AP715" s="1164"/>
      <c r="AQ715" s="473"/>
      <c r="AR715" s="473"/>
      <c r="AS715" s="1236"/>
      <c r="AT715" s="473"/>
      <c r="AU715" s="473"/>
      <c r="AV715" s="1164"/>
      <c r="AW715" s="1164"/>
      <c r="AX715" s="1236"/>
      <c r="AY715" s="473"/>
      <c r="AZ715" s="1236"/>
      <c r="BA715" s="473"/>
      <c r="BB715" s="473"/>
      <c r="BC715" s="1164"/>
      <c r="BD715" s="20"/>
      <c r="BE715" s="473"/>
      <c r="BF715" s="610"/>
      <c r="BG715" s="610"/>
      <c r="BH715" s="610"/>
      <c r="BI715" s="610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</row>
    <row r="716" spans="1:148" s="22" customFormat="1" x14ac:dyDescent="0.25">
      <c r="A716" s="20"/>
      <c r="B716" s="16"/>
      <c r="C716" s="473"/>
      <c r="D716" s="473"/>
      <c r="E716" s="1164"/>
      <c r="F716" s="473"/>
      <c r="G716" s="473"/>
      <c r="H716" s="1164"/>
      <c r="I716" s="473"/>
      <c r="J716" s="473"/>
      <c r="K716" s="1164"/>
      <c r="L716" s="473"/>
      <c r="M716" s="473"/>
      <c r="N716" s="1164"/>
      <c r="O716" s="473"/>
      <c r="P716" s="473"/>
      <c r="Q716" s="1164"/>
      <c r="R716" s="473"/>
      <c r="S716" s="473"/>
      <c r="T716" s="1164"/>
      <c r="U716" s="1164"/>
      <c r="V716" s="473"/>
      <c r="W716" s="473"/>
      <c r="X716" s="1164"/>
      <c r="Y716" s="473"/>
      <c r="Z716" s="473"/>
      <c r="AA716" s="1164"/>
      <c r="AB716" s="473"/>
      <c r="AC716" s="1164"/>
      <c r="AD716" s="473"/>
      <c r="AE716" s="1164"/>
      <c r="AF716" s="473"/>
      <c r="AG716" s="1164"/>
      <c r="AH716" s="473"/>
      <c r="AI716" s="473"/>
      <c r="AJ716" s="1164"/>
      <c r="AK716" s="473"/>
      <c r="AL716" s="473"/>
      <c r="AM716" s="1164"/>
      <c r="AN716" s="473"/>
      <c r="AO716" s="473"/>
      <c r="AP716" s="1164"/>
      <c r="AQ716" s="473"/>
      <c r="AR716" s="473"/>
      <c r="AS716" s="1236"/>
      <c r="AT716" s="473"/>
      <c r="AU716" s="473"/>
      <c r="AV716" s="1164"/>
      <c r="AW716" s="1164"/>
      <c r="AX716" s="1236"/>
      <c r="AY716" s="473"/>
      <c r="AZ716" s="1236"/>
      <c r="BA716" s="473"/>
      <c r="BB716" s="473"/>
      <c r="BC716" s="1164"/>
      <c r="BD716" s="20"/>
      <c r="BE716" s="473"/>
      <c r="BF716" s="610"/>
      <c r="BG716" s="610"/>
      <c r="BH716" s="610"/>
      <c r="BI716" s="610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</row>
    <row r="717" spans="1:148" s="22" customFormat="1" x14ac:dyDescent="0.25">
      <c r="A717" s="20"/>
      <c r="B717" s="16"/>
      <c r="C717" s="473"/>
      <c r="D717" s="473"/>
      <c r="E717" s="1164"/>
      <c r="F717" s="473"/>
      <c r="G717" s="473"/>
      <c r="H717" s="1164"/>
      <c r="I717" s="473"/>
      <c r="J717" s="473"/>
      <c r="K717" s="1164"/>
      <c r="L717" s="473"/>
      <c r="M717" s="473"/>
      <c r="N717" s="1164"/>
      <c r="O717" s="473"/>
      <c r="P717" s="473"/>
      <c r="Q717" s="1164"/>
      <c r="R717" s="473"/>
      <c r="S717" s="473"/>
      <c r="T717" s="1164"/>
      <c r="U717" s="1164"/>
      <c r="V717" s="473"/>
      <c r="W717" s="473"/>
      <c r="X717" s="1164"/>
      <c r="Y717" s="473"/>
      <c r="Z717" s="473"/>
      <c r="AA717" s="1164"/>
      <c r="AB717" s="473"/>
      <c r="AC717" s="1164"/>
      <c r="AD717" s="473"/>
      <c r="AE717" s="1164"/>
      <c r="AF717" s="473"/>
      <c r="AG717" s="1164"/>
      <c r="AH717" s="473"/>
      <c r="AI717" s="473"/>
      <c r="AJ717" s="1164"/>
      <c r="AK717" s="473"/>
      <c r="AL717" s="473"/>
      <c r="AM717" s="1164"/>
      <c r="AN717" s="473"/>
      <c r="AO717" s="473"/>
      <c r="AP717" s="1164"/>
      <c r="AQ717" s="473"/>
      <c r="AR717" s="473"/>
      <c r="AS717" s="1236"/>
      <c r="AT717" s="473"/>
      <c r="AU717" s="473"/>
      <c r="AV717" s="1164"/>
      <c r="AW717" s="1164"/>
      <c r="AX717" s="1236"/>
      <c r="AY717" s="473"/>
      <c r="AZ717" s="1236"/>
      <c r="BA717" s="473"/>
      <c r="BB717" s="473"/>
      <c r="BC717" s="1164"/>
      <c r="BD717" s="20"/>
      <c r="BE717" s="473"/>
      <c r="BF717" s="610"/>
      <c r="BG717" s="610"/>
      <c r="BH717" s="610"/>
      <c r="BI717" s="610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</row>
    <row r="718" spans="1:148" s="22" customFormat="1" x14ac:dyDescent="0.25">
      <c r="A718" s="20"/>
      <c r="B718" s="16"/>
      <c r="C718" s="473"/>
      <c r="D718" s="473"/>
      <c r="E718" s="1164"/>
      <c r="F718" s="473"/>
      <c r="G718" s="473"/>
      <c r="H718" s="1164"/>
      <c r="I718" s="473"/>
      <c r="J718" s="473"/>
      <c r="K718" s="1164"/>
      <c r="L718" s="473"/>
      <c r="M718" s="473"/>
      <c r="N718" s="1164"/>
      <c r="O718" s="473"/>
      <c r="P718" s="473"/>
      <c r="Q718" s="1164"/>
      <c r="R718" s="473"/>
      <c r="S718" s="473"/>
      <c r="T718" s="1164"/>
      <c r="U718" s="1164"/>
      <c r="V718" s="473"/>
      <c r="W718" s="473"/>
      <c r="X718" s="1164"/>
      <c r="Y718" s="473"/>
      <c r="Z718" s="473"/>
      <c r="AA718" s="1164"/>
      <c r="AB718" s="473"/>
      <c r="AC718" s="1164"/>
      <c r="AD718" s="473"/>
      <c r="AE718" s="1164"/>
      <c r="AF718" s="473"/>
      <c r="AG718" s="1164"/>
      <c r="AH718" s="473"/>
      <c r="AI718" s="473"/>
      <c r="AJ718" s="1164"/>
      <c r="AK718" s="473"/>
      <c r="AL718" s="473"/>
      <c r="AM718" s="1164"/>
      <c r="AN718" s="473"/>
      <c r="AO718" s="473"/>
      <c r="AP718" s="1164"/>
      <c r="AQ718" s="473"/>
      <c r="AR718" s="473"/>
      <c r="AS718" s="1236"/>
      <c r="AT718" s="473"/>
      <c r="AU718" s="473"/>
      <c r="AV718" s="1164"/>
      <c r="AW718" s="1164"/>
      <c r="AX718" s="1236"/>
      <c r="AY718" s="473"/>
      <c r="AZ718" s="1236"/>
      <c r="BA718" s="473"/>
      <c r="BB718" s="473"/>
      <c r="BC718" s="1164"/>
      <c r="BD718" s="20"/>
      <c r="BE718" s="473"/>
      <c r="BF718" s="610"/>
      <c r="BG718" s="610"/>
      <c r="BH718" s="610"/>
      <c r="BI718" s="610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</row>
    <row r="719" spans="1:148" s="22" customFormat="1" x14ac:dyDescent="0.25">
      <c r="A719" s="20"/>
      <c r="B719" s="16"/>
      <c r="C719" s="473"/>
      <c r="D719" s="473"/>
      <c r="E719" s="1164"/>
      <c r="F719" s="473"/>
      <c r="G719" s="473"/>
      <c r="H719" s="1164"/>
      <c r="I719" s="473"/>
      <c r="J719" s="473"/>
      <c r="K719" s="1164"/>
      <c r="L719" s="473"/>
      <c r="M719" s="473"/>
      <c r="N719" s="1164"/>
      <c r="O719" s="473"/>
      <c r="P719" s="473"/>
      <c r="Q719" s="1164"/>
      <c r="R719" s="473"/>
      <c r="S719" s="473"/>
      <c r="T719" s="1164"/>
      <c r="U719" s="1164"/>
      <c r="V719" s="473"/>
      <c r="W719" s="473"/>
      <c r="X719" s="1164"/>
      <c r="Y719" s="473"/>
      <c r="Z719" s="473"/>
      <c r="AA719" s="1164"/>
      <c r="AB719" s="473"/>
      <c r="AC719" s="1164"/>
      <c r="AD719" s="473"/>
      <c r="AE719" s="1164"/>
      <c r="AF719" s="473"/>
      <c r="AG719" s="1164"/>
      <c r="AH719" s="473"/>
      <c r="AI719" s="473"/>
      <c r="AJ719" s="1164"/>
      <c r="AK719" s="473"/>
      <c r="AL719" s="473"/>
      <c r="AM719" s="1164"/>
      <c r="AN719" s="473"/>
      <c r="AO719" s="473"/>
      <c r="AP719" s="1164"/>
      <c r="AQ719" s="473"/>
      <c r="AR719" s="473"/>
      <c r="AS719" s="1236"/>
      <c r="AT719" s="473"/>
      <c r="AU719" s="473"/>
      <c r="AV719" s="1164"/>
      <c r="AW719" s="1164"/>
      <c r="AX719" s="1236"/>
      <c r="AY719" s="473"/>
      <c r="AZ719" s="1236"/>
      <c r="BA719" s="473"/>
      <c r="BB719" s="473"/>
      <c r="BC719" s="1164"/>
      <c r="BD719" s="20"/>
      <c r="BE719" s="473"/>
      <c r="BF719" s="610"/>
      <c r="BG719" s="610"/>
      <c r="BH719" s="610"/>
      <c r="BI719" s="610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</row>
    <row r="720" spans="1:148" s="22" customFormat="1" x14ac:dyDescent="0.25">
      <c r="A720" s="20"/>
      <c r="B720" s="16"/>
      <c r="C720" s="473"/>
      <c r="D720" s="473"/>
      <c r="E720" s="1164"/>
      <c r="F720" s="473"/>
      <c r="G720" s="473"/>
      <c r="H720" s="1164"/>
      <c r="I720" s="473"/>
      <c r="J720" s="473"/>
      <c r="K720" s="1164"/>
      <c r="L720" s="473"/>
      <c r="M720" s="473"/>
      <c r="N720" s="1164"/>
      <c r="O720" s="473"/>
      <c r="P720" s="473"/>
      <c r="Q720" s="1164"/>
      <c r="R720" s="473"/>
      <c r="S720" s="473"/>
      <c r="T720" s="1164"/>
      <c r="U720" s="1164"/>
      <c r="V720" s="473"/>
      <c r="W720" s="473"/>
      <c r="X720" s="1164"/>
      <c r="Y720" s="473"/>
      <c r="Z720" s="473"/>
      <c r="AA720" s="1164"/>
      <c r="AB720" s="473"/>
      <c r="AC720" s="1164"/>
      <c r="AD720" s="473"/>
      <c r="AE720" s="1164"/>
      <c r="AF720" s="473"/>
      <c r="AG720" s="1164"/>
      <c r="AH720" s="473"/>
      <c r="AI720" s="473"/>
      <c r="AJ720" s="1164"/>
      <c r="AK720" s="473"/>
      <c r="AL720" s="473"/>
      <c r="AM720" s="1164"/>
      <c r="AN720" s="473"/>
      <c r="AO720" s="473"/>
      <c r="AP720" s="1164"/>
      <c r="AQ720" s="473"/>
      <c r="AR720" s="473"/>
      <c r="AS720" s="1236"/>
      <c r="AT720" s="473"/>
      <c r="AU720" s="473"/>
      <c r="AV720" s="1164"/>
      <c r="AW720" s="1164"/>
      <c r="AX720" s="1236"/>
      <c r="AY720" s="473"/>
      <c r="AZ720" s="1236"/>
      <c r="BA720" s="473"/>
      <c r="BB720" s="473"/>
      <c r="BC720" s="1164"/>
      <c r="BD720" s="20"/>
      <c r="BE720" s="473"/>
      <c r="BF720" s="610"/>
      <c r="BG720" s="610"/>
      <c r="BH720" s="610"/>
      <c r="BI720" s="610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</row>
    <row r="721" spans="1:148" s="22" customFormat="1" x14ac:dyDescent="0.25">
      <c r="A721" s="20"/>
      <c r="B721" s="16"/>
      <c r="C721" s="473"/>
      <c r="D721" s="473"/>
      <c r="E721" s="1164"/>
      <c r="F721" s="473"/>
      <c r="G721" s="473"/>
      <c r="H721" s="1164"/>
      <c r="I721" s="473"/>
      <c r="J721" s="473"/>
      <c r="K721" s="1164"/>
      <c r="L721" s="473"/>
      <c r="M721" s="473"/>
      <c r="N721" s="1164"/>
      <c r="O721" s="473"/>
      <c r="P721" s="473"/>
      <c r="Q721" s="1164"/>
      <c r="R721" s="473"/>
      <c r="S721" s="473"/>
      <c r="T721" s="1164"/>
      <c r="U721" s="1164"/>
      <c r="V721" s="473"/>
      <c r="W721" s="473"/>
      <c r="X721" s="1164"/>
      <c r="Y721" s="473"/>
      <c r="Z721" s="473"/>
      <c r="AA721" s="1164"/>
      <c r="AB721" s="473"/>
      <c r="AC721" s="1164"/>
      <c r="AD721" s="473"/>
      <c r="AE721" s="1164"/>
      <c r="AF721" s="473"/>
      <c r="AG721" s="1164"/>
      <c r="AH721" s="473"/>
      <c r="AI721" s="473"/>
      <c r="AJ721" s="1164"/>
      <c r="AK721" s="473"/>
      <c r="AL721" s="473"/>
      <c r="AM721" s="1164"/>
      <c r="AN721" s="473"/>
      <c r="AO721" s="473"/>
      <c r="AP721" s="1164"/>
      <c r="AQ721" s="473"/>
      <c r="AR721" s="473"/>
      <c r="AS721" s="1236"/>
      <c r="AT721" s="473"/>
      <c r="AU721" s="473"/>
      <c r="AV721" s="1164"/>
      <c r="AW721" s="1164"/>
      <c r="AX721" s="1236"/>
      <c r="AY721" s="473"/>
      <c r="AZ721" s="1236"/>
      <c r="BA721" s="473"/>
      <c r="BB721" s="473"/>
      <c r="BC721" s="1164"/>
      <c r="BD721" s="20"/>
      <c r="BE721" s="473"/>
      <c r="BF721" s="610"/>
      <c r="BG721" s="610"/>
      <c r="BH721" s="610"/>
      <c r="BI721" s="610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</row>
    <row r="722" spans="1:148" s="22" customFormat="1" x14ac:dyDescent="0.25">
      <c r="A722" s="20"/>
      <c r="B722" s="16"/>
      <c r="C722" s="473"/>
      <c r="D722" s="473"/>
      <c r="E722" s="1164"/>
      <c r="F722" s="473"/>
      <c r="G722" s="473"/>
      <c r="H722" s="1164"/>
      <c r="I722" s="473"/>
      <c r="J722" s="473"/>
      <c r="K722" s="1164"/>
      <c r="L722" s="473"/>
      <c r="M722" s="473"/>
      <c r="N722" s="1164"/>
      <c r="O722" s="473"/>
      <c r="P722" s="473"/>
      <c r="Q722" s="1164"/>
      <c r="R722" s="473"/>
      <c r="S722" s="473"/>
      <c r="T722" s="1164"/>
      <c r="U722" s="1164"/>
      <c r="V722" s="473"/>
      <c r="W722" s="473"/>
      <c r="X722" s="1164"/>
      <c r="Y722" s="473"/>
      <c r="Z722" s="473"/>
      <c r="AA722" s="1164"/>
      <c r="AB722" s="473"/>
      <c r="AC722" s="1164"/>
      <c r="AD722" s="473"/>
      <c r="AE722" s="1164"/>
      <c r="AF722" s="473"/>
      <c r="AG722" s="1164"/>
      <c r="AH722" s="473"/>
      <c r="AI722" s="473"/>
      <c r="AJ722" s="1164"/>
      <c r="AK722" s="473"/>
      <c r="AL722" s="473"/>
      <c r="AM722" s="1164"/>
      <c r="AN722" s="473"/>
      <c r="AO722" s="473"/>
      <c r="AP722" s="1164"/>
      <c r="AQ722" s="473"/>
      <c r="AR722" s="473"/>
      <c r="AS722" s="1236"/>
      <c r="AT722" s="473"/>
      <c r="AU722" s="473"/>
      <c r="AV722" s="1164"/>
      <c r="AW722" s="1164"/>
      <c r="AX722" s="1236"/>
      <c r="AY722" s="473"/>
      <c r="AZ722" s="1236"/>
      <c r="BA722" s="473"/>
      <c r="BB722" s="473"/>
      <c r="BC722" s="1164"/>
      <c r="BD722" s="20"/>
      <c r="BE722" s="473"/>
      <c r="BF722" s="610"/>
      <c r="BG722" s="610"/>
      <c r="BH722" s="610"/>
      <c r="BI722" s="610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</row>
    <row r="723" spans="1:148" s="22" customFormat="1" x14ac:dyDescent="0.25">
      <c r="A723" s="20"/>
      <c r="B723" s="16"/>
      <c r="C723" s="473"/>
      <c r="D723" s="473"/>
      <c r="E723" s="1164"/>
      <c r="F723" s="473"/>
      <c r="G723" s="473"/>
      <c r="H723" s="1164"/>
      <c r="I723" s="473"/>
      <c r="J723" s="473"/>
      <c r="K723" s="1164"/>
      <c r="L723" s="473"/>
      <c r="M723" s="473"/>
      <c r="N723" s="1164"/>
      <c r="O723" s="473"/>
      <c r="P723" s="473"/>
      <c r="Q723" s="1164"/>
      <c r="R723" s="473"/>
      <c r="S723" s="473"/>
      <c r="T723" s="1164"/>
      <c r="U723" s="1164"/>
      <c r="V723" s="473"/>
      <c r="W723" s="473"/>
      <c r="X723" s="1164"/>
      <c r="Y723" s="473"/>
      <c r="Z723" s="473"/>
      <c r="AA723" s="1164"/>
      <c r="AB723" s="473"/>
      <c r="AC723" s="1164"/>
      <c r="AD723" s="473"/>
      <c r="AE723" s="1164"/>
      <c r="AF723" s="473"/>
      <c r="AG723" s="1164"/>
      <c r="AH723" s="473"/>
      <c r="AI723" s="473"/>
      <c r="AJ723" s="1164"/>
      <c r="AK723" s="473"/>
      <c r="AL723" s="473"/>
      <c r="AM723" s="1164"/>
      <c r="AN723" s="473"/>
      <c r="AO723" s="473"/>
      <c r="AP723" s="1164"/>
      <c r="AQ723" s="473"/>
      <c r="AR723" s="473"/>
      <c r="AS723" s="1236"/>
      <c r="AT723" s="473"/>
      <c r="AU723" s="473"/>
      <c r="AV723" s="1164"/>
      <c r="AW723" s="1164"/>
      <c r="AX723" s="1236"/>
      <c r="AY723" s="473"/>
      <c r="AZ723" s="1236"/>
      <c r="BA723" s="473"/>
      <c r="BB723" s="473"/>
      <c r="BC723" s="1164"/>
      <c r="BD723" s="20"/>
      <c r="BE723" s="473"/>
      <c r="BF723" s="610"/>
      <c r="BG723" s="610"/>
      <c r="BH723" s="610"/>
      <c r="BI723" s="610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</row>
    <row r="724" spans="1:148" s="22" customFormat="1" x14ac:dyDescent="0.25">
      <c r="A724" s="20"/>
      <c r="B724" s="16"/>
      <c r="C724" s="473"/>
      <c r="D724" s="473"/>
      <c r="E724" s="1164"/>
      <c r="F724" s="473"/>
      <c r="G724" s="473"/>
      <c r="H724" s="1164"/>
      <c r="I724" s="473"/>
      <c r="J724" s="473"/>
      <c r="K724" s="1164"/>
      <c r="L724" s="473"/>
      <c r="M724" s="473"/>
      <c r="N724" s="1164"/>
      <c r="O724" s="473"/>
      <c r="P724" s="473"/>
      <c r="Q724" s="1164"/>
      <c r="R724" s="473"/>
      <c r="S724" s="473"/>
      <c r="T724" s="1164"/>
      <c r="U724" s="1164"/>
      <c r="V724" s="473"/>
      <c r="W724" s="473"/>
      <c r="X724" s="1164"/>
      <c r="Y724" s="473"/>
      <c r="Z724" s="473"/>
      <c r="AA724" s="1164"/>
      <c r="AB724" s="473"/>
      <c r="AC724" s="1164"/>
      <c r="AD724" s="473"/>
      <c r="AE724" s="1164"/>
      <c r="AF724" s="473"/>
      <c r="AG724" s="1164"/>
      <c r="AH724" s="473"/>
      <c r="AI724" s="473"/>
      <c r="AJ724" s="1164"/>
      <c r="AK724" s="473"/>
      <c r="AL724" s="473"/>
      <c r="AM724" s="1164"/>
      <c r="AN724" s="473"/>
      <c r="AO724" s="473"/>
      <c r="AP724" s="1164"/>
      <c r="AQ724" s="473"/>
      <c r="AR724" s="473"/>
      <c r="AS724" s="1236"/>
      <c r="AT724" s="473"/>
      <c r="AU724" s="473"/>
      <c r="AV724" s="1164"/>
      <c r="AW724" s="1164"/>
      <c r="AX724" s="1236"/>
      <c r="AY724" s="473"/>
      <c r="AZ724" s="1236"/>
      <c r="BA724" s="473"/>
      <c r="BB724" s="473"/>
      <c r="BC724" s="1164"/>
      <c r="BD724" s="20"/>
      <c r="BE724" s="473"/>
      <c r="BF724" s="610"/>
      <c r="BG724" s="610"/>
      <c r="BH724" s="610"/>
      <c r="BI724" s="610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</row>
    <row r="725" spans="1:148" s="22" customFormat="1" x14ac:dyDescent="0.25">
      <c r="A725" s="20"/>
      <c r="B725" s="16"/>
      <c r="C725" s="473"/>
      <c r="D725" s="473"/>
      <c r="E725" s="1164"/>
      <c r="F725" s="473"/>
      <c r="G725" s="473"/>
      <c r="H725" s="1164"/>
      <c r="I725" s="473"/>
      <c r="J725" s="473"/>
      <c r="K725" s="1164"/>
      <c r="L725" s="473"/>
      <c r="M725" s="473"/>
      <c r="N725" s="1164"/>
      <c r="O725" s="473"/>
      <c r="P725" s="473"/>
      <c r="Q725" s="1164"/>
      <c r="R725" s="473"/>
      <c r="S725" s="473"/>
      <c r="T725" s="1164"/>
      <c r="U725" s="1164"/>
      <c r="V725" s="473"/>
      <c r="W725" s="473"/>
      <c r="X725" s="1164"/>
      <c r="Y725" s="473"/>
      <c r="Z725" s="473"/>
      <c r="AA725" s="1164"/>
      <c r="AB725" s="473"/>
      <c r="AC725" s="1164"/>
      <c r="AD725" s="473"/>
      <c r="AE725" s="1164"/>
      <c r="AF725" s="473"/>
      <c r="AG725" s="1164"/>
      <c r="AH725" s="473"/>
      <c r="AI725" s="473"/>
      <c r="AJ725" s="1164"/>
      <c r="AK725" s="473"/>
      <c r="AL725" s="473"/>
      <c r="AM725" s="1164"/>
      <c r="AN725" s="473"/>
      <c r="AO725" s="473"/>
      <c r="AP725" s="1164"/>
      <c r="AQ725" s="473"/>
      <c r="AR725" s="473"/>
      <c r="AS725" s="1236"/>
      <c r="AT725" s="473"/>
      <c r="AU725" s="473"/>
      <c r="AV725" s="1164"/>
      <c r="AW725" s="1164"/>
      <c r="AX725" s="1236"/>
      <c r="AY725" s="473"/>
      <c r="AZ725" s="1236"/>
      <c r="BA725" s="473"/>
      <c r="BB725" s="473"/>
      <c r="BC725" s="1164"/>
      <c r="BD725" s="20"/>
      <c r="BE725" s="473"/>
      <c r="BF725" s="610"/>
      <c r="BG725" s="610"/>
      <c r="BH725" s="610"/>
      <c r="BI725" s="610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</row>
    <row r="726" spans="1:148" s="22" customFormat="1" x14ac:dyDescent="0.25">
      <c r="A726" s="20"/>
      <c r="B726" s="16"/>
      <c r="C726" s="473"/>
      <c r="D726" s="473"/>
      <c r="E726" s="1164"/>
      <c r="F726" s="473"/>
      <c r="G726" s="473"/>
      <c r="H726" s="1164"/>
      <c r="I726" s="473"/>
      <c r="J726" s="473"/>
      <c r="K726" s="1164"/>
      <c r="L726" s="473"/>
      <c r="M726" s="473"/>
      <c r="N726" s="1164"/>
      <c r="O726" s="473"/>
      <c r="P726" s="473"/>
      <c r="Q726" s="1164"/>
      <c r="R726" s="473"/>
      <c r="S726" s="473"/>
      <c r="T726" s="1164"/>
      <c r="U726" s="1164"/>
      <c r="V726" s="473"/>
      <c r="W726" s="473"/>
      <c r="X726" s="1164"/>
      <c r="Y726" s="473"/>
      <c r="Z726" s="473"/>
      <c r="AA726" s="1164"/>
      <c r="AB726" s="473"/>
      <c r="AC726" s="1164"/>
      <c r="AD726" s="473"/>
      <c r="AE726" s="1164"/>
      <c r="AF726" s="473"/>
      <c r="AG726" s="1164"/>
      <c r="AH726" s="473"/>
      <c r="AI726" s="473"/>
      <c r="AJ726" s="1164"/>
      <c r="AK726" s="473"/>
      <c r="AL726" s="473"/>
      <c r="AM726" s="1164"/>
      <c r="AN726" s="473"/>
      <c r="AO726" s="473"/>
      <c r="AP726" s="1164"/>
      <c r="AQ726" s="473"/>
      <c r="AR726" s="473"/>
      <c r="AS726" s="1236"/>
      <c r="AT726" s="473"/>
      <c r="AU726" s="473"/>
      <c r="AV726" s="1164"/>
      <c r="AW726" s="1164"/>
      <c r="AX726" s="1236"/>
      <c r="AY726" s="473"/>
      <c r="AZ726" s="1236"/>
      <c r="BA726" s="473"/>
      <c r="BB726" s="473"/>
      <c r="BC726" s="1164"/>
      <c r="BD726" s="20"/>
      <c r="BE726" s="473"/>
      <c r="BF726" s="610"/>
      <c r="BG726" s="610"/>
      <c r="BH726" s="610"/>
      <c r="BI726" s="610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</row>
    <row r="727" spans="1:148" s="22" customFormat="1" x14ac:dyDescent="0.25">
      <c r="A727" s="20"/>
      <c r="B727" s="16"/>
      <c r="C727" s="473"/>
      <c r="D727" s="473"/>
      <c r="E727" s="1164"/>
      <c r="F727" s="473"/>
      <c r="G727" s="473"/>
      <c r="H727" s="1164"/>
      <c r="I727" s="473"/>
      <c r="J727" s="473"/>
      <c r="K727" s="1164"/>
      <c r="L727" s="473"/>
      <c r="M727" s="473"/>
      <c r="N727" s="1164"/>
      <c r="O727" s="473"/>
      <c r="P727" s="473"/>
      <c r="Q727" s="1164"/>
      <c r="R727" s="473"/>
      <c r="S727" s="473"/>
      <c r="T727" s="1164"/>
      <c r="U727" s="1164"/>
      <c r="V727" s="473"/>
      <c r="W727" s="473"/>
      <c r="X727" s="1164"/>
      <c r="Y727" s="473"/>
      <c r="Z727" s="473"/>
      <c r="AA727" s="1164"/>
      <c r="AB727" s="473"/>
      <c r="AC727" s="1164"/>
      <c r="AD727" s="473"/>
      <c r="AE727" s="1164"/>
      <c r="AF727" s="473"/>
      <c r="AG727" s="1164"/>
      <c r="AH727" s="473"/>
      <c r="AI727" s="473"/>
      <c r="AJ727" s="1164"/>
      <c r="AK727" s="473"/>
      <c r="AL727" s="473"/>
      <c r="AM727" s="1164"/>
      <c r="AN727" s="473"/>
      <c r="AO727" s="473"/>
      <c r="AP727" s="1164"/>
      <c r="AQ727" s="473"/>
      <c r="AR727" s="473"/>
      <c r="AS727" s="1236"/>
      <c r="AT727" s="473"/>
      <c r="AU727" s="473"/>
      <c r="AV727" s="1164"/>
      <c r="AW727" s="1164"/>
      <c r="AX727" s="1236"/>
      <c r="AY727" s="473"/>
      <c r="AZ727" s="1236"/>
      <c r="BA727" s="473"/>
      <c r="BB727" s="473"/>
      <c r="BC727" s="1164"/>
      <c r="BD727" s="20"/>
      <c r="BE727" s="473"/>
      <c r="BF727" s="610"/>
      <c r="BG727" s="610"/>
      <c r="BH727" s="610"/>
      <c r="BI727" s="610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</row>
    <row r="728" spans="1:148" s="22" customFormat="1" x14ac:dyDescent="0.25">
      <c r="A728" s="20"/>
      <c r="B728" s="16"/>
      <c r="C728" s="473"/>
      <c r="D728" s="473"/>
      <c r="E728" s="1164"/>
      <c r="F728" s="473"/>
      <c r="G728" s="473"/>
      <c r="H728" s="1164"/>
      <c r="I728" s="473"/>
      <c r="J728" s="473"/>
      <c r="K728" s="1164"/>
      <c r="L728" s="473"/>
      <c r="M728" s="473"/>
      <c r="N728" s="1164"/>
      <c r="O728" s="473"/>
      <c r="P728" s="473"/>
      <c r="Q728" s="1164"/>
      <c r="R728" s="473"/>
      <c r="S728" s="473"/>
      <c r="T728" s="1164"/>
      <c r="U728" s="1164"/>
      <c r="V728" s="473"/>
      <c r="W728" s="473"/>
      <c r="X728" s="1164"/>
      <c r="Y728" s="473"/>
      <c r="Z728" s="473"/>
      <c r="AA728" s="1164"/>
      <c r="AB728" s="473"/>
      <c r="AC728" s="1164"/>
      <c r="AD728" s="473"/>
      <c r="AE728" s="1164"/>
      <c r="AF728" s="473"/>
      <c r="AG728" s="1164"/>
      <c r="AH728" s="473"/>
      <c r="AI728" s="473"/>
      <c r="AJ728" s="1164"/>
      <c r="AK728" s="473"/>
      <c r="AL728" s="473"/>
      <c r="AM728" s="1164"/>
      <c r="AN728" s="473"/>
      <c r="AO728" s="473"/>
      <c r="AP728" s="1164"/>
      <c r="AQ728" s="473"/>
      <c r="AR728" s="473"/>
      <c r="AS728" s="1236"/>
      <c r="AT728" s="473"/>
      <c r="AU728" s="473"/>
      <c r="AV728" s="1164"/>
      <c r="AW728" s="1164"/>
      <c r="AX728" s="1236"/>
      <c r="AY728" s="473"/>
      <c r="AZ728" s="1236"/>
      <c r="BA728" s="473"/>
      <c r="BB728" s="473"/>
      <c r="BC728" s="1164"/>
      <c r="BD728" s="20"/>
      <c r="BE728" s="473"/>
      <c r="BF728" s="610"/>
      <c r="BG728" s="610"/>
      <c r="BH728" s="610"/>
      <c r="BI728" s="610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</row>
    <row r="729" spans="1:148" s="22" customFormat="1" x14ac:dyDescent="0.25">
      <c r="A729" s="20"/>
      <c r="B729" s="16"/>
      <c r="C729" s="473"/>
      <c r="D729" s="473"/>
      <c r="E729" s="1164"/>
      <c r="F729" s="473"/>
      <c r="G729" s="473"/>
      <c r="H729" s="1164"/>
      <c r="I729" s="473"/>
      <c r="J729" s="473"/>
      <c r="K729" s="1164"/>
      <c r="L729" s="473"/>
      <c r="M729" s="473"/>
      <c r="N729" s="1164"/>
      <c r="O729" s="473"/>
      <c r="P729" s="473"/>
      <c r="Q729" s="1164"/>
      <c r="R729" s="473"/>
      <c r="S729" s="473"/>
      <c r="T729" s="1164"/>
      <c r="U729" s="1164"/>
      <c r="V729" s="473"/>
      <c r="W729" s="473"/>
      <c r="X729" s="1164"/>
      <c r="Y729" s="473"/>
      <c r="Z729" s="473"/>
      <c r="AA729" s="1164"/>
      <c r="AB729" s="473"/>
      <c r="AC729" s="1164"/>
      <c r="AD729" s="473"/>
      <c r="AE729" s="1164"/>
      <c r="AF729" s="473"/>
      <c r="AG729" s="1164"/>
      <c r="AH729" s="473"/>
      <c r="AI729" s="473"/>
      <c r="AJ729" s="1164"/>
      <c r="AK729" s="473"/>
      <c r="AL729" s="473"/>
      <c r="AM729" s="1164"/>
      <c r="AN729" s="473"/>
      <c r="AO729" s="473"/>
      <c r="AP729" s="1164"/>
      <c r="AQ729" s="473"/>
      <c r="AR729" s="473"/>
      <c r="AS729" s="1236"/>
      <c r="AT729" s="473"/>
      <c r="AU729" s="473"/>
      <c r="AV729" s="1164"/>
      <c r="AW729" s="1164"/>
      <c r="AX729" s="1236"/>
      <c r="AY729" s="473"/>
      <c r="AZ729" s="1236"/>
      <c r="BA729" s="473"/>
      <c r="BB729" s="473"/>
      <c r="BC729" s="1164"/>
      <c r="BD729" s="20"/>
      <c r="BE729" s="473"/>
      <c r="BF729" s="610"/>
      <c r="BG729" s="610"/>
      <c r="BH729" s="610"/>
      <c r="BI729" s="610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</row>
    <row r="730" spans="1:148" s="22" customFormat="1" x14ac:dyDescent="0.25">
      <c r="A730" s="20"/>
      <c r="B730" s="16"/>
      <c r="C730" s="473"/>
      <c r="D730" s="473"/>
      <c r="E730" s="1164"/>
      <c r="F730" s="473"/>
      <c r="G730" s="473"/>
      <c r="H730" s="1164"/>
      <c r="I730" s="473"/>
      <c r="J730" s="473"/>
      <c r="K730" s="1164"/>
      <c r="L730" s="473"/>
      <c r="M730" s="473"/>
      <c r="N730" s="1164"/>
      <c r="O730" s="473"/>
      <c r="P730" s="473"/>
      <c r="Q730" s="1164"/>
      <c r="R730" s="473"/>
      <c r="S730" s="473"/>
      <c r="T730" s="1164"/>
      <c r="U730" s="1164"/>
      <c r="V730" s="473"/>
      <c r="W730" s="473"/>
      <c r="X730" s="1164"/>
      <c r="Y730" s="473"/>
      <c r="Z730" s="473"/>
      <c r="AA730" s="1164"/>
      <c r="AB730" s="473"/>
      <c r="AC730" s="1164"/>
      <c r="AD730" s="473"/>
      <c r="AE730" s="1164"/>
      <c r="AF730" s="473"/>
      <c r="AG730" s="1164"/>
      <c r="AH730" s="473"/>
      <c r="AI730" s="473"/>
      <c r="AJ730" s="1164"/>
      <c r="AK730" s="473"/>
      <c r="AL730" s="473"/>
      <c r="AM730" s="1164"/>
      <c r="AN730" s="473"/>
      <c r="AO730" s="473"/>
      <c r="AP730" s="1164"/>
      <c r="AQ730" s="473"/>
      <c r="AR730" s="473"/>
      <c r="AS730" s="1236"/>
      <c r="AT730" s="473"/>
      <c r="AU730" s="473"/>
      <c r="AV730" s="1164"/>
      <c r="AW730" s="1164"/>
      <c r="AX730" s="1236"/>
      <c r="AY730" s="473"/>
      <c r="AZ730" s="1236"/>
      <c r="BA730" s="473"/>
      <c r="BB730" s="473"/>
      <c r="BC730" s="1164"/>
      <c r="BD730" s="20"/>
      <c r="BE730" s="473"/>
      <c r="BF730" s="610"/>
      <c r="BG730" s="610"/>
      <c r="BH730" s="610"/>
      <c r="BI730" s="610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</row>
    <row r="731" spans="1:148" s="22" customFormat="1" x14ac:dyDescent="0.25">
      <c r="A731" s="20"/>
      <c r="B731" s="16"/>
      <c r="C731" s="473"/>
      <c r="D731" s="473"/>
      <c r="E731" s="1164"/>
      <c r="F731" s="473"/>
      <c r="G731" s="473"/>
      <c r="H731" s="1164"/>
      <c r="I731" s="473"/>
      <c r="J731" s="473"/>
      <c r="K731" s="1164"/>
      <c r="L731" s="473"/>
      <c r="M731" s="473"/>
      <c r="N731" s="1164"/>
      <c r="O731" s="473"/>
      <c r="P731" s="473"/>
      <c r="Q731" s="1164"/>
      <c r="R731" s="473"/>
      <c r="S731" s="473"/>
      <c r="T731" s="1164"/>
      <c r="U731" s="1164"/>
      <c r="V731" s="473"/>
      <c r="W731" s="473"/>
      <c r="X731" s="1164"/>
      <c r="Y731" s="473"/>
      <c r="Z731" s="473"/>
      <c r="AA731" s="1164"/>
      <c r="AB731" s="473"/>
      <c r="AC731" s="1164"/>
      <c r="AD731" s="473"/>
      <c r="AE731" s="1164"/>
      <c r="AF731" s="473"/>
      <c r="AG731" s="1164"/>
      <c r="AH731" s="473"/>
      <c r="AI731" s="473"/>
      <c r="AJ731" s="1164"/>
      <c r="AK731" s="473"/>
      <c r="AL731" s="473"/>
      <c r="AM731" s="1164"/>
      <c r="AN731" s="473"/>
      <c r="AO731" s="473"/>
      <c r="AP731" s="1164"/>
      <c r="AQ731" s="473"/>
      <c r="AR731" s="473"/>
      <c r="AS731" s="1236"/>
      <c r="AT731" s="473"/>
      <c r="AU731" s="473"/>
      <c r="AV731" s="1164"/>
      <c r="AW731" s="1164"/>
      <c r="AX731" s="1236"/>
      <c r="AY731" s="473"/>
      <c r="AZ731" s="1236"/>
      <c r="BA731" s="473"/>
      <c r="BB731" s="473"/>
      <c r="BC731" s="1164"/>
      <c r="BD731" s="20"/>
      <c r="BE731" s="473"/>
      <c r="BF731" s="610"/>
      <c r="BG731" s="610"/>
      <c r="BH731" s="610"/>
      <c r="BI731" s="610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</row>
    <row r="732" spans="1:148" s="22" customFormat="1" x14ac:dyDescent="0.25">
      <c r="A732" s="20"/>
      <c r="B732" s="16"/>
      <c r="C732" s="473"/>
      <c r="D732" s="473"/>
      <c r="E732" s="1164"/>
      <c r="F732" s="473"/>
      <c r="G732" s="473"/>
      <c r="H732" s="1164"/>
      <c r="I732" s="473"/>
      <c r="J732" s="473"/>
      <c r="K732" s="1164"/>
      <c r="L732" s="473"/>
      <c r="M732" s="473"/>
      <c r="N732" s="1164"/>
      <c r="O732" s="473"/>
      <c r="P732" s="473"/>
      <c r="Q732" s="1164"/>
      <c r="R732" s="473"/>
      <c r="S732" s="473"/>
      <c r="T732" s="1164"/>
      <c r="U732" s="1164"/>
      <c r="V732" s="473"/>
      <c r="W732" s="473"/>
      <c r="X732" s="1164"/>
      <c r="Y732" s="473"/>
      <c r="Z732" s="473"/>
      <c r="AA732" s="1164"/>
      <c r="AB732" s="473"/>
      <c r="AC732" s="1164"/>
      <c r="AD732" s="473"/>
      <c r="AE732" s="1164"/>
      <c r="AF732" s="473"/>
      <c r="AG732" s="1164"/>
      <c r="AH732" s="473"/>
      <c r="AI732" s="473"/>
      <c r="AJ732" s="1164"/>
      <c r="AK732" s="473"/>
      <c r="AL732" s="473"/>
      <c r="AM732" s="1164"/>
      <c r="AN732" s="473"/>
      <c r="AO732" s="473"/>
      <c r="AP732" s="1164"/>
      <c r="AQ732" s="473"/>
      <c r="AR732" s="473"/>
      <c r="AS732" s="1236"/>
      <c r="AT732" s="473"/>
      <c r="AU732" s="473"/>
      <c r="AV732" s="1164"/>
      <c r="AW732" s="1164"/>
      <c r="AX732" s="1236"/>
      <c r="AY732" s="473"/>
      <c r="AZ732" s="1236"/>
      <c r="BA732" s="473"/>
      <c r="BB732" s="473"/>
      <c r="BC732" s="1164"/>
      <c r="BD732" s="20"/>
      <c r="BE732" s="473"/>
      <c r="BF732" s="610"/>
      <c r="BG732" s="610"/>
      <c r="BH732" s="610"/>
      <c r="BI732" s="610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</row>
    <row r="733" spans="1:148" s="22" customFormat="1" x14ac:dyDescent="0.25">
      <c r="A733" s="20"/>
      <c r="B733" s="16"/>
      <c r="C733" s="473"/>
      <c r="D733" s="473"/>
      <c r="E733" s="1164"/>
      <c r="F733" s="473"/>
      <c r="G733" s="473"/>
      <c r="H733" s="1164"/>
      <c r="I733" s="473"/>
      <c r="J733" s="473"/>
      <c r="K733" s="1164"/>
      <c r="L733" s="473"/>
      <c r="M733" s="473"/>
      <c r="N733" s="1164"/>
      <c r="O733" s="473"/>
      <c r="P733" s="473"/>
      <c r="Q733" s="1164"/>
      <c r="R733" s="473"/>
      <c r="S733" s="473"/>
      <c r="T733" s="1164"/>
      <c r="U733" s="1164"/>
      <c r="V733" s="473"/>
      <c r="W733" s="473"/>
      <c r="X733" s="1164"/>
      <c r="Y733" s="473"/>
      <c r="Z733" s="473"/>
      <c r="AA733" s="1164"/>
      <c r="AB733" s="473"/>
      <c r="AC733" s="1164"/>
      <c r="AD733" s="473"/>
      <c r="AE733" s="1164"/>
      <c r="AF733" s="473"/>
      <c r="AG733" s="1164"/>
      <c r="AH733" s="473"/>
      <c r="AI733" s="473"/>
      <c r="AJ733" s="1164"/>
      <c r="AK733" s="473"/>
      <c r="AL733" s="473"/>
      <c r="AM733" s="1164"/>
      <c r="AN733" s="473"/>
      <c r="AO733" s="473"/>
      <c r="AP733" s="1164"/>
      <c r="AQ733" s="473"/>
      <c r="AR733" s="473"/>
      <c r="AS733" s="1236"/>
      <c r="AT733" s="473"/>
      <c r="AU733" s="473"/>
      <c r="AV733" s="1164"/>
      <c r="AW733" s="1164"/>
      <c r="AX733" s="1236"/>
      <c r="AY733" s="473"/>
      <c r="AZ733" s="1236"/>
      <c r="BA733" s="473"/>
      <c r="BB733" s="473"/>
      <c r="BC733" s="1164"/>
      <c r="BD733" s="20"/>
      <c r="BE733" s="473"/>
      <c r="BF733" s="610"/>
      <c r="BG733" s="610"/>
      <c r="BH733" s="610"/>
      <c r="BI733" s="610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</row>
    <row r="734" spans="1:148" s="22" customFormat="1" x14ac:dyDescent="0.25">
      <c r="A734" s="20"/>
      <c r="B734" s="16"/>
      <c r="C734" s="473"/>
      <c r="D734" s="473"/>
      <c r="E734" s="1164"/>
      <c r="F734" s="473"/>
      <c r="G734" s="473"/>
      <c r="H734" s="1164"/>
      <c r="I734" s="473"/>
      <c r="J734" s="473"/>
      <c r="K734" s="1164"/>
      <c r="L734" s="473"/>
      <c r="M734" s="473"/>
      <c r="N734" s="1164"/>
      <c r="O734" s="473"/>
      <c r="P734" s="473"/>
      <c r="Q734" s="1164"/>
      <c r="R734" s="473"/>
      <c r="S734" s="473"/>
      <c r="T734" s="1164"/>
      <c r="U734" s="1164"/>
      <c r="V734" s="473"/>
      <c r="W734" s="473"/>
      <c r="X734" s="1164"/>
      <c r="Y734" s="473"/>
      <c r="Z734" s="473"/>
      <c r="AA734" s="1164"/>
      <c r="AB734" s="473"/>
      <c r="AC734" s="1164"/>
      <c r="AD734" s="473"/>
      <c r="AE734" s="1164"/>
      <c r="AF734" s="473"/>
      <c r="AG734" s="1164"/>
      <c r="AH734" s="473"/>
      <c r="AI734" s="473"/>
      <c r="AJ734" s="1164"/>
      <c r="AK734" s="473"/>
      <c r="AL734" s="473"/>
      <c r="AM734" s="1164"/>
      <c r="AN734" s="473"/>
      <c r="AO734" s="473"/>
      <c r="AP734" s="1164"/>
      <c r="AQ734" s="473"/>
      <c r="AR734" s="473"/>
      <c r="AS734" s="1236"/>
      <c r="AT734" s="473"/>
      <c r="AU734" s="473"/>
      <c r="AV734" s="1164"/>
      <c r="AW734" s="1164"/>
      <c r="AX734" s="1236"/>
      <c r="AY734" s="473"/>
      <c r="AZ734" s="1236"/>
      <c r="BA734" s="473"/>
      <c r="BB734" s="473"/>
      <c r="BC734" s="1164"/>
      <c r="BD734" s="20"/>
      <c r="BE734" s="473"/>
      <c r="BF734" s="610"/>
      <c r="BG734" s="610"/>
      <c r="BH734" s="610"/>
      <c r="BI734" s="610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</row>
    <row r="735" spans="1:148" s="22" customFormat="1" x14ac:dyDescent="0.25">
      <c r="A735" s="20"/>
      <c r="B735" s="16"/>
      <c r="C735" s="473"/>
      <c r="D735" s="473"/>
      <c r="E735" s="1164"/>
      <c r="F735" s="473"/>
      <c r="G735" s="473"/>
      <c r="H735" s="1164"/>
      <c r="I735" s="473"/>
      <c r="J735" s="473"/>
      <c r="K735" s="1164"/>
      <c r="L735" s="473"/>
      <c r="M735" s="473"/>
      <c r="N735" s="1164"/>
      <c r="O735" s="473"/>
      <c r="P735" s="473"/>
      <c r="Q735" s="1164"/>
      <c r="R735" s="473"/>
      <c r="S735" s="473"/>
      <c r="T735" s="1164"/>
      <c r="U735" s="1164"/>
      <c r="V735" s="473"/>
      <c r="W735" s="473"/>
      <c r="X735" s="1164"/>
      <c r="Y735" s="473"/>
      <c r="Z735" s="473"/>
      <c r="AA735" s="1164"/>
      <c r="AB735" s="473"/>
      <c r="AC735" s="1164"/>
      <c r="AD735" s="473"/>
      <c r="AE735" s="1164"/>
      <c r="AF735" s="473"/>
      <c r="AG735" s="1164"/>
      <c r="AH735" s="473"/>
      <c r="AI735" s="473"/>
      <c r="AJ735" s="1164"/>
      <c r="AK735" s="473"/>
      <c r="AL735" s="473"/>
      <c r="AM735" s="1164"/>
      <c r="AN735" s="473"/>
      <c r="AO735" s="473"/>
      <c r="AP735" s="1164"/>
      <c r="AQ735" s="473"/>
      <c r="AR735" s="473"/>
      <c r="AS735" s="1236"/>
      <c r="AT735" s="473"/>
      <c r="AU735" s="473"/>
      <c r="AV735" s="1164"/>
      <c r="AW735" s="1164"/>
      <c r="AX735" s="1236"/>
      <c r="AY735" s="473"/>
      <c r="AZ735" s="1236"/>
      <c r="BA735" s="473"/>
      <c r="BB735" s="473"/>
      <c r="BC735" s="1164"/>
      <c r="BD735" s="20"/>
      <c r="BE735" s="473"/>
      <c r="BF735" s="610"/>
      <c r="BG735" s="610"/>
      <c r="BH735" s="610"/>
      <c r="BI735" s="610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</row>
    <row r="736" spans="1:148" s="22" customFormat="1" x14ac:dyDescent="0.25">
      <c r="A736" s="20"/>
      <c r="B736" s="16"/>
      <c r="C736" s="473"/>
      <c r="D736" s="473"/>
      <c r="E736" s="1164"/>
      <c r="F736" s="473"/>
      <c r="G736" s="473"/>
      <c r="H736" s="1164"/>
      <c r="I736" s="473"/>
      <c r="J736" s="473"/>
      <c r="K736" s="1164"/>
      <c r="L736" s="473"/>
      <c r="M736" s="473"/>
      <c r="N736" s="1164"/>
      <c r="O736" s="473"/>
      <c r="P736" s="473"/>
      <c r="Q736" s="1164"/>
      <c r="R736" s="473"/>
      <c r="S736" s="473"/>
      <c r="T736" s="1164"/>
      <c r="U736" s="1164"/>
      <c r="V736" s="473"/>
      <c r="W736" s="473"/>
      <c r="X736" s="1164"/>
      <c r="Y736" s="473"/>
      <c r="Z736" s="473"/>
      <c r="AA736" s="1164"/>
      <c r="AB736" s="473"/>
      <c r="AC736" s="1164"/>
      <c r="AD736" s="473"/>
      <c r="AE736" s="1164"/>
      <c r="AF736" s="473"/>
      <c r="AG736" s="1164"/>
      <c r="AH736" s="473"/>
      <c r="AI736" s="473"/>
      <c r="AJ736" s="1164"/>
      <c r="AK736" s="473"/>
      <c r="AL736" s="473"/>
      <c r="AM736" s="1164"/>
      <c r="AN736" s="473"/>
      <c r="AO736" s="473"/>
      <c r="AP736" s="1164"/>
      <c r="AQ736" s="473"/>
      <c r="AR736" s="473"/>
      <c r="AS736" s="1236"/>
      <c r="AT736" s="473"/>
      <c r="AU736" s="473"/>
      <c r="AV736" s="1164"/>
      <c r="AW736" s="1164"/>
      <c r="AX736" s="1236"/>
      <c r="AY736" s="473"/>
      <c r="AZ736" s="1236"/>
      <c r="BA736" s="473"/>
      <c r="BB736" s="473"/>
      <c r="BC736" s="1164"/>
      <c r="BD736" s="20"/>
      <c r="BE736" s="473"/>
      <c r="BF736" s="610"/>
      <c r="BG736" s="610"/>
      <c r="BH736" s="610"/>
      <c r="BI736" s="610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</row>
    <row r="737" spans="1:148" s="22" customFormat="1" x14ac:dyDescent="0.25">
      <c r="A737" s="20"/>
      <c r="B737" s="16"/>
      <c r="C737" s="473"/>
      <c r="D737" s="473"/>
      <c r="E737" s="1164"/>
      <c r="F737" s="473"/>
      <c r="G737" s="473"/>
      <c r="H737" s="1164"/>
      <c r="I737" s="473"/>
      <c r="J737" s="473"/>
      <c r="K737" s="1164"/>
      <c r="L737" s="473"/>
      <c r="M737" s="473"/>
      <c r="N737" s="1164"/>
      <c r="O737" s="473"/>
      <c r="P737" s="473"/>
      <c r="Q737" s="1164"/>
      <c r="R737" s="473"/>
      <c r="S737" s="473"/>
      <c r="T737" s="1164"/>
      <c r="U737" s="1164"/>
      <c r="V737" s="473"/>
      <c r="W737" s="473"/>
      <c r="X737" s="1164"/>
      <c r="Y737" s="473"/>
      <c r="Z737" s="473"/>
      <c r="AA737" s="1164"/>
      <c r="AB737" s="473"/>
      <c r="AC737" s="1164"/>
      <c r="AD737" s="473"/>
      <c r="AE737" s="1164"/>
      <c r="AF737" s="473"/>
      <c r="AG737" s="1164"/>
      <c r="AH737" s="473"/>
      <c r="AI737" s="473"/>
      <c r="AJ737" s="1164"/>
      <c r="AK737" s="473"/>
      <c r="AL737" s="473"/>
      <c r="AM737" s="1164"/>
      <c r="AN737" s="473"/>
      <c r="AO737" s="473"/>
      <c r="AP737" s="1164"/>
      <c r="AQ737" s="473"/>
      <c r="AR737" s="473"/>
      <c r="AS737" s="1236"/>
      <c r="AT737" s="473"/>
      <c r="AU737" s="473"/>
      <c r="AV737" s="1164"/>
      <c r="AW737" s="1164"/>
      <c r="AX737" s="1236"/>
      <c r="AY737" s="473"/>
      <c r="AZ737" s="1236"/>
      <c r="BA737" s="473"/>
      <c r="BB737" s="473"/>
      <c r="BC737" s="1164"/>
      <c r="BD737" s="20"/>
      <c r="BE737" s="473"/>
      <c r="BF737" s="610"/>
      <c r="BG737" s="610"/>
      <c r="BH737" s="610"/>
      <c r="BI737" s="610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</row>
    <row r="738" spans="1:148" s="22" customFormat="1" x14ac:dyDescent="0.25">
      <c r="A738" s="20"/>
      <c r="B738" s="16"/>
      <c r="C738" s="473"/>
      <c r="D738" s="473"/>
      <c r="E738" s="1164"/>
      <c r="F738" s="473"/>
      <c r="G738" s="473"/>
      <c r="H738" s="1164"/>
      <c r="I738" s="473"/>
      <c r="J738" s="473"/>
      <c r="K738" s="1164"/>
      <c r="L738" s="473"/>
      <c r="M738" s="473"/>
      <c r="N738" s="1164"/>
      <c r="O738" s="473"/>
      <c r="P738" s="473"/>
      <c r="Q738" s="1164"/>
      <c r="R738" s="473"/>
      <c r="S738" s="473"/>
      <c r="T738" s="1164"/>
      <c r="U738" s="1164"/>
      <c r="V738" s="473"/>
      <c r="W738" s="473"/>
      <c r="X738" s="1164"/>
      <c r="Y738" s="473"/>
      <c r="Z738" s="473"/>
      <c r="AA738" s="1164"/>
      <c r="AB738" s="473"/>
      <c r="AC738" s="1164"/>
      <c r="AD738" s="473"/>
      <c r="AE738" s="1164"/>
      <c r="AF738" s="473"/>
      <c r="AG738" s="1164"/>
      <c r="AH738" s="473"/>
      <c r="AI738" s="473"/>
      <c r="AJ738" s="1164"/>
      <c r="AK738" s="473"/>
      <c r="AL738" s="473"/>
      <c r="AM738" s="1164"/>
      <c r="AN738" s="473"/>
      <c r="AO738" s="473"/>
      <c r="AP738" s="1164"/>
      <c r="AQ738" s="473"/>
      <c r="AR738" s="473"/>
      <c r="AS738" s="1236"/>
      <c r="AT738" s="473"/>
      <c r="AU738" s="473"/>
      <c r="AV738" s="1164"/>
      <c r="AW738" s="1164"/>
      <c r="AX738" s="1236"/>
      <c r="AY738" s="473"/>
      <c r="AZ738" s="1236"/>
      <c r="BA738" s="473"/>
      <c r="BB738" s="473"/>
      <c r="BC738" s="1164"/>
      <c r="BD738" s="20"/>
      <c r="BE738" s="473"/>
      <c r="BF738" s="610"/>
      <c r="BG738" s="610"/>
      <c r="BH738" s="610"/>
      <c r="BI738" s="610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</row>
    <row r="739" spans="1:148" s="22" customFormat="1" x14ac:dyDescent="0.25">
      <c r="A739" s="20"/>
      <c r="B739" s="16"/>
      <c r="C739" s="473"/>
      <c r="D739" s="473"/>
      <c r="E739" s="1164"/>
      <c r="F739" s="473"/>
      <c r="G739" s="473"/>
      <c r="H739" s="1164"/>
      <c r="I739" s="473"/>
      <c r="J739" s="473"/>
      <c r="K739" s="1164"/>
      <c r="L739" s="473"/>
      <c r="M739" s="473"/>
      <c r="N739" s="1164"/>
      <c r="O739" s="473"/>
      <c r="P739" s="473"/>
      <c r="Q739" s="1164"/>
      <c r="R739" s="473"/>
      <c r="S739" s="473"/>
      <c r="T739" s="1164"/>
      <c r="U739" s="1164"/>
      <c r="V739" s="473"/>
      <c r="W739" s="473"/>
      <c r="X739" s="1164"/>
      <c r="Y739" s="473"/>
      <c r="Z739" s="473"/>
      <c r="AA739" s="1164"/>
      <c r="AB739" s="473"/>
      <c r="AC739" s="1164"/>
      <c r="AD739" s="473"/>
      <c r="AE739" s="1164"/>
      <c r="AF739" s="473"/>
      <c r="AG739" s="1164"/>
      <c r="AH739" s="473"/>
      <c r="AI739" s="473"/>
      <c r="AJ739" s="1164"/>
      <c r="AK739" s="473"/>
      <c r="AL739" s="473"/>
      <c r="AM739" s="1164"/>
      <c r="AN739" s="473"/>
      <c r="AO739" s="473"/>
      <c r="AP739" s="1164"/>
      <c r="AQ739" s="473"/>
      <c r="AR739" s="473"/>
      <c r="AS739" s="1236"/>
      <c r="AT739" s="473"/>
      <c r="AU739" s="473"/>
      <c r="AV739" s="1164"/>
      <c r="AW739" s="1164"/>
      <c r="AX739" s="1236"/>
      <c r="AY739" s="473"/>
      <c r="AZ739" s="1236"/>
      <c r="BA739" s="473"/>
      <c r="BB739" s="473"/>
      <c r="BC739" s="1164"/>
      <c r="BD739" s="20"/>
      <c r="BE739" s="473"/>
      <c r="BF739" s="610"/>
      <c r="BG739" s="610"/>
      <c r="BH739" s="610"/>
      <c r="BI739" s="610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</row>
    <row r="740" spans="1:148" s="22" customFormat="1" x14ac:dyDescent="0.25">
      <c r="A740" s="20"/>
      <c r="B740" s="16"/>
      <c r="C740" s="473"/>
      <c r="D740" s="473"/>
      <c r="E740" s="1164"/>
      <c r="F740" s="473"/>
      <c r="G740" s="473"/>
      <c r="H740" s="1164"/>
      <c r="I740" s="473"/>
      <c r="J740" s="473"/>
      <c r="K740" s="1164"/>
      <c r="L740" s="473"/>
      <c r="M740" s="473"/>
      <c r="N740" s="1164"/>
      <c r="O740" s="473"/>
      <c r="P740" s="473"/>
      <c r="Q740" s="1164"/>
      <c r="R740" s="473"/>
      <c r="S740" s="473"/>
      <c r="T740" s="1164"/>
      <c r="U740" s="1164"/>
      <c r="V740" s="473"/>
      <c r="W740" s="473"/>
      <c r="X740" s="1164"/>
      <c r="Y740" s="473"/>
      <c r="Z740" s="473"/>
      <c r="AA740" s="1164"/>
      <c r="AB740" s="473"/>
      <c r="AC740" s="1164"/>
      <c r="AD740" s="473"/>
      <c r="AE740" s="1164"/>
      <c r="AF740" s="473"/>
      <c r="AG740" s="1164"/>
      <c r="AH740" s="473"/>
      <c r="AI740" s="473"/>
      <c r="AJ740" s="1164"/>
      <c r="AK740" s="473"/>
      <c r="AL740" s="473"/>
      <c r="AM740" s="1164"/>
      <c r="AN740" s="473"/>
      <c r="AO740" s="473"/>
      <c r="AP740" s="1164"/>
      <c r="AQ740" s="473"/>
      <c r="AR740" s="473"/>
      <c r="AS740" s="1236"/>
      <c r="AT740" s="473"/>
      <c r="AU740" s="473"/>
      <c r="AV740" s="1164"/>
      <c r="AW740" s="1164"/>
      <c r="AX740" s="1236"/>
      <c r="AY740" s="473"/>
      <c r="AZ740" s="1236"/>
      <c r="BA740" s="473"/>
      <c r="BB740" s="473"/>
      <c r="BC740" s="1164"/>
      <c r="BD740" s="20"/>
      <c r="BE740" s="473"/>
      <c r="BF740" s="610"/>
      <c r="BG740" s="610"/>
      <c r="BH740" s="610"/>
      <c r="BI740" s="610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</row>
    <row r="741" spans="1:148" s="22" customFormat="1" x14ac:dyDescent="0.25">
      <c r="A741" s="20"/>
      <c r="B741" s="16"/>
      <c r="C741" s="473"/>
      <c r="D741" s="473"/>
      <c r="E741" s="1164"/>
      <c r="F741" s="473"/>
      <c r="G741" s="473"/>
      <c r="H741" s="1164"/>
      <c r="I741" s="473"/>
      <c r="J741" s="473"/>
      <c r="K741" s="1164"/>
      <c r="L741" s="473"/>
      <c r="M741" s="473"/>
      <c r="N741" s="1164"/>
      <c r="O741" s="473"/>
      <c r="P741" s="473"/>
      <c r="Q741" s="1164"/>
      <c r="R741" s="473"/>
      <c r="S741" s="473"/>
      <c r="T741" s="1164"/>
      <c r="U741" s="1164"/>
      <c r="V741" s="473"/>
      <c r="W741" s="473"/>
      <c r="X741" s="1164"/>
      <c r="Y741" s="473"/>
      <c r="Z741" s="473"/>
      <c r="AA741" s="1164"/>
      <c r="AB741" s="473"/>
      <c r="AC741" s="1164"/>
      <c r="AD741" s="473"/>
      <c r="AE741" s="1164"/>
      <c r="AF741" s="473"/>
      <c r="AG741" s="1164"/>
      <c r="AH741" s="473"/>
      <c r="AI741" s="473"/>
      <c r="AJ741" s="1164"/>
      <c r="AK741" s="473"/>
      <c r="AL741" s="473"/>
      <c r="AM741" s="1164"/>
      <c r="AN741" s="473"/>
      <c r="AO741" s="473"/>
      <c r="AP741" s="1164"/>
      <c r="AQ741" s="473"/>
      <c r="AR741" s="473"/>
      <c r="AS741" s="1236"/>
      <c r="AT741" s="473"/>
      <c r="AU741" s="473"/>
      <c r="AV741" s="1164"/>
      <c r="AW741" s="1164"/>
      <c r="AX741" s="1236"/>
      <c r="AY741" s="473"/>
      <c r="AZ741" s="1236"/>
      <c r="BA741" s="473"/>
      <c r="BB741" s="473"/>
      <c r="BC741" s="1164"/>
      <c r="BD741" s="20"/>
      <c r="BE741" s="473"/>
      <c r="BF741" s="610"/>
      <c r="BG741" s="610"/>
      <c r="BH741" s="610"/>
      <c r="BI741" s="610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</row>
    <row r="742" spans="1:148" s="22" customFormat="1" x14ac:dyDescent="0.25">
      <c r="A742" s="20"/>
      <c r="B742" s="16"/>
      <c r="C742" s="473"/>
      <c r="D742" s="473"/>
      <c r="E742" s="1164"/>
      <c r="F742" s="473"/>
      <c r="G742" s="473"/>
      <c r="H742" s="1164"/>
      <c r="I742" s="473"/>
      <c r="J742" s="473"/>
      <c r="K742" s="1164"/>
      <c r="L742" s="473"/>
      <c r="M742" s="473"/>
      <c r="N742" s="1164"/>
      <c r="O742" s="473"/>
      <c r="P742" s="473"/>
      <c r="Q742" s="1164"/>
      <c r="R742" s="473"/>
      <c r="S742" s="473"/>
      <c r="T742" s="1164"/>
      <c r="U742" s="1164"/>
      <c r="V742" s="473"/>
      <c r="W742" s="473"/>
      <c r="X742" s="1164"/>
      <c r="Y742" s="473"/>
      <c r="Z742" s="473"/>
      <c r="AA742" s="1164"/>
      <c r="AB742" s="473"/>
      <c r="AC742" s="1164"/>
      <c r="AD742" s="473"/>
      <c r="AE742" s="1164"/>
      <c r="AF742" s="473"/>
      <c r="AG742" s="1164"/>
      <c r="AH742" s="473"/>
      <c r="AI742" s="473"/>
      <c r="AJ742" s="1164"/>
      <c r="AK742" s="473"/>
      <c r="AL742" s="473"/>
      <c r="AM742" s="1164"/>
      <c r="AN742" s="473"/>
      <c r="AO742" s="473"/>
      <c r="AP742" s="1164"/>
      <c r="AQ742" s="473"/>
      <c r="AR742" s="473"/>
      <c r="AS742" s="1236"/>
      <c r="AT742" s="473"/>
      <c r="AU742" s="473"/>
      <c r="AV742" s="1164"/>
      <c r="AW742" s="1164"/>
      <c r="AX742" s="1236"/>
      <c r="AY742" s="473"/>
      <c r="AZ742" s="1236"/>
      <c r="BA742" s="473"/>
      <c r="BB742" s="473"/>
      <c r="BC742" s="1164"/>
      <c r="BD742" s="20"/>
      <c r="BE742" s="473"/>
      <c r="BF742" s="610"/>
      <c r="BG742" s="610"/>
      <c r="BH742" s="610"/>
      <c r="BI742" s="610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</row>
    <row r="743" spans="1:148" s="22" customFormat="1" x14ac:dyDescent="0.25">
      <c r="A743" s="20"/>
      <c r="B743" s="16"/>
      <c r="C743" s="473"/>
      <c r="D743" s="473"/>
      <c r="E743" s="1164"/>
      <c r="F743" s="473"/>
      <c r="G743" s="473"/>
      <c r="H743" s="1164"/>
      <c r="I743" s="473"/>
      <c r="J743" s="473"/>
      <c r="K743" s="1164"/>
      <c r="L743" s="473"/>
      <c r="M743" s="473"/>
      <c r="N743" s="1164"/>
      <c r="O743" s="473"/>
      <c r="P743" s="473"/>
      <c r="Q743" s="1164"/>
      <c r="R743" s="473"/>
      <c r="S743" s="473"/>
      <c r="T743" s="1164"/>
      <c r="U743" s="1164"/>
      <c r="V743" s="473"/>
      <c r="W743" s="473"/>
      <c r="X743" s="1164"/>
      <c r="Y743" s="473"/>
      <c r="Z743" s="473"/>
      <c r="AA743" s="1164"/>
      <c r="AB743" s="473"/>
      <c r="AC743" s="1164"/>
      <c r="AD743" s="473"/>
      <c r="AE743" s="1164"/>
      <c r="AF743" s="473"/>
      <c r="AG743" s="1164"/>
      <c r="AH743" s="473"/>
      <c r="AI743" s="473"/>
      <c r="AJ743" s="1164"/>
      <c r="AK743" s="473"/>
      <c r="AL743" s="473"/>
      <c r="AM743" s="1164"/>
      <c r="AN743" s="473"/>
      <c r="AO743" s="473"/>
      <c r="AP743" s="1164"/>
      <c r="AQ743" s="473"/>
      <c r="AR743" s="473"/>
      <c r="AS743" s="1236"/>
      <c r="AT743" s="473"/>
      <c r="AU743" s="473"/>
      <c r="AV743" s="1164"/>
      <c r="AW743" s="1164"/>
      <c r="AX743" s="1236"/>
      <c r="AY743" s="473"/>
      <c r="AZ743" s="1236"/>
      <c r="BA743" s="473"/>
      <c r="BB743" s="473"/>
      <c r="BC743" s="1164"/>
      <c r="BD743" s="20"/>
      <c r="BE743" s="473"/>
      <c r="BF743" s="610"/>
      <c r="BG743" s="610"/>
      <c r="BH743" s="610"/>
      <c r="BI743" s="610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s="22" customFormat="1" x14ac:dyDescent="0.25">
      <c r="A744" s="20"/>
      <c r="B744" s="16"/>
      <c r="C744" s="473"/>
      <c r="D744" s="473"/>
      <c r="E744" s="1164"/>
      <c r="F744" s="473"/>
      <c r="G744" s="473"/>
      <c r="H744" s="1164"/>
      <c r="I744" s="473"/>
      <c r="J744" s="473"/>
      <c r="K744" s="1164"/>
      <c r="L744" s="473"/>
      <c r="M744" s="473"/>
      <c r="N744" s="1164"/>
      <c r="O744" s="473"/>
      <c r="P744" s="473"/>
      <c r="Q744" s="1164"/>
      <c r="R744" s="473"/>
      <c r="S744" s="473"/>
      <c r="T744" s="1164"/>
      <c r="U744" s="1164"/>
      <c r="V744" s="473"/>
      <c r="W744" s="473"/>
      <c r="X744" s="1164"/>
      <c r="Y744" s="473"/>
      <c r="Z744" s="473"/>
      <c r="AA744" s="1164"/>
      <c r="AB744" s="473"/>
      <c r="AC744" s="1164"/>
      <c r="AD744" s="473"/>
      <c r="AE744" s="1164"/>
      <c r="AF744" s="473"/>
      <c r="AG744" s="1164"/>
      <c r="AH744" s="473"/>
      <c r="AI744" s="473"/>
      <c r="AJ744" s="1164"/>
      <c r="AK744" s="473"/>
      <c r="AL744" s="473"/>
      <c r="AM744" s="1164"/>
      <c r="AN744" s="473"/>
      <c r="AO744" s="473"/>
      <c r="AP744" s="1164"/>
      <c r="AQ744" s="473"/>
      <c r="AR744" s="473"/>
      <c r="AS744" s="1236"/>
      <c r="AT744" s="473"/>
      <c r="AU744" s="473"/>
      <c r="AV744" s="1164"/>
      <c r="AW744" s="1164"/>
      <c r="AX744" s="1236"/>
      <c r="AY744" s="473"/>
      <c r="AZ744" s="1236"/>
      <c r="BA744" s="473"/>
      <c r="BB744" s="473"/>
      <c r="BC744" s="1164"/>
      <c r="BD744" s="20"/>
      <c r="BE744" s="473"/>
      <c r="BF744" s="610"/>
      <c r="BG744" s="610"/>
      <c r="BH744" s="610"/>
      <c r="BI744" s="610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</row>
    <row r="745" spans="1:148" s="22" customFormat="1" x14ac:dyDescent="0.25">
      <c r="A745" s="20"/>
      <c r="B745" s="16"/>
      <c r="C745" s="473"/>
      <c r="D745" s="473"/>
      <c r="E745" s="1164"/>
      <c r="F745" s="473"/>
      <c r="G745" s="473"/>
      <c r="H745" s="1164"/>
      <c r="I745" s="473"/>
      <c r="J745" s="473"/>
      <c r="K745" s="1164"/>
      <c r="L745" s="473"/>
      <c r="M745" s="473"/>
      <c r="N745" s="1164"/>
      <c r="O745" s="473"/>
      <c r="P745" s="473"/>
      <c r="Q745" s="1164"/>
      <c r="R745" s="473"/>
      <c r="S745" s="473"/>
      <c r="T745" s="1164"/>
      <c r="U745" s="1164"/>
      <c r="V745" s="473"/>
      <c r="W745" s="473"/>
      <c r="X745" s="1164"/>
      <c r="Y745" s="473"/>
      <c r="Z745" s="473"/>
      <c r="AA745" s="1164"/>
      <c r="AB745" s="473"/>
      <c r="AC745" s="1164"/>
      <c r="AD745" s="473"/>
      <c r="AE745" s="1164"/>
      <c r="AF745" s="473"/>
      <c r="AG745" s="1164"/>
      <c r="AH745" s="473"/>
      <c r="AI745" s="473"/>
      <c r="AJ745" s="1164"/>
      <c r="AK745" s="473"/>
      <c r="AL745" s="473"/>
      <c r="AM745" s="1164"/>
      <c r="AN745" s="473"/>
      <c r="AO745" s="473"/>
      <c r="AP745" s="1164"/>
      <c r="AQ745" s="473"/>
      <c r="AR745" s="473"/>
      <c r="AS745" s="1236"/>
      <c r="AT745" s="473"/>
      <c r="AU745" s="473"/>
      <c r="AV745" s="1164"/>
      <c r="AW745" s="1164"/>
      <c r="AX745" s="1236"/>
      <c r="AY745" s="473"/>
      <c r="AZ745" s="1236"/>
      <c r="BA745" s="473"/>
      <c r="BB745" s="473"/>
      <c r="BC745" s="1164"/>
      <c r="BD745" s="20"/>
      <c r="BE745" s="473"/>
      <c r="BF745" s="610"/>
      <c r="BG745" s="610"/>
      <c r="BH745" s="610"/>
      <c r="BI745" s="610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</row>
    <row r="746" spans="1:148" s="22" customFormat="1" x14ac:dyDescent="0.25">
      <c r="A746" s="20"/>
      <c r="B746" s="16"/>
      <c r="C746" s="473"/>
      <c r="D746" s="473"/>
      <c r="E746" s="1164"/>
      <c r="F746" s="473"/>
      <c r="G746" s="473"/>
      <c r="H746" s="1164"/>
      <c r="I746" s="473"/>
      <c r="J746" s="473"/>
      <c r="K746" s="1164"/>
      <c r="L746" s="473"/>
      <c r="M746" s="473"/>
      <c r="N746" s="1164"/>
      <c r="O746" s="473"/>
      <c r="P746" s="473"/>
      <c r="Q746" s="1164"/>
      <c r="R746" s="473"/>
      <c r="S746" s="473"/>
      <c r="T746" s="1164"/>
      <c r="U746" s="1164"/>
      <c r="V746" s="473"/>
      <c r="W746" s="473"/>
      <c r="X746" s="1164"/>
      <c r="Y746" s="473"/>
      <c r="Z746" s="473"/>
      <c r="AA746" s="1164"/>
      <c r="AB746" s="473"/>
      <c r="AC746" s="1164"/>
      <c r="AD746" s="473"/>
      <c r="AE746" s="1164"/>
      <c r="AF746" s="473"/>
      <c r="AG746" s="1164"/>
      <c r="AH746" s="473"/>
      <c r="AI746" s="473"/>
      <c r="AJ746" s="1164"/>
      <c r="AK746" s="473"/>
      <c r="AL746" s="473"/>
      <c r="AM746" s="1164"/>
      <c r="AN746" s="473"/>
      <c r="AO746" s="473"/>
      <c r="AP746" s="1164"/>
      <c r="AQ746" s="473"/>
      <c r="AR746" s="473"/>
      <c r="AS746" s="1236"/>
      <c r="AT746" s="473"/>
      <c r="AU746" s="473"/>
      <c r="AV746" s="1164"/>
      <c r="AW746" s="1164"/>
      <c r="AX746" s="1236"/>
      <c r="AY746" s="473"/>
      <c r="AZ746" s="1236"/>
      <c r="BA746" s="473"/>
      <c r="BB746" s="473"/>
      <c r="BC746" s="1164"/>
      <c r="BD746" s="20"/>
      <c r="BE746" s="473"/>
      <c r="BF746" s="610"/>
      <c r="BG746" s="610"/>
      <c r="BH746" s="610"/>
      <c r="BI746" s="610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</row>
    <row r="747" spans="1:148" s="22" customFormat="1" x14ac:dyDescent="0.25">
      <c r="A747" s="20"/>
      <c r="B747" s="16"/>
      <c r="C747" s="473"/>
      <c r="D747" s="473"/>
      <c r="E747" s="1164"/>
      <c r="F747" s="473"/>
      <c r="G747" s="473"/>
      <c r="H747" s="1164"/>
      <c r="I747" s="473"/>
      <c r="J747" s="473"/>
      <c r="K747" s="1164"/>
      <c r="L747" s="473"/>
      <c r="M747" s="473"/>
      <c r="N747" s="1164"/>
      <c r="O747" s="473"/>
      <c r="P747" s="473"/>
      <c r="Q747" s="1164"/>
      <c r="R747" s="473"/>
      <c r="S747" s="473"/>
      <c r="T747" s="1164"/>
      <c r="U747" s="1164"/>
      <c r="V747" s="473"/>
      <c r="W747" s="473"/>
      <c r="X747" s="1164"/>
      <c r="Y747" s="473"/>
      <c r="Z747" s="473"/>
      <c r="AA747" s="1164"/>
      <c r="AB747" s="473"/>
      <c r="AC747" s="1164"/>
      <c r="AD747" s="473"/>
      <c r="AE747" s="1164"/>
      <c r="AF747" s="473"/>
      <c r="AG747" s="1164"/>
      <c r="AH747" s="473"/>
      <c r="AI747" s="473"/>
      <c r="AJ747" s="1164"/>
      <c r="AK747" s="473"/>
      <c r="AL747" s="473"/>
      <c r="AM747" s="1164"/>
      <c r="AN747" s="473"/>
      <c r="AO747" s="473"/>
      <c r="AP747" s="1164"/>
      <c r="AQ747" s="473"/>
      <c r="AR747" s="473"/>
      <c r="AS747" s="1236"/>
      <c r="AT747" s="473"/>
      <c r="AU747" s="473"/>
      <c r="AV747" s="1164"/>
      <c r="AW747" s="1164"/>
      <c r="AX747" s="1236"/>
      <c r="AY747" s="473"/>
      <c r="AZ747" s="1236"/>
      <c r="BA747" s="473"/>
      <c r="BB747" s="473"/>
      <c r="BC747" s="1164"/>
      <c r="BD747" s="20"/>
      <c r="BE747" s="473"/>
      <c r="BF747" s="610"/>
      <c r="BG747" s="610"/>
      <c r="BH747" s="610"/>
      <c r="BI747" s="610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</row>
    <row r="748" spans="1:148" s="22" customFormat="1" x14ac:dyDescent="0.25">
      <c r="A748" s="20"/>
      <c r="B748" s="16"/>
      <c r="C748" s="473"/>
      <c r="D748" s="473"/>
      <c r="E748" s="1164"/>
      <c r="F748" s="473"/>
      <c r="G748" s="473"/>
      <c r="H748" s="1164"/>
      <c r="I748" s="473"/>
      <c r="J748" s="473"/>
      <c r="K748" s="1164"/>
      <c r="L748" s="473"/>
      <c r="M748" s="473"/>
      <c r="N748" s="1164"/>
      <c r="O748" s="473"/>
      <c r="P748" s="473"/>
      <c r="Q748" s="1164"/>
      <c r="R748" s="473"/>
      <c r="S748" s="473"/>
      <c r="T748" s="1164"/>
      <c r="U748" s="1164"/>
      <c r="V748" s="473"/>
      <c r="W748" s="473"/>
      <c r="X748" s="1164"/>
      <c r="Y748" s="473"/>
      <c r="Z748" s="473"/>
      <c r="AA748" s="1164"/>
      <c r="AB748" s="473"/>
      <c r="AC748" s="1164"/>
      <c r="AD748" s="473"/>
      <c r="AE748" s="1164"/>
      <c r="AF748" s="473"/>
      <c r="AG748" s="1164"/>
      <c r="AH748" s="473"/>
      <c r="AI748" s="473"/>
      <c r="AJ748" s="1164"/>
      <c r="AK748" s="473"/>
      <c r="AL748" s="473"/>
      <c r="AM748" s="1164"/>
      <c r="AN748" s="473"/>
      <c r="AO748" s="473"/>
      <c r="AP748" s="1164"/>
      <c r="AQ748" s="473"/>
      <c r="AR748" s="473"/>
      <c r="AS748" s="1236"/>
      <c r="AT748" s="473"/>
      <c r="AU748" s="473"/>
      <c r="AV748" s="1164"/>
      <c r="AW748" s="1164"/>
      <c r="AX748" s="1236"/>
      <c r="AY748" s="473"/>
      <c r="AZ748" s="1236"/>
      <c r="BA748" s="473"/>
      <c r="BB748" s="473"/>
      <c r="BC748" s="1164"/>
      <c r="BD748" s="20"/>
      <c r="BE748" s="473"/>
      <c r="BF748" s="610"/>
      <c r="BG748" s="610"/>
      <c r="BH748" s="610"/>
      <c r="BI748" s="610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</row>
    <row r="749" spans="1:148" s="22" customFormat="1" x14ac:dyDescent="0.25">
      <c r="A749" s="20"/>
      <c r="B749" s="16"/>
      <c r="C749" s="473"/>
      <c r="D749" s="473"/>
      <c r="E749" s="1164"/>
      <c r="F749" s="473"/>
      <c r="G749" s="473"/>
      <c r="H749" s="1164"/>
      <c r="I749" s="473"/>
      <c r="J749" s="473"/>
      <c r="K749" s="1164"/>
      <c r="L749" s="473"/>
      <c r="M749" s="473"/>
      <c r="N749" s="1164"/>
      <c r="O749" s="473"/>
      <c r="P749" s="473"/>
      <c r="Q749" s="1164"/>
      <c r="R749" s="473"/>
      <c r="S749" s="473"/>
      <c r="T749" s="1164"/>
      <c r="U749" s="1164"/>
      <c r="V749" s="473"/>
      <c r="W749" s="473"/>
      <c r="X749" s="1164"/>
      <c r="Y749" s="473"/>
      <c r="Z749" s="473"/>
      <c r="AA749" s="1164"/>
      <c r="AB749" s="473"/>
      <c r="AC749" s="1164"/>
      <c r="AD749" s="473"/>
      <c r="AE749" s="1164"/>
      <c r="AF749" s="473"/>
      <c r="AG749" s="1164"/>
      <c r="AH749" s="473"/>
      <c r="AI749" s="473"/>
      <c r="AJ749" s="1164"/>
      <c r="AK749" s="473"/>
      <c r="AL749" s="473"/>
      <c r="AM749" s="1164"/>
      <c r="AN749" s="473"/>
      <c r="AO749" s="473"/>
      <c r="AP749" s="1164"/>
      <c r="AQ749" s="473"/>
      <c r="AR749" s="473"/>
      <c r="AS749" s="1236"/>
      <c r="AT749" s="473"/>
      <c r="AU749" s="473"/>
      <c r="AV749" s="1164"/>
      <c r="AW749" s="1164"/>
      <c r="AX749" s="1236"/>
      <c r="AY749" s="473"/>
      <c r="AZ749" s="1236"/>
      <c r="BA749" s="473"/>
      <c r="BB749" s="473"/>
      <c r="BC749" s="1164"/>
      <c r="BD749" s="20"/>
      <c r="BE749" s="473"/>
      <c r="BF749" s="610"/>
      <c r="BG749" s="610"/>
      <c r="BH749" s="610"/>
      <c r="BI749" s="610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</row>
    <row r="750" spans="1:148" s="22" customFormat="1" x14ac:dyDescent="0.25">
      <c r="A750" s="20"/>
      <c r="B750" s="16"/>
      <c r="C750" s="473"/>
      <c r="D750" s="473"/>
      <c r="E750" s="1164"/>
      <c r="F750" s="473"/>
      <c r="G750" s="473"/>
      <c r="H750" s="1164"/>
      <c r="I750" s="473"/>
      <c r="J750" s="473"/>
      <c r="K750" s="1164"/>
      <c r="L750" s="473"/>
      <c r="M750" s="473"/>
      <c r="N750" s="1164"/>
      <c r="O750" s="473"/>
      <c r="P750" s="473"/>
      <c r="Q750" s="1164"/>
      <c r="R750" s="473"/>
      <c r="S750" s="473"/>
      <c r="T750" s="1164"/>
      <c r="U750" s="1164"/>
      <c r="V750" s="473"/>
      <c r="W750" s="473"/>
      <c r="X750" s="1164"/>
      <c r="Y750" s="473"/>
      <c r="Z750" s="473"/>
      <c r="AA750" s="1164"/>
      <c r="AB750" s="473"/>
      <c r="AC750" s="1164"/>
      <c r="AD750" s="473"/>
      <c r="AE750" s="1164"/>
      <c r="AF750" s="473"/>
      <c r="AG750" s="1164"/>
      <c r="AH750" s="473"/>
      <c r="AI750" s="473"/>
      <c r="AJ750" s="1164"/>
      <c r="AK750" s="473"/>
      <c r="AL750" s="473"/>
      <c r="AM750" s="1164"/>
      <c r="AN750" s="473"/>
      <c r="AO750" s="473"/>
      <c r="AP750" s="1164"/>
      <c r="AQ750" s="473"/>
      <c r="AR750" s="473"/>
      <c r="AS750" s="1236"/>
      <c r="AT750" s="473"/>
      <c r="AU750" s="473"/>
      <c r="AV750" s="1164"/>
      <c r="AW750" s="1164"/>
      <c r="AX750" s="1236"/>
      <c r="AY750" s="473"/>
      <c r="AZ750" s="1236"/>
      <c r="BA750" s="473"/>
      <c r="BB750" s="473"/>
      <c r="BC750" s="1164"/>
      <c r="BD750" s="20"/>
      <c r="BE750" s="473"/>
      <c r="BF750" s="610"/>
      <c r="BG750" s="610"/>
      <c r="BH750" s="610"/>
      <c r="BI750" s="610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</row>
    <row r="751" spans="1:148" s="22" customFormat="1" x14ac:dyDescent="0.25">
      <c r="A751" s="20"/>
      <c r="B751" s="16"/>
      <c r="C751" s="473"/>
      <c r="D751" s="473"/>
      <c r="E751" s="1164"/>
      <c r="F751" s="473"/>
      <c r="G751" s="473"/>
      <c r="H751" s="1164"/>
      <c r="I751" s="473"/>
      <c r="J751" s="473"/>
      <c r="K751" s="1164"/>
      <c r="L751" s="473"/>
      <c r="M751" s="473"/>
      <c r="N751" s="1164"/>
      <c r="O751" s="473"/>
      <c r="P751" s="473"/>
      <c r="Q751" s="1164"/>
      <c r="R751" s="473"/>
      <c r="S751" s="473"/>
      <c r="T751" s="1164"/>
      <c r="U751" s="1164"/>
      <c r="V751" s="473"/>
      <c r="W751" s="473"/>
      <c r="X751" s="1164"/>
      <c r="Y751" s="473"/>
      <c r="Z751" s="473"/>
      <c r="AA751" s="1164"/>
      <c r="AB751" s="473"/>
      <c r="AC751" s="1164"/>
      <c r="AD751" s="473"/>
      <c r="AE751" s="1164"/>
      <c r="AF751" s="473"/>
      <c r="AG751" s="1164"/>
      <c r="AH751" s="473"/>
      <c r="AI751" s="473"/>
      <c r="AJ751" s="1164"/>
      <c r="AK751" s="473"/>
      <c r="AL751" s="473"/>
      <c r="AM751" s="1164"/>
      <c r="AN751" s="473"/>
      <c r="AO751" s="473"/>
      <c r="AP751" s="1164"/>
      <c r="AQ751" s="473"/>
      <c r="AR751" s="473"/>
      <c r="AS751" s="1236"/>
      <c r="AT751" s="473"/>
      <c r="AU751" s="473"/>
      <c r="AV751" s="1164"/>
      <c r="AW751" s="1164"/>
      <c r="AX751" s="1236"/>
      <c r="AY751" s="473"/>
      <c r="AZ751" s="1236"/>
      <c r="BA751" s="473"/>
      <c r="BB751" s="473"/>
      <c r="BC751" s="1164"/>
      <c r="BD751" s="20"/>
      <c r="BE751" s="473"/>
      <c r="BF751" s="610"/>
      <c r="BG751" s="610"/>
      <c r="BH751" s="610"/>
      <c r="BI751" s="610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</row>
    <row r="752" spans="1:148" s="22" customFormat="1" x14ac:dyDescent="0.25">
      <c r="A752" s="20"/>
      <c r="B752" s="16"/>
      <c r="C752" s="473"/>
      <c r="D752" s="473"/>
      <c r="E752" s="1164"/>
      <c r="F752" s="473"/>
      <c r="G752" s="473"/>
      <c r="H752" s="1164"/>
      <c r="I752" s="473"/>
      <c r="J752" s="473"/>
      <c r="K752" s="1164"/>
      <c r="L752" s="473"/>
      <c r="M752" s="473"/>
      <c r="N752" s="1164"/>
      <c r="O752" s="473"/>
      <c r="P752" s="473"/>
      <c r="Q752" s="1164"/>
      <c r="R752" s="473"/>
      <c r="S752" s="473"/>
      <c r="T752" s="1164"/>
      <c r="U752" s="1164"/>
      <c r="V752" s="473"/>
      <c r="W752" s="473"/>
      <c r="X752" s="1164"/>
      <c r="Y752" s="473"/>
      <c r="Z752" s="473"/>
      <c r="AA752" s="1164"/>
      <c r="AB752" s="473"/>
      <c r="AC752" s="1164"/>
      <c r="AD752" s="473"/>
      <c r="AE752" s="1164"/>
      <c r="AF752" s="473"/>
      <c r="AG752" s="1164"/>
      <c r="AH752" s="473"/>
      <c r="AI752" s="473"/>
      <c r="AJ752" s="1164"/>
      <c r="AK752" s="473"/>
      <c r="AL752" s="473"/>
      <c r="AM752" s="1164"/>
      <c r="AN752" s="473"/>
      <c r="AO752" s="473"/>
      <c r="AP752" s="1164"/>
      <c r="AQ752" s="473"/>
      <c r="AR752" s="473"/>
      <c r="AS752" s="1236"/>
      <c r="AT752" s="473"/>
      <c r="AU752" s="473"/>
      <c r="AV752" s="1164"/>
      <c r="AW752" s="1164"/>
      <c r="AX752" s="1236"/>
      <c r="AY752" s="473"/>
      <c r="AZ752" s="1236"/>
      <c r="BA752" s="473"/>
      <c r="BB752" s="473"/>
      <c r="BC752" s="1164"/>
      <c r="BD752" s="20"/>
      <c r="BE752" s="473"/>
      <c r="BF752" s="610"/>
      <c r="BG752" s="610"/>
      <c r="BH752" s="610"/>
      <c r="BI752" s="610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</row>
    <row r="753" spans="1:148" s="22" customFormat="1" x14ac:dyDescent="0.25">
      <c r="A753" s="20"/>
      <c r="B753" s="16"/>
      <c r="C753" s="473"/>
      <c r="D753" s="473"/>
      <c r="E753" s="1164"/>
      <c r="F753" s="473"/>
      <c r="G753" s="473"/>
      <c r="H753" s="1164"/>
      <c r="I753" s="473"/>
      <c r="J753" s="473"/>
      <c r="K753" s="1164"/>
      <c r="L753" s="473"/>
      <c r="M753" s="473"/>
      <c r="N753" s="1164"/>
      <c r="O753" s="473"/>
      <c r="P753" s="473"/>
      <c r="Q753" s="1164"/>
      <c r="R753" s="473"/>
      <c r="S753" s="473"/>
      <c r="T753" s="1164"/>
      <c r="U753" s="1164"/>
      <c r="V753" s="473"/>
      <c r="W753" s="473"/>
      <c r="X753" s="1164"/>
      <c r="Y753" s="473"/>
      <c r="Z753" s="473"/>
      <c r="AA753" s="1164"/>
      <c r="AB753" s="473"/>
      <c r="AC753" s="1164"/>
      <c r="AD753" s="473"/>
      <c r="AE753" s="1164"/>
      <c r="AF753" s="473"/>
      <c r="AG753" s="1164"/>
      <c r="AH753" s="473"/>
      <c r="AI753" s="473"/>
      <c r="AJ753" s="1164"/>
      <c r="AK753" s="473"/>
      <c r="AL753" s="473"/>
      <c r="AM753" s="1164"/>
      <c r="AN753" s="473"/>
      <c r="AO753" s="473"/>
      <c r="AP753" s="1164"/>
      <c r="AQ753" s="473"/>
      <c r="AR753" s="473"/>
      <c r="AS753" s="1236"/>
      <c r="AT753" s="473"/>
      <c r="AU753" s="473"/>
      <c r="AV753" s="1164"/>
      <c r="AW753" s="1164"/>
      <c r="AX753" s="1236"/>
      <c r="AY753" s="473"/>
      <c r="AZ753" s="1236"/>
      <c r="BA753" s="473"/>
      <c r="BB753" s="473"/>
      <c r="BC753" s="1164"/>
      <c r="BD753" s="20"/>
      <c r="BE753" s="473"/>
      <c r="BF753" s="610"/>
      <c r="BG753" s="610"/>
      <c r="BH753" s="610"/>
      <c r="BI753" s="610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</row>
    <row r="754" spans="1:148" s="22" customFormat="1" x14ac:dyDescent="0.25">
      <c r="A754" s="20"/>
      <c r="B754" s="16"/>
      <c r="C754" s="473"/>
      <c r="D754" s="473"/>
      <c r="E754" s="1164"/>
      <c r="F754" s="473"/>
      <c r="G754" s="473"/>
      <c r="H754" s="1164"/>
      <c r="I754" s="473"/>
      <c r="J754" s="473"/>
      <c r="K754" s="1164"/>
      <c r="L754" s="473"/>
      <c r="M754" s="473"/>
      <c r="N754" s="1164"/>
      <c r="O754" s="473"/>
      <c r="P754" s="473"/>
      <c r="Q754" s="1164"/>
      <c r="R754" s="473"/>
      <c r="S754" s="473"/>
      <c r="T754" s="1164"/>
      <c r="U754" s="1164"/>
      <c r="V754" s="473"/>
      <c r="W754" s="473"/>
      <c r="X754" s="1164"/>
      <c r="Y754" s="473"/>
      <c r="Z754" s="473"/>
      <c r="AA754" s="1164"/>
      <c r="AB754" s="473"/>
      <c r="AC754" s="1164"/>
      <c r="AD754" s="473"/>
      <c r="AE754" s="1164"/>
      <c r="AF754" s="473"/>
      <c r="AG754" s="1164"/>
      <c r="AH754" s="473"/>
      <c r="AI754" s="473"/>
      <c r="AJ754" s="1164"/>
      <c r="AK754" s="473"/>
      <c r="AL754" s="473"/>
      <c r="AM754" s="1164"/>
      <c r="AN754" s="473"/>
      <c r="AO754" s="473"/>
      <c r="AP754" s="1164"/>
      <c r="AQ754" s="473"/>
      <c r="AR754" s="473"/>
      <c r="AS754" s="1236"/>
      <c r="AT754" s="473"/>
      <c r="AU754" s="473"/>
      <c r="AV754" s="1164"/>
      <c r="AW754" s="1164"/>
      <c r="AX754" s="1236"/>
      <c r="AY754" s="473"/>
      <c r="AZ754" s="1236"/>
      <c r="BA754" s="473"/>
      <c r="BB754" s="473"/>
      <c r="BC754" s="1164"/>
      <c r="BD754" s="20"/>
      <c r="BE754" s="473"/>
      <c r="BF754" s="610"/>
      <c r="BG754" s="610"/>
      <c r="BH754" s="610"/>
      <c r="BI754" s="610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</row>
    <row r="755" spans="1:148" s="22" customFormat="1" x14ac:dyDescent="0.25">
      <c r="A755" s="20"/>
      <c r="B755" s="16"/>
      <c r="C755" s="473"/>
      <c r="D755" s="473"/>
      <c r="E755" s="1164"/>
      <c r="F755" s="473"/>
      <c r="G755" s="473"/>
      <c r="H755" s="1164"/>
      <c r="I755" s="473"/>
      <c r="J755" s="473"/>
      <c r="K755" s="1164"/>
      <c r="L755" s="473"/>
      <c r="M755" s="473"/>
      <c r="N755" s="1164"/>
      <c r="O755" s="473"/>
      <c r="P755" s="473"/>
      <c r="Q755" s="1164"/>
      <c r="R755" s="473"/>
      <c r="S755" s="473"/>
      <c r="T755" s="1164"/>
      <c r="U755" s="1164"/>
      <c r="V755" s="473"/>
      <c r="W755" s="473"/>
      <c r="X755" s="1164"/>
      <c r="Y755" s="473"/>
      <c r="Z755" s="473"/>
      <c r="AA755" s="1164"/>
      <c r="AB755" s="473"/>
      <c r="AC755" s="1164"/>
      <c r="AD755" s="473"/>
      <c r="AE755" s="1164"/>
      <c r="AF755" s="473"/>
      <c r="AG755" s="1164"/>
      <c r="AH755" s="473"/>
      <c r="AI755" s="473"/>
      <c r="AJ755" s="1164"/>
      <c r="AK755" s="473"/>
      <c r="AL755" s="473"/>
      <c r="AM755" s="1164"/>
      <c r="AN755" s="473"/>
      <c r="AO755" s="473"/>
      <c r="AP755" s="1164"/>
      <c r="AQ755" s="473"/>
      <c r="AR755" s="473"/>
      <c r="AS755" s="1236"/>
      <c r="AT755" s="473"/>
      <c r="AU755" s="473"/>
      <c r="AV755" s="1164"/>
      <c r="AW755" s="1164"/>
      <c r="AX755" s="1236"/>
      <c r="AY755" s="473"/>
      <c r="AZ755" s="1236"/>
      <c r="BA755" s="473"/>
      <c r="BB755" s="473"/>
      <c r="BC755" s="1164"/>
      <c r="BD755" s="20"/>
      <c r="BE755" s="473"/>
      <c r="BF755" s="610"/>
      <c r="BG755" s="610"/>
      <c r="BH755" s="610"/>
      <c r="BI755" s="610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</row>
    <row r="756" spans="1:148" s="22" customFormat="1" x14ac:dyDescent="0.25">
      <c r="A756" s="20"/>
      <c r="B756" s="16"/>
      <c r="C756" s="473"/>
      <c r="D756" s="473"/>
      <c r="E756" s="1164"/>
      <c r="F756" s="473"/>
      <c r="G756" s="473"/>
      <c r="H756" s="1164"/>
      <c r="I756" s="473"/>
      <c r="J756" s="473"/>
      <c r="K756" s="1164"/>
      <c r="L756" s="473"/>
      <c r="M756" s="473"/>
      <c r="N756" s="1164"/>
      <c r="O756" s="473"/>
      <c r="P756" s="473"/>
      <c r="Q756" s="1164"/>
      <c r="R756" s="473"/>
      <c r="S756" s="473"/>
      <c r="T756" s="1164"/>
      <c r="U756" s="1164"/>
      <c r="V756" s="473"/>
      <c r="W756" s="473"/>
      <c r="X756" s="1164"/>
      <c r="Y756" s="473"/>
      <c r="Z756" s="473"/>
      <c r="AA756" s="1164"/>
      <c r="AB756" s="473"/>
      <c r="AC756" s="1164"/>
      <c r="AD756" s="473"/>
      <c r="AE756" s="1164"/>
      <c r="AF756" s="473"/>
      <c r="AG756" s="1164"/>
      <c r="AH756" s="473"/>
      <c r="AI756" s="473"/>
      <c r="AJ756" s="1164"/>
      <c r="AK756" s="473"/>
      <c r="AL756" s="473"/>
      <c r="AM756" s="1164"/>
      <c r="AN756" s="473"/>
      <c r="AO756" s="473"/>
      <c r="AP756" s="1164"/>
      <c r="AQ756" s="473"/>
      <c r="AR756" s="473"/>
      <c r="AS756" s="1236"/>
      <c r="AT756" s="473"/>
      <c r="AU756" s="473"/>
      <c r="AV756" s="1164"/>
      <c r="AW756" s="1164"/>
      <c r="AX756" s="1236"/>
      <c r="AY756" s="473"/>
      <c r="AZ756" s="1236"/>
      <c r="BA756" s="473"/>
      <c r="BB756" s="473"/>
      <c r="BC756" s="1164"/>
      <c r="BD756" s="20"/>
      <c r="BE756" s="473"/>
      <c r="BF756" s="610"/>
      <c r="BG756" s="610"/>
      <c r="BH756" s="610"/>
      <c r="BI756" s="610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</row>
    <row r="757" spans="1:148" s="22" customFormat="1" x14ac:dyDescent="0.25">
      <c r="A757" s="20"/>
      <c r="B757" s="16"/>
      <c r="C757" s="473"/>
      <c r="D757" s="473"/>
      <c r="E757" s="1164"/>
      <c r="F757" s="473"/>
      <c r="G757" s="473"/>
      <c r="H757" s="1164"/>
      <c r="I757" s="473"/>
      <c r="J757" s="473"/>
      <c r="K757" s="1164"/>
      <c r="L757" s="473"/>
      <c r="M757" s="473"/>
      <c r="N757" s="1164"/>
      <c r="O757" s="473"/>
      <c r="P757" s="473"/>
      <c r="Q757" s="1164"/>
      <c r="R757" s="473"/>
      <c r="S757" s="473"/>
      <c r="T757" s="1164"/>
      <c r="U757" s="1164"/>
      <c r="V757" s="473"/>
      <c r="W757" s="473"/>
      <c r="X757" s="1164"/>
      <c r="Y757" s="473"/>
      <c r="Z757" s="473"/>
      <c r="AA757" s="1164"/>
      <c r="AB757" s="473"/>
      <c r="AC757" s="1164"/>
      <c r="AD757" s="473"/>
      <c r="AE757" s="1164"/>
      <c r="AF757" s="473"/>
      <c r="AG757" s="1164"/>
      <c r="AH757" s="473"/>
      <c r="AI757" s="473"/>
      <c r="AJ757" s="1164"/>
      <c r="AK757" s="473"/>
      <c r="AL757" s="473"/>
      <c r="AM757" s="1164"/>
      <c r="AN757" s="473"/>
      <c r="AO757" s="473"/>
      <c r="AP757" s="1164"/>
      <c r="AQ757" s="473"/>
      <c r="AR757" s="473"/>
      <c r="AS757" s="1236"/>
      <c r="AT757" s="473"/>
      <c r="AU757" s="473"/>
      <c r="AV757" s="1164"/>
      <c r="AW757" s="1164"/>
      <c r="AX757" s="1236"/>
      <c r="AY757" s="473"/>
      <c r="AZ757" s="1236"/>
      <c r="BA757" s="473"/>
      <c r="BB757" s="473"/>
      <c r="BC757" s="1164"/>
      <c r="BD757" s="20"/>
      <c r="BE757" s="473"/>
      <c r="BF757" s="610"/>
      <c r="BG757" s="610"/>
      <c r="BH757" s="610"/>
      <c r="BI757" s="610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</row>
    <row r="758" spans="1:148" s="22" customFormat="1" x14ac:dyDescent="0.25">
      <c r="A758" s="20"/>
      <c r="B758" s="16"/>
      <c r="C758" s="473"/>
      <c r="D758" s="473"/>
      <c r="E758" s="1164"/>
      <c r="F758" s="473"/>
      <c r="G758" s="473"/>
      <c r="H758" s="1164"/>
      <c r="I758" s="473"/>
      <c r="J758" s="473"/>
      <c r="K758" s="1164"/>
      <c r="L758" s="473"/>
      <c r="M758" s="473"/>
      <c r="N758" s="1164"/>
      <c r="O758" s="473"/>
      <c r="P758" s="473"/>
      <c r="Q758" s="1164"/>
      <c r="R758" s="473"/>
      <c r="S758" s="473"/>
      <c r="T758" s="1164"/>
      <c r="U758" s="1164"/>
      <c r="V758" s="473"/>
      <c r="W758" s="473"/>
      <c r="X758" s="1164"/>
      <c r="Y758" s="473"/>
      <c r="Z758" s="473"/>
      <c r="AA758" s="1164"/>
      <c r="AB758" s="473"/>
      <c r="AC758" s="1164"/>
      <c r="AD758" s="473"/>
      <c r="AE758" s="1164"/>
      <c r="AF758" s="473"/>
      <c r="AG758" s="1164"/>
      <c r="AH758" s="473"/>
      <c r="AI758" s="473"/>
      <c r="AJ758" s="1164"/>
      <c r="AK758" s="473"/>
      <c r="AL758" s="473"/>
      <c r="AM758" s="1164"/>
      <c r="AN758" s="473"/>
      <c r="AO758" s="473"/>
      <c r="AP758" s="1164"/>
      <c r="AQ758" s="473"/>
      <c r="AR758" s="473"/>
      <c r="AS758" s="1236"/>
      <c r="AT758" s="473"/>
      <c r="AU758" s="473"/>
      <c r="AV758" s="1164"/>
      <c r="AW758" s="1164"/>
      <c r="AX758" s="1236"/>
      <c r="AY758" s="473"/>
      <c r="AZ758" s="1236"/>
      <c r="BA758" s="473"/>
      <c r="BB758" s="473"/>
      <c r="BC758" s="1164"/>
      <c r="BD758" s="20"/>
      <c r="BE758" s="473"/>
      <c r="BF758" s="610"/>
      <c r="BG758" s="610"/>
      <c r="BH758" s="610"/>
      <c r="BI758" s="610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</row>
    <row r="759" spans="1:148" s="22" customFormat="1" x14ac:dyDescent="0.25">
      <c r="A759" s="20"/>
      <c r="B759" s="16"/>
      <c r="C759" s="473"/>
      <c r="D759" s="473"/>
      <c r="E759" s="1164"/>
      <c r="F759" s="473"/>
      <c r="G759" s="473"/>
      <c r="H759" s="1164"/>
      <c r="I759" s="473"/>
      <c r="J759" s="473"/>
      <c r="K759" s="1164"/>
      <c r="L759" s="473"/>
      <c r="M759" s="473"/>
      <c r="N759" s="1164"/>
      <c r="O759" s="473"/>
      <c r="P759" s="473"/>
      <c r="Q759" s="1164"/>
      <c r="R759" s="473"/>
      <c r="S759" s="473"/>
      <c r="T759" s="1164"/>
      <c r="U759" s="1164"/>
      <c r="V759" s="473"/>
      <c r="W759" s="473"/>
      <c r="X759" s="1164"/>
      <c r="Y759" s="473"/>
      <c r="Z759" s="473"/>
      <c r="AA759" s="1164"/>
      <c r="AB759" s="473"/>
      <c r="AC759" s="1164"/>
      <c r="AD759" s="473"/>
      <c r="AE759" s="1164"/>
      <c r="AF759" s="473"/>
      <c r="AG759" s="1164"/>
      <c r="AH759" s="473"/>
      <c r="AI759" s="473"/>
      <c r="AJ759" s="1164"/>
      <c r="AK759" s="473"/>
      <c r="AL759" s="473"/>
      <c r="AM759" s="1164"/>
      <c r="AN759" s="473"/>
      <c r="AO759" s="473"/>
      <c r="AP759" s="1164"/>
      <c r="AQ759" s="473"/>
      <c r="AR759" s="473"/>
      <c r="AS759" s="1236"/>
      <c r="AT759" s="473"/>
      <c r="AU759" s="473"/>
      <c r="AV759" s="1164"/>
      <c r="AW759" s="1164"/>
      <c r="AX759" s="1236"/>
      <c r="AY759" s="473"/>
      <c r="AZ759" s="1236"/>
      <c r="BA759" s="473"/>
      <c r="BB759" s="473"/>
      <c r="BC759" s="1164"/>
      <c r="BD759" s="20"/>
      <c r="BE759" s="473"/>
      <c r="BF759" s="610"/>
      <c r="BG759" s="610"/>
      <c r="BH759" s="610"/>
      <c r="BI759" s="610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</row>
    <row r="760" spans="1:148" s="22" customFormat="1" x14ac:dyDescent="0.25">
      <c r="A760" s="20"/>
      <c r="B760" s="16"/>
      <c r="C760" s="473"/>
      <c r="D760" s="473"/>
      <c r="E760" s="1164"/>
      <c r="F760" s="473"/>
      <c r="G760" s="473"/>
      <c r="H760" s="1164"/>
      <c r="I760" s="473"/>
      <c r="J760" s="473"/>
      <c r="K760" s="1164"/>
      <c r="L760" s="473"/>
      <c r="M760" s="473"/>
      <c r="N760" s="1164"/>
      <c r="O760" s="473"/>
      <c r="P760" s="473"/>
      <c r="Q760" s="1164"/>
      <c r="R760" s="473"/>
      <c r="S760" s="473"/>
      <c r="T760" s="1164"/>
      <c r="U760" s="1164"/>
      <c r="V760" s="473"/>
      <c r="W760" s="473"/>
      <c r="X760" s="1164"/>
      <c r="Y760" s="473"/>
      <c r="Z760" s="473"/>
      <c r="AA760" s="1164"/>
      <c r="AB760" s="473"/>
      <c r="AC760" s="1164"/>
      <c r="AD760" s="473"/>
      <c r="AE760" s="1164"/>
      <c r="AF760" s="473"/>
      <c r="AG760" s="1164"/>
      <c r="AH760" s="473"/>
      <c r="AI760" s="473"/>
      <c r="AJ760" s="1164"/>
      <c r="AK760" s="473"/>
      <c r="AL760" s="473"/>
      <c r="AM760" s="1164"/>
      <c r="AN760" s="473"/>
      <c r="AO760" s="473"/>
      <c r="AP760" s="1164"/>
      <c r="AQ760" s="473"/>
      <c r="AR760" s="473"/>
      <c r="AS760" s="1236"/>
      <c r="AT760" s="473"/>
      <c r="AU760" s="473"/>
      <c r="AV760" s="1164"/>
      <c r="AW760" s="1164"/>
      <c r="AX760" s="1236"/>
      <c r="AY760" s="473"/>
      <c r="AZ760" s="1236"/>
      <c r="BA760" s="473"/>
      <c r="BB760" s="473"/>
      <c r="BC760" s="1164"/>
      <c r="BD760" s="20"/>
      <c r="BE760" s="473"/>
      <c r="BF760" s="610"/>
      <c r="BG760" s="610"/>
      <c r="BH760" s="610"/>
      <c r="BI760" s="610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</row>
    <row r="761" spans="1:148" s="22" customFormat="1" x14ac:dyDescent="0.25">
      <c r="A761" s="20"/>
      <c r="B761" s="16"/>
      <c r="C761" s="473"/>
      <c r="D761" s="473"/>
      <c r="E761" s="1164"/>
      <c r="F761" s="473"/>
      <c r="G761" s="473"/>
      <c r="H761" s="1164"/>
      <c r="I761" s="473"/>
      <c r="J761" s="473"/>
      <c r="K761" s="1164"/>
      <c r="L761" s="473"/>
      <c r="M761" s="473"/>
      <c r="N761" s="1164"/>
      <c r="O761" s="473"/>
      <c r="P761" s="473"/>
      <c r="Q761" s="1164"/>
      <c r="R761" s="473"/>
      <c r="S761" s="473"/>
      <c r="T761" s="1164"/>
      <c r="U761" s="1164"/>
      <c r="V761" s="473"/>
      <c r="W761" s="473"/>
      <c r="X761" s="1164"/>
      <c r="Y761" s="473"/>
      <c r="Z761" s="473"/>
      <c r="AA761" s="1164"/>
      <c r="AB761" s="473"/>
      <c r="AC761" s="1164"/>
      <c r="AD761" s="473"/>
      <c r="AE761" s="1164"/>
      <c r="AF761" s="473"/>
      <c r="AG761" s="1164"/>
      <c r="AH761" s="473"/>
      <c r="AI761" s="473"/>
      <c r="AJ761" s="1164"/>
      <c r="AK761" s="473"/>
      <c r="AL761" s="473"/>
      <c r="AM761" s="1164"/>
      <c r="AN761" s="473"/>
      <c r="AO761" s="473"/>
      <c r="AP761" s="1164"/>
      <c r="AQ761" s="473"/>
      <c r="AR761" s="473"/>
      <c r="AS761" s="1236"/>
      <c r="AT761" s="473"/>
      <c r="AU761" s="473"/>
      <c r="AV761" s="1164"/>
      <c r="AW761" s="1164"/>
      <c r="AX761" s="1236"/>
      <c r="AY761" s="473"/>
      <c r="AZ761" s="1236"/>
      <c r="BA761" s="473"/>
      <c r="BB761" s="473"/>
      <c r="BC761" s="1164"/>
      <c r="BD761" s="20"/>
      <c r="BE761" s="473"/>
      <c r="BF761" s="610"/>
      <c r="BG761" s="610"/>
      <c r="BH761" s="610"/>
      <c r="BI761" s="610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</row>
    <row r="762" spans="1:148" s="22" customFormat="1" x14ac:dyDescent="0.25">
      <c r="A762" s="20"/>
      <c r="B762" s="16"/>
      <c r="C762" s="473"/>
      <c r="D762" s="473"/>
      <c r="E762" s="1164"/>
      <c r="F762" s="473"/>
      <c r="G762" s="473"/>
      <c r="H762" s="1164"/>
      <c r="I762" s="473"/>
      <c r="J762" s="473"/>
      <c r="K762" s="1164"/>
      <c r="L762" s="473"/>
      <c r="M762" s="473"/>
      <c r="N762" s="1164"/>
      <c r="O762" s="473"/>
      <c r="P762" s="473"/>
      <c r="Q762" s="1164"/>
      <c r="R762" s="473"/>
      <c r="S762" s="473"/>
      <c r="T762" s="1164"/>
      <c r="U762" s="1164"/>
      <c r="V762" s="473"/>
      <c r="W762" s="473"/>
      <c r="X762" s="1164"/>
      <c r="Y762" s="473"/>
      <c r="Z762" s="473"/>
      <c r="AA762" s="1164"/>
      <c r="AB762" s="473"/>
      <c r="AC762" s="1164"/>
      <c r="AD762" s="473"/>
      <c r="AE762" s="1164"/>
      <c r="AF762" s="473"/>
      <c r="AG762" s="1164"/>
      <c r="AH762" s="473"/>
      <c r="AI762" s="473"/>
      <c r="AJ762" s="1164"/>
      <c r="AK762" s="473"/>
      <c r="AL762" s="473"/>
      <c r="AM762" s="1164"/>
      <c r="AN762" s="473"/>
      <c r="AO762" s="473"/>
      <c r="AP762" s="1164"/>
      <c r="AQ762" s="473"/>
      <c r="AR762" s="473"/>
      <c r="AS762" s="1236"/>
      <c r="AT762" s="473"/>
      <c r="AU762" s="473"/>
      <c r="AV762" s="1164"/>
      <c r="AW762" s="1164"/>
      <c r="AX762" s="1236"/>
      <c r="AY762" s="473"/>
      <c r="AZ762" s="1236"/>
      <c r="BA762" s="473"/>
      <c r="BB762" s="473"/>
      <c r="BC762" s="1164"/>
      <c r="BD762" s="20"/>
      <c r="BE762" s="473"/>
      <c r="BF762" s="610"/>
      <c r="BG762" s="610"/>
      <c r="BH762" s="610"/>
      <c r="BI762" s="610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</row>
    <row r="763" spans="1:148" s="22" customFormat="1" x14ac:dyDescent="0.25">
      <c r="A763" s="20"/>
      <c r="B763" s="16"/>
      <c r="C763" s="473"/>
      <c r="D763" s="473"/>
      <c r="E763" s="1164"/>
      <c r="F763" s="473"/>
      <c r="G763" s="473"/>
      <c r="H763" s="1164"/>
      <c r="I763" s="473"/>
      <c r="J763" s="473"/>
      <c r="K763" s="1164"/>
      <c r="L763" s="473"/>
      <c r="M763" s="473"/>
      <c r="N763" s="1164"/>
      <c r="O763" s="473"/>
      <c r="P763" s="473"/>
      <c r="Q763" s="1164"/>
      <c r="R763" s="473"/>
      <c r="S763" s="473"/>
      <c r="T763" s="1164"/>
      <c r="U763" s="1164"/>
      <c r="V763" s="473"/>
      <c r="W763" s="473"/>
      <c r="X763" s="1164"/>
      <c r="Y763" s="473"/>
      <c r="Z763" s="473"/>
      <c r="AA763" s="1164"/>
      <c r="AB763" s="473"/>
      <c r="AC763" s="1164"/>
      <c r="AD763" s="473"/>
      <c r="AE763" s="1164"/>
      <c r="AF763" s="473"/>
      <c r="AG763" s="1164"/>
      <c r="AH763" s="473"/>
      <c r="AI763" s="473"/>
      <c r="AJ763" s="1164"/>
      <c r="AK763" s="473"/>
      <c r="AL763" s="473"/>
      <c r="AM763" s="1164"/>
      <c r="AN763" s="473"/>
      <c r="AO763" s="473"/>
      <c r="AP763" s="1164"/>
      <c r="AQ763" s="473"/>
      <c r="AR763" s="473"/>
      <c r="AS763" s="1236"/>
      <c r="AT763" s="473"/>
      <c r="AU763" s="473"/>
      <c r="AV763" s="1164"/>
      <c r="AW763" s="1164"/>
      <c r="AX763" s="1236"/>
      <c r="AY763" s="473"/>
      <c r="AZ763" s="1236"/>
      <c r="BA763" s="473"/>
      <c r="BB763" s="473"/>
      <c r="BC763" s="1164"/>
      <c r="BD763" s="20"/>
      <c r="BE763" s="473"/>
      <c r="BF763" s="610"/>
      <c r="BG763" s="610"/>
      <c r="BH763" s="610"/>
      <c r="BI763" s="610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</row>
    <row r="764" spans="1:148" s="22" customFormat="1" x14ac:dyDescent="0.25">
      <c r="A764" s="20"/>
      <c r="B764" s="16"/>
      <c r="C764" s="473"/>
      <c r="D764" s="473"/>
      <c r="E764" s="1164"/>
      <c r="F764" s="473"/>
      <c r="G764" s="473"/>
      <c r="H764" s="1164"/>
      <c r="I764" s="473"/>
      <c r="J764" s="473"/>
      <c r="K764" s="1164"/>
      <c r="L764" s="473"/>
      <c r="M764" s="473"/>
      <c r="N764" s="1164"/>
      <c r="O764" s="473"/>
      <c r="P764" s="473"/>
      <c r="Q764" s="1164"/>
      <c r="R764" s="473"/>
      <c r="S764" s="473"/>
      <c r="T764" s="1164"/>
      <c r="U764" s="1164"/>
      <c r="V764" s="473"/>
      <c r="W764" s="473"/>
      <c r="X764" s="1164"/>
      <c r="Y764" s="473"/>
      <c r="Z764" s="473"/>
      <c r="AA764" s="1164"/>
      <c r="AB764" s="473"/>
      <c r="AC764" s="1164"/>
      <c r="AD764" s="473"/>
      <c r="AE764" s="1164"/>
      <c r="AF764" s="473"/>
      <c r="AG764" s="1164"/>
      <c r="AH764" s="473"/>
      <c r="AI764" s="473"/>
      <c r="AJ764" s="1164"/>
      <c r="AK764" s="473"/>
      <c r="AL764" s="473"/>
      <c r="AM764" s="1164"/>
      <c r="AN764" s="473"/>
      <c r="AO764" s="473"/>
      <c r="AP764" s="1164"/>
      <c r="AQ764" s="473"/>
      <c r="AR764" s="473"/>
      <c r="AS764" s="1236"/>
      <c r="AT764" s="473"/>
      <c r="AU764" s="473"/>
      <c r="AV764" s="1164"/>
      <c r="AW764" s="1164"/>
      <c r="AX764" s="1236"/>
      <c r="AY764" s="473"/>
      <c r="AZ764" s="1236"/>
      <c r="BA764" s="473"/>
      <c r="BB764" s="473"/>
      <c r="BC764" s="1164"/>
      <c r="BD764" s="20"/>
      <c r="BE764" s="473"/>
      <c r="BF764" s="610"/>
      <c r="BG764" s="610"/>
      <c r="BH764" s="610"/>
      <c r="BI764" s="610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</row>
    <row r="765" spans="1:148" s="22" customFormat="1" x14ac:dyDescent="0.25">
      <c r="A765" s="20"/>
      <c r="B765" s="16"/>
      <c r="C765" s="473"/>
      <c r="D765" s="473"/>
      <c r="E765" s="1164"/>
      <c r="F765" s="473"/>
      <c r="G765" s="473"/>
      <c r="H765" s="1164"/>
      <c r="I765" s="473"/>
      <c r="J765" s="473"/>
      <c r="K765" s="1164"/>
      <c r="L765" s="473"/>
      <c r="M765" s="473"/>
      <c r="N765" s="1164"/>
      <c r="O765" s="473"/>
      <c r="P765" s="473"/>
      <c r="Q765" s="1164"/>
      <c r="R765" s="473"/>
      <c r="S765" s="473"/>
      <c r="T765" s="1164"/>
      <c r="U765" s="1164"/>
      <c r="V765" s="473"/>
      <c r="W765" s="473"/>
      <c r="X765" s="1164"/>
      <c r="Y765" s="473"/>
      <c r="Z765" s="473"/>
      <c r="AA765" s="1164"/>
      <c r="AB765" s="473"/>
      <c r="AC765" s="1164"/>
      <c r="AD765" s="473"/>
      <c r="AE765" s="1164"/>
      <c r="AF765" s="473"/>
      <c r="AG765" s="1164"/>
      <c r="AH765" s="473"/>
      <c r="AI765" s="473"/>
      <c r="AJ765" s="1164"/>
      <c r="AK765" s="473"/>
      <c r="AL765" s="473"/>
      <c r="AM765" s="1164"/>
      <c r="AN765" s="473"/>
      <c r="AO765" s="473"/>
      <c r="AP765" s="1164"/>
      <c r="AQ765" s="473"/>
      <c r="AR765" s="473"/>
      <c r="AS765" s="1236"/>
      <c r="AT765" s="473"/>
      <c r="AU765" s="473"/>
      <c r="AV765" s="1164"/>
      <c r="AW765" s="1164"/>
      <c r="AX765" s="1236"/>
      <c r="AY765" s="473"/>
      <c r="AZ765" s="1236"/>
      <c r="BA765" s="473"/>
      <c r="BB765" s="473"/>
      <c r="BC765" s="1164"/>
      <c r="BD765" s="20"/>
      <c r="BE765" s="473"/>
      <c r="BF765" s="610"/>
      <c r="BG765" s="610"/>
      <c r="BH765" s="610"/>
      <c r="BI765" s="610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</row>
    <row r="766" spans="1:148" s="22" customFormat="1" x14ac:dyDescent="0.25">
      <c r="A766" s="20"/>
      <c r="B766" s="16"/>
      <c r="C766" s="473"/>
      <c r="D766" s="473"/>
      <c r="E766" s="1164"/>
      <c r="F766" s="473"/>
      <c r="G766" s="473"/>
      <c r="H766" s="1164"/>
      <c r="I766" s="473"/>
      <c r="J766" s="473"/>
      <c r="K766" s="1164"/>
      <c r="L766" s="473"/>
      <c r="M766" s="473"/>
      <c r="N766" s="1164"/>
      <c r="O766" s="473"/>
      <c r="P766" s="473"/>
      <c r="Q766" s="1164"/>
      <c r="R766" s="473"/>
      <c r="S766" s="473"/>
      <c r="T766" s="1164"/>
      <c r="U766" s="1164"/>
      <c r="V766" s="473"/>
      <c r="W766" s="473"/>
      <c r="X766" s="1164"/>
      <c r="Y766" s="473"/>
      <c r="Z766" s="473"/>
      <c r="AA766" s="1164"/>
      <c r="AB766" s="473"/>
      <c r="AC766" s="1164"/>
      <c r="AD766" s="473"/>
      <c r="AE766" s="1164"/>
      <c r="AF766" s="473"/>
      <c r="AG766" s="1164"/>
      <c r="AH766" s="473"/>
      <c r="AI766" s="473"/>
      <c r="AJ766" s="1164"/>
      <c r="AK766" s="473"/>
      <c r="AL766" s="473"/>
      <c r="AM766" s="1164"/>
      <c r="AN766" s="473"/>
      <c r="AO766" s="473"/>
      <c r="AP766" s="1164"/>
      <c r="AQ766" s="473"/>
      <c r="AR766" s="473"/>
      <c r="AS766" s="1236"/>
      <c r="AT766" s="473"/>
      <c r="AU766" s="473"/>
      <c r="AV766" s="1164"/>
      <c r="AW766" s="1164"/>
      <c r="AX766" s="1236"/>
      <c r="AY766" s="473"/>
      <c r="AZ766" s="1236"/>
      <c r="BA766" s="473"/>
      <c r="BB766" s="473"/>
      <c r="BC766" s="1164"/>
      <c r="BD766" s="20"/>
      <c r="BE766" s="473"/>
      <c r="BF766" s="610"/>
      <c r="BG766" s="610"/>
      <c r="BH766" s="610"/>
      <c r="BI766" s="610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</row>
    <row r="767" spans="1:148" s="22" customFormat="1" x14ac:dyDescent="0.25">
      <c r="A767" s="20"/>
      <c r="B767" s="16"/>
      <c r="C767" s="473"/>
      <c r="D767" s="473"/>
      <c r="E767" s="1164"/>
      <c r="F767" s="473"/>
      <c r="G767" s="473"/>
      <c r="H767" s="1164"/>
      <c r="I767" s="473"/>
      <c r="J767" s="473"/>
      <c r="K767" s="1164"/>
      <c r="L767" s="473"/>
      <c r="M767" s="473"/>
      <c r="N767" s="1164"/>
      <c r="O767" s="473"/>
      <c r="P767" s="473"/>
      <c r="Q767" s="1164"/>
      <c r="R767" s="473"/>
      <c r="S767" s="473"/>
      <c r="T767" s="1164"/>
      <c r="U767" s="1164"/>
      <c r="V767" s="473"/>
      <c r="W767" s="473"/>
      <c r="X767" s="1164"/>
      <c r="Y767" s="473"/>
      <c r="Z767" s="473"/>
      <c r="AA767" s="1164"/>
      <c r="AB767" s="473"/>
      <c r="AC767" s="1164"/>
      <c r="AD767" s="473"/>
      <c r="AE767" s="1164"/>
      <c r="AF767" s="473"/>
      <c r="AG767" s="1164"/>
      <c r="AH767" s="473"/>
      <c r="AI767" s="473"/>
      <c r="AJ767" s="1164"/>
      <c r="AK767" s="473"/>
      <c r="AL767" s="473"/>
      <c r="AM767" s="1164"/>
      <c r="AN767" s="473"/>
      <c r="AO767" s="473"/>
      <c r="AP767" s="1164"/>
      <c r="AQ767" s="473"/>
      <c r="AR767" s="473"/>
      <c r="AS767" s="1236"/>
      <c r="AT767" s="473"/>
      <c r="AU767" s="473"/>
      <c r="AV767" s="1164"/>
      <c r="AW767" s="1164"/>
      <c r="AX767" s="1236"/>
      <c r="AY767" s="473"/>
      <c r="AZ767" s="1236"/>
      <c r="BA767" s="473"/>
      <c r="BB767" s="473"/>
      <c r="BC767" s="1164"/>
      <c r="BD767" s="20"/>
      <c r="BE767" s="473"/>
      <c r="BF767" s="610"/>
      <c r="BG767" s="610"/>
      <c r="BH767" s="610"/>
      <c r="BI767" s="610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</row>
    <row r="768" spans="1:148" s="22" customFormat="1" x14ac:dyDescent="0.25">
      <c r="A768" s="20"/>
      <c r="B768" s="16"/>
      <c r="C768" s="473"/>
      <c r="D768" s="473"/>
      <c r="E768" s="1164"/>
      <c r="F768" s="473"/>
      <c r="G768" s="473"/>
      <c r="H768" s="1164"/>
      <c r="I768" s="473"/>
      <c r="J768" s="473"/>
      <c r="K768" s="1164"/>
      <c r="L768" s="473"/>
      <c r="M768" s="473"/>
      <c r="N768" s="1164"/>
      <c r="O768" s="473"/>
      <c r="P768" s="473"/>
      <c r="Q768" s="1164"/>
      <c r="R768" s="473"/>
      <c r="S768" s="473"/>
      <c r="T768" s="1164"/>
      <c r="U768" s="1164"/>
      <c r="V768" s="473"/>
      <c r="W768" s="473"/>
      <c r="X768" s="1164"/>
      <c r="Y768" s="473"/>
      <c r="Z768" s="473"/>
      <c r="AA768" s="1164"/>
      <c r="AB768" s="473"/>
      <c r="AC768" s="1164"/>
      <c r="AD768" s="473"/>
      <c r="AE768" s="1164"/>
      <c r="AF768" s="473"/>
      <c r="AG768" s="1164"/>
      <c r="AH768" s="473"/>
      <c r="AI768" s="473"/>
      <c r="AJ768" s="1164"/>
      <c r="AK768" s="473"/>
      <c r="AL768" s="473"/>
      <c r="AM768" s="1164"/>
      <c r="AN768" s="473"/>
      <c r="AO768" s="473"/>
      <c r="AP768" s="1164"/>
      <c r="AQ768" s="473"/>
      <c r="AR768" s="473"/>
      <c r="AS768" s="1236"/>
      <c r="AT768" s="473"/>
      <c r="AU768" s="473"/>
      <c r="AV768" s="1164"/>
      <c r="AW768" s="1164"/>
      <c r="AX768" s="1236"/>
      <c r="AY768" s="473"/>
      <c r="AZ768" s="1236"/>
      <c r="BA768" s="473"/>
      <c r="BB768" s="473"/>
      <c r="BC768" s="1164"/>
      <c r="BD768" s="20"/>
      <c r="BE768" s="473"/>
      <c r="BF768" s="610"/>
      <c r="BG768" s="610"/>
      <c r="BH768" s="610"/>
      <c r="BI768" s="610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</row>
    <row r="769" spans="1:148" s="22" customFormat="1" x14ac:dyDescent="0.25">
      <c r="A769" s="20"/>
      <c r="B769" s="16"/>
      <c r="C769" s="473"/>
      <c r="D769" s="473"/>
      <c r="E769" s="1164"/>
      <c r="F769" s="473"/>
      <c r="G769" s="473"/>
      <c r="H769" s="1164"/>
      <c r="I769" s="473"/>
      <c r="J769" s="473"/>
      <c r="K769" s="1164"/>
      <c r="L769" s="473"/>
      <c r="M769" s="473"/>
      <c r="N769" s="1164"/>
      <c r="O769" s="473"/>
      <c r="P769" s="473"/>
      <c r="Q769" s="1164"/>
      <c r="R769" s="473"/>
      <c r="S769" s="473"/>
      <c r="T769" s="1164"/>
      <c r="U769" s="1164"/>
      <c r="V769" s="473"/>
      <c r="W769" s="473"/>
      <c r="X769" s="1164"/>
      <c r="Y769" s="473"/>
      <c r="Z769" s="473"/>
      <c r="AA769" s="1164"/>
      <c r="AB769" s="473"/>
      <c r="AC769" s="1164"/>
      <c r="AD769" s="473"/>
      <c r="AE769" s="1164"/>
      <c r="AF769" s="473"/>
      <c r="AG769" s="1164"/>
      <c r="AH769" s="473"/>
      <c r="AI769" s="473"/>
      <c r="AJ769" s="1164"/>
      <c r="AK769" s="473"/>
      <c r="AL769" s="473"/>
      <c r="AM769" s="1164"/>
      <c r="AN769" s="473"/>
      <c r="AO769" s="473"/>
      <c r="AP769" s="1164"/>
      <c r="AQ769" s="473"/>
      <c r="AR769" s="473"/>
      <c r="AS769" s="1236"/>
      <c r="AT769" s="473"/>
      <c r="AU769" s="473"/>
      <c r="AV769" s="1164"/>
      <c r="AW769" s="1164"/>
      <c r="AX769" s="1236"/>
      <c r="AY769" s="473"/>
      <c r="AZ769" s="1236"/>
      <c r="BA769" s="473"/>
      <c r="BB769" s="473"/>
      <c r="BC769" s="1164"/>
      <c r="BD769" s="20"/>
      <c r="BE769" s="473"/>
      <c r="BF769" s="610"/>
      <c r="BG769" s="610"/>
      <c r="BH769" s="610"/>
      <c r="BI769" s="610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</row>
    <row r="770" spans="1:148" s="22" customFormat="1" x14ac:dyDescent="0.25">
      <c r="A770" s="20"/>
      <c r="B770" s="16"/>
      <c r="C770" s="473"/>
      <c r="D770" s="473"/>
      <c r="E770" s="1164"/>
      <c r="F770" s="473"/>
      <c r="G770" s="473"/>
      <c r="H770" s="1164"/>
      <c r="I770" s="473"/>
      <c r="J770" s="473"/>
      <c r="K770" s="1164"/>
      <c r="L770" s="473"/>
      <c r="M770" s="473"/>
      <c r="N770" s="1164"/>
      <c r="O770" s="473"/>
      <c r="P770" s="473"/>
      <c r="Q770" s="1164"/>
      <c r="R770" s="473"/>
      <c r="S770" s="473"/>
      <c r="T770" s="1164"/>
      <c r="U770" s="1164"/>
      <c r="V770" s="473"/>
      <c r="W770" s="473"/>
      <c r="X770" s="1164"/>
      <c r="Y770" s="473"/>
      <c r="Z770" s="473"/>
      <c r="AA770" s="1164"/>
      <c r="AB770" s="473"/>
      <c r="AC770" s="1164"/>
      <c r="AD770" s="473"/>
      <c r="AE770" s="1164"/>
      <c r="AF770" s="473"/>
      <c r="AG770" s="1164"/>
      <c r="AH770" s="473"/>
      <c r="AI770" s="473"/>
      <c r="AJ770" s="1164"/>
      <c r="AK770" s="473"/>
      <c r="AL770" s="473"/>
      <c r="AM770" s="1164"/>
      <c r="AN770" s="473"/>
      <c r="AO770" s="473"/>
      <c r="AP770" s="1164"/>
      <c r="AQ770" s="473"/>
      <c r="AR770" s="473"/>
      <c r="AS770" s="1236"/>
      <c r="AT770" s="473"/>
      <c r="AU770" s="473"/>
      <c r="AV770" s="1164"/>
      <c r="AW770" s="1164"/>
      <c r="AX770" s="1236"/>
      <c r="AY770" s="473"/>
      <c r="AZ770" s="1236"/>
      <c r="BA770" s="473"/>
      <c r="BB770" s="473"/>
      <c r="BC770" s="1164"/>
      <c r="BD770" s="20"/>
      <c r="BE770" s="473"/>
      <c r="BF770" s="610"/>
      <c r="BG770" s="610"/>
      <c r="BH770" s="610"/>
      <c r="BI770" s="610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</row>
    <row r="771" spans="1:148" s="22" customFormat="1" x14ac:dyDescent="0.25">
      <c r="A771" s="20"/>
      <c r="B771" s="16"/>
      <c r="C771" s="473"/>
      <c r="D771" s="473"/>
      <c r="E771" s="1164"/>
      <c r="F771" s="473"/>
      <c r="G771" s="473"/>
      <c r="H771" s="1164"/>
      <c r="I771" s="473"/>
      <c r="J771" s="473"/>
      <c r="K771" s="1164"/>
      <c r="L771" s="473"/>
      <c r="M771" s="473"/>
      <c r="N771" s="1164"/>
      <c r="O771" s="473"/>
      <c r="P771" s="473"/>
      <c r="Q771" s="1164"/>
      <c r="R771" s="473"/>
      <c r="S771" s="473"/>
      <c r="T771" s="1164"/>
      <c r="U771" s="1164"/>
      <c r="V771" s="473"/>
      <c r="W771" s="473"/>
      <c r="X771" s="1164"/>
      <c r="Y771" s="473"/>
      <c r="Z771" s="473"/>
      <c r="AA771" s="1164"/>
      <c r="AB771" s="473"/>
      <c r="AC771" s="1164"/>
      <c r="AD771" s="473"/>
      <c r="AE771" s="1164"/>
      <c r="AF771" s="473"/>
      <c r="AG771" s="1164"/>
      <c r="AH771" s="473"/>
      <c r="AI771" s="473"/>
      <c r="AJ771" s="1164"/>
      <c r="AK771" s="473"/>
      <c r="AL771" s="473"/>
      <c r="AM771" s="1164"/>
      <c r="AN771" s="473"/>
      <c r="AO771" s="473"/>
      <c r="AP771" s="1164"/>
      <c r="AQ771" s="473"/>
      <c r="AR771" s="473"/>
      <c r="AS771" s="1236"/>
      <c r="AT771" s="473"/>
      <c r="AU771" s="473"/>
      <c r="AV771" s="1164"/>
      <c r="AW771" s="1164"/>
      <c r="AX771" s="1236"/>
      <c r="AY771" s="473"/>
      <c r="AZ771" s="1236"/>
      <c r="BA771" s="473"/>
      <c r="BB771" s="473"/>
      <c r="BC771" s="1164"/>
      <c r="BD771" s="20"/>
      <c r="BE771" s="473"/>
      <c r="BF771" s="610"/>
      <c r="BG771" s="610"/>
      <c r="BH771" s="610"/>
      <c r="BI771" s="610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</row>
    <row r="772" spans="1:148" s="22" customFormat="1" x14ac:dyDescent="0.25">
      <c r="A772" s="20"/>
      <c r="B772" s="16"/>
      <c r="C772" s="473"/>
      <c r="D772" s="473"/>
      <c r="E772" s="1164"/>
      <c r="F772" s="473"/>
      <c r="G772" s="473"/>
      <c r="H772" s="1164"/>
      <c r="I772" s="473"/>
      <c r="J772" s="473"/>
      <c r="K772" s="1164"/>
      <c r="L772" s="473"/>
      <c r="M772" s="473"/>
      <c r="N772" s="1164"/>
      <c r="O772" s="473"/>
      <c r="P772" s="473"/>
      <c r="Q772" s="1164"/>
      <c r="R772" s="473"/>
      <c r="S772" s="473"/>
      <c r="T772" s="1164"/>
      <c r="U772" s="1164"/>
      <c r="V772" s="473"/>
      <c r="W772" s="473"/>
      <c r="X772" s="1164"/>
      <c r="Y772" s="473"/>
      <c r="Z772" s="473"/>
      <c r="AA772" s="1164"/>
      <c r="AB772" s="473"/>
      <c r="AC772" s="1164"/>
      <c r="AD772" s="473"/>
      <c r="AE772" s="1164"/>
      <c r="AF772" s="473"/>
      <c r="AG772" s="1164"/>
      <c r="AH772" s="473"/>
      <c r="AI772" s="473"/>
      <c r="AJ772" s="1164"/>
      <c r="AK772" s="473"/>
      <c r="AL772" s="473"/>
      <c r="AM772" s="1164"/>
      <c r="AN772" s="473"/>
      <c r="AO772" s="473"/>
      <c r="AP772" s="1164"/>
      <c r="AQ772" s="473"/>
      <c r="AR772" s="473"/>
      <c r="AS772" s="1236"/>
      <c r="AT772" s="473"/>
      <c r="AU772" s="473"/>
      <c r="AV772" s="1164"/>
      <c r="AW772" s="1164"/>
      <c r="AX772" s="1236"/>
      <c r="AY772" s="473"/>
      <c r="AZ772" s="1236"/>
      <c r="BA772" s="473"/>
      <c r="BB772" s="473"/>
      <c r="BC772" s="1164"/>
      <c r="BD772" s="20"/>
      <c r="BE772" s="473"/>
      <c r="BF772" s="610"/>
      <c r="BG772" s="610"/>
      <c r="BH772" s="610"/>
      <c r="BI772" s="610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</row>
    <row r="773" spans="1:148" s="22" customFormat="1" x14ac:dyDescent="0.25">
      <c r="A773" s="20"/>
      <c r="B773" s="16"/>
      <c r="C773" s="473"/>
      <c r="D773" s="473"/>
      <c r="E773" s="1164"/>
      <c r="F773" s="473"/>
      <c r="G773" s="473"/>
      <c r="H773" s="1164"/>
      <c r="I773" s="473"/>
      <c r="J773" s="473"/>
      <c r="K773" s="1164"/>
      <c r="L773" s="473"/>
      <c r="M773" s="473"/>
      <c r="N773" s="1164"/>
      <c r="O773" s="473"/>
      <c r="P773" s="473"/>
      <c r="Q773" s="1164"/>
      <c r="R773" s="473"/>
      <c r="S773" s="473"/>
      <c r="T773" s="1164"/>
      <c r="U773" s="1164"/>
      <c r="V773" s="473"/>
      <c r="W773" s="473"/>
      <c r="X773" s="1164"/>
      <c r="Y773" s="473"/>
      <c r="Z773" s="473"/>
      <c r="AA773" s="1164"/>
      <c r="AB773" s="473"/>
      <c r="AC773" s="1164"/>
      <c r="AD773" s="473"/>
      <c r="AE773" s="1164"/>
      <c r="AF773" s="473"/>
      <c r="AG773" s="1164"/>
      <c r="AH773" s="473"/>
      <c r="AI773" s="473"/>
      <c r="AJ773" s="1164"/>
      <c r="AK773" s="473"/>
      <c r="AL773" s="473"/>
      <c r="AM773" s="1164"/>
      <c r="AN773" s="473"/>
      <c r="AO773" s="473"/>
      <c r="AP773" s="1164"/>
      <c r="AQ773" s="473"/>
      <c r="AR773" s="473"/>
      <c r="AS773" s="1236"/>
      <c r="AT773" s="473"/>
      <c r="AU773" s="473"/>
      <c r="AV773" s="1164"/>
      <c r="AW773" s="1164"/>
      <c r="AX773" s="1236"/>
      <c r="AY773" s="473"/>
      <c r="AZ773" s="1236"/>
      <c r="BA773" s="473"/>
      <c r="BB773" s="473"/>
      <c r="BC773" s="1164"/>
      <c r="BD773" s="20"/>
      <c r="BE773" s="473"/>
      <c r="BF773" s="610"/>
      <c r="BG773" s="610"/>
      <c r="BH773" s="610"/>
      <c r="BI773" s="610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</row>
    <row r="774" spans="1:148" s="22" customFormat="1" x14ac:dyDescent="0.25">
      <c r="A774" s="20"/>
      <c r="B774" s="16"/>
      <c r="C774" s="473"/>
      <c r="D774" s="473"/>
      <c r="E774" s="1164"/>
      <c r="F774" s="473"/>
      <c r="G774" s="473"/>
      <c r="H774" s="1164"/>
      <c r="I774" s="473"/>
      <c r="J774" s="473"/>
      <c r="K774" s="1164"/>
      <c r="L774" s="473"/>
      <c r="M774" s="473"/>
      <c r="N774" s="1164"/>
      <c r="O774" s="473"/>
      <c r="P774" s="473"/>
      <c r="Q774" s="1164"/>
      <c r="R774" s="473"/>
      <c r="S774" s="473"/>
      <c r="T774" s="1164"/>
      <c r="U774" s="1164"/>
      <c r="V774" s="473"/>
      <c r="W774" s="473"/>
      <c r="X774" s="1164"/>
      <c r="Y774" s="473"/>
      <c r="Z774" s="473"/>
      <c r="AA774" s="1164"/>
      <c r="AB774" s="473"/>
      <c r="AC774" s="1164"/>
      <c r="AD774" s="473"/>
      <c r="AE774" s="1164"/>
      <c r="AF774" s="473"/>
      <c r="AG774" s="1164"/>
      <c r="AH774" s="473"/>
      <c r="AI774" s="473"/>
      <c r="AJ774" s="1164"/>
      <c r="AK774" s="473"/>
      <c r="AL774" s="473"/>
      <c r="AM774" s="1164"/>
      <c r="AN774" s="473"/>
      <c r="AO774" s="473"/>
      <c r="AP774" s="1164"/>
      <c r="AQ774" s="473"/>
      <c r="AR774" s="473"/>
      <c r="AS774" s="1236"/>
      <c r="AT774" s="473"/>
      <c r="AU774" s="473"/>
      <c r="AV774" s="1164"/>
      <c r="AW774" s="1164"/>
      <c r="AX774" s="1236"/>
      <c r="AY774" s="473"/>
      <c r="AZ774" s="1236"/>
      <c r="BA774" s="473"/>
      <c r="BB774" s="473"/>
      <c r="BC774" s="1164"/>
      <c r="BD774" s="20"/>
      <c r="BE774" s="473"/>
      <c r="BF774" s="610"/>
      <c r="BG774" s="610"/>
      <c r="BH774" s="610"/>
      <c r="BI774" s="610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</row>
    <row r="775" spans="1:148" s="22" customFormat="1" x14ac:dyDescent="0.25">
      <c r="A775" s="20"/>
      <c r="B775" s="16"/>
      <c r="C775" s="473"/>
      <c r="D775" s="473"/>
      <c r="E775" s="1164"/>
      <c r="F775" s="473"/>
      <c r="G775" s="473"/>
      <c r="H775" s="1164"/>
      <c r="I775" s="473"/>
      <c r="J775" s="473"/>
      <c r="K775" s="1164"/>
      <c r="L775" s="473"/>
      <c r="M775" s="473"/>
      <c r="N775" s="1164"/>
      <c r="O775" s="473"/>
      <c r="P775" s="473"/>
      <c r="Q775" s="1164"/>
      <c r="R775" s="473"/>
      <c r="S775" s="473"/>
      <c r="T775" s="1164"/>
      <c r="U775" s="1164"/>
      <c r="V775" s="473"/>
      <c r="W775" s="473"/>
      <c r="X775" s="1164"/>
      <c r="Y775" s="473"/>
      <c r="Z775" s="473"/>
      <c r="AA775" s="1164"/>
      <c r="AB775" s="473"/>
      <c r="AC775" s="1164"/>
      <c r="AD775" s="473"/>
      <c r="AE775" s="1164"/>
      <c r="AF775" s="473"/>
      <c r="AG775" s="1164"/>
      <c r="AH775" s="473"/>
      <c r="AI775" s="473"/>
      <c r="AJ775" s="1164"/>
      <c r="AK775" s="473"/>
      <c r="AL775" s="473"/>
      <c r="AM775" s="1164"/>
      <c r="AN775" s="473"/>
      <c r="AO775" s="473"/>
      <c r="AP775" s="1164"/>
      <c r="AQ775" s="473"/>
      <c r="AR775" s="473"/>
      <c r="AS775" s="1236"/>
      <c r="AT775" s="473"/>
      <c r="AU775" s="473"/>
      <c r="AV775" s="1164"/>
      <c r="AW775" s="1164"/>
      <c r="AX775" s="1236"/>
      <c r="AY775" s="473"/>
      <c r="AZ775" s="1236"/>
      <c r="BA775" s="473"/>
      <c r="BB775" s="473"/>
      <c r="BC775" s="1164"/>
      <c r="BD775" s="20"/>
      <c r="BE775" s="473"/>
      <c r="BF775" s="610"/>
      <c r="BG775" s="610"/>
      <c r="BH775" s="610"/>
      <c r="BI775" s="610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</row>
    <row r="776" spans="1:148" s="22" customFormat="1" x14ac:dyDescent="0.25">
      <c r="A776" s="20"/>
      <c r="B776" s="16"/>
      <c r="C776" s="473"/>
      <c r="D776" s="473"/>
      <c r="E776" s="1164"/>
      <c r="F776" s="473"/>
      <c r="G776" s="473"/>
      <c r="H776" s="1164"/>
      <c r="I776" s="473"/>
      <c r="J776" s="473"/>
      <c r="K776" s="1164"/>
      <c r="L776" s="473"/>
      <c r="M776" s="473"/>
      <c r="N776" s="1164"/>
      <c r="O776" s="473"/>
      <c r="P776" s="473"/>
      <c r="Q776" s="1164"/>
      <c r="R776" s="473"/>
      <c r="S776" s="473"/>
      <c r="T776" s="1164"/>
      <c r="U776" s="1164"/>
      <c r="V776" s="473"/>
      <c r="W776" s="473"/>
      <c r="X776" s="1164"/>
      <c r="Y776" s="473"/>
      <c r="Z776" s="473"/>
      <c r="AA776" s="1164"/>
      <c r="AB776" s="473"/>
      <c r="AC776" s="1164"/>
      <c r="AD776" s="473"/>
      <c r="AE776" s="1164"/>
      <c r="AF776" s="473"/>
      <c r="AG776" s="1164"/>
      <c r="AH776" s="473"/>
      <c r="AI776" s="473"/>
      <c r="AJ776" s="1164"/>
      <c r="AK776" s="473"/>
      <c r="AL776" s="473"/>
      <c r="AM776" s="1164"/>
      <c r="AN776" s="473"/>
      <c r="AO776" s="473"/>
      <c r="AP776" s="1164"/>
      <c r="AQ776" s="473"/>
      <c r="AR776" s="473"/>
      <c r="AS776" s="1236"/>
      <c r="AT776" s="473"/>
      <c r="AU776" s="473"/>
      <c r="AV776" s="1164"/>
      <c r="AW776" s="1164"/>
      <c r="AX776" s="1236"/>
      <c r="AY776" s="473"/>
      <c r="AZ776" s="1236"/>
      <c r="BA776" s="473"/>
      <c r="BB776" s="473"/>
      <c r="BC776" s="1164"/>
      <c r="BD776" s="20"/>
      <c r="BE776" s="473"/>
      <c r="BF776" s="610"/>
      <c r="BG776" s="610"/>
      <c r="BH776" s="610"/>
      <c r="BI776" s="610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</row>
    <row r="777" spans="1:148" s="22" customFormat="1" x14ac:dyDescent="0.25">
      <c r="A777" s="20"/>
      <c r="B777" s="16"/>
      <c r="C777" s="473"/>
      <c r="D777" s="473"/>
      <c r="E777" s="1164"/>
      <c r="F777" s="473"/>
      <c r="G777" s="473"/>
      <c r="H777" s="1164"/>
      <c r="I777" s="473"/>
      <c r="J777" s="473"/>
      <c r="K777" s="1164"/>
      <c r="L777" s="473"/>
      <c r="M777" s="473"/>
      <c r="N777" s="1164"/>
      <c r="O777" s="473"/>
      <c r="P777" s="473"/>
      <c r="Q777" s="1164"/>
      <c r="R777" s="473"/>
      <c r="S777" s="473"/>
      <c r="T777" s="1164"/>
      <c r="U777" s="1164"/>
      <c r="V777" s="473"/>
      <c r="W777" s="473"/>
      <c r="X777" s="1164"/>
      <c r="Y777" s="473"/>
      <c r="Z777" s="473"/>
      <c r="AA777" s="1164"/>
      <c r="AB777" s="473"/>
      <c r="AC777" s="1164"/>
      <c r="AD777" s="473"/>
      <c r="AE777" s="1164"/>
      <c r="AF777" s="473"/>
      <c r="AG777" s="1164"/>
      <c r="AH777" s="473"/>
      <c r="AI777" s="473"/>
      <c r="AJ777" s="1164"/>
      <c r="AK777" s="473"/>
      <c r="AL777" s="473"/>
      <c r="AM777" s="1164"/>
      <c r="AN777" s="473"/>
      <c r="AO777" s="473"/>
      <c r="AP777" s="1164"/>
      <c r="AQ777" s="473"/>
      <c r="AR777" s="473"/>
      <c r="AS777" s="1236"/>
      <c r="AT777" s="473"/>
      <c r="AU777" s="473"/>
      <c r="AV777" s="1164"/>
      <c r="AW777" s="1164"/>
      <c r="AX777" s="1236"/>
      <c r="AY777" s="473"/>
      <c r="AZ777" s="1236"/>
      <c r="BA777" s="473"/>
      <c r="BB777" s="473"/>
      <c r="BC777" s="1164"/>
      <c r="BD777" s="20"/>
      <c r="BE777" s="473"/>
      <c r="BF777" s="610"/>
      <c r="BG777" s="610"/>
      <c r="BH777" s="610"/>
      <c r="BI777" s="610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</row>
    <row r="778" spans="1:148" s="22" customFormat="1" x14ac:dyDescent="0.25">
      <c r="A778" s="20"/>
      <c r="B778" s="16"/>
      <c r="C778" s="473"/>
      <c r="D778" s="473"/>
      <c r="E778" s="1164"/>
      <c r="F778" s="473"/>
      <c r="G778" s="473"/>
      <c r="H778" s="1164"/>
      <c r="I778" s="473"/>
      <c r="J778" s="473"/>
      <c r="K778" s="1164"/>
      <c r="L778" s="473"/>
      <c r="M778" s="473"/>
      <c r="N778" s="1164"/>
      <c r="O778" s="473"/>
      <c r="P778" s="473"/>
      <c r="Q778" s="1164"/>
      <c r="R778" s="473"/>
      <c r="S778" s="473"/>
      <c r="T778" s="1164"/>
      <c r="U778" s="1164"/>
      <c r="V778" s="473"/>
      <c r="W778" s="473"/>
      <c r="X778" s="1164"/>
      <c r="Y778" s="473"/>
      <c r="Z778" s="473"/>
      <c r="AA778" s="1164"/>
      <c r="AB778" s="473"/>
      <c r="AC778" s="1164"/>
      <c r="AD778" s="473"/>
      <c r="AE778" s="1164"/>
      <c r="AF778" s="473"/>
      <c r="AG778" s="1164"/>
      <c r="AH778" s="473"/>
      <c r="AI778" s="473"/>
      <c r="AJ778" s="1164"/>
      <c r="AK778" s="473"/>
      <c r="AL778" s="473"/>
      <c r="AM778" s="1164"/>
      <c r="AN778" s="473"/>
      <c r="AO778" s="473"/>
      <c r="AP778" s="1164"/>
      <c r="AQ778" s="473"/>
      <c r="AR778" s="473"/>
      <c r="AS778" s="1236"/>
      <c r="AT778" s="473"/>
      <c r="AU778" s="473"/>
      <c r="AV778" s="1164"/>
      <c r="AW778" s="1164"/>
      <c r="AX778" s="1236"/>
      <c r="AY778" s="473"/>
      <c r="AZ778" s="1236"/>
      <c r="BA778" s="473"/>
      <c r="BB778" s="473"/>
      <c r="BC778" s="1164"/>
      <c r="BD778" s="20"/>
      <c r="BE778" s="473"/>
      <c r="BF778" s="610"/>
      <c r="BG778" s="610"/>
      <c r="BH778" s="610"/>
      <c r="BI778" s="610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</row>
    <row r="779" spans="1:148" s="22" customFormat="1" x14ac:dyDescent="0.25">
      <c r="A779" s="20"/>
      <c r="B779" s="16"/>
      <c r="C779" s="473"/>
      <c r="D779" s="473"/>
      <c r="E779" s="1164"/>
      <c r="F779" s="473"/>
      <c r="G779" s="473"/>
      <c r="H779" s="1164"/>
      <c r="I779" s="473"/>
      <c r="J779" s="473"/>
      <c r="K779" s="1164"/>
      <c r="L779" s="473"/>
      <c r="M779" s="473"/>
      <c r="N779" s="1164"/>
      <c r="O779" s="473"/>
      <c r="P779" s="473"/>
      <c r="Q779" s="1164"/>
      <c r="R779" s="473"/>
      <c r="S779" s="473"/>
      <c r="T779" s="1164"/>
      <c r="U779" s="1164"/>
      <c r="V779" s="473"/>
      <c r="W779" s="473"/>
      <c r="X779" s="1164"/>
      <c r="Y779" s="473"/>
      <c r="Z779" s="473"/>
      <c r="AA779" s="1164"/>
      <c r="AB779" s="473"/>
      <c r="AC779" s="1164"/>
      <c r="AD779" s="473"/>
      <c r="AE779" s="1164"/>
      <c r="AF779" s="473"/>
      <c r="AG779" s="1164"/>
      <c r="AH779" s="473"/>
      <c r="AI779" s="473"/>
      <c r="AJ779" s="1164"/>
      <c r="AK779" s="473"/>
      <c r="AL779" s="473"/>
      <c r="AM779" s="1164"/>
      <c r="AN779" s="473"/>
      <c r="AO779" s="473"/>
      <c r="AP779" s="1164"/>
      <c r="AQ779" s="473"/>
      <c r="AR779" s="473"/>
      <c r="AS779" s="1236"/>
      <c r="AT779" s="473"/>
      <c r="AU779" s="473"/>
      <c r="AV779" s="1164"/>
      <c r="AW779" s="1164"/>
      <c r="AX779" s="1236"/>
      <c r="AY779" s="473"/>
      <c r="AZ779" s="1236"/>
      <c r="BA779" s="473"/>
      <c r="BB779" s="473"/>
      <c r="BC779" s="1164"/>
      <c r="BD779" s="20"/>
      <c r="BE779" s="473"/>
      <c r="BF779" s="610"/>
      <c r="BG779" s="610"/>
      <c r="BH779" s="610"/>
      <c r="BI779" s="610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</row>
    <row r="780" spans="1:148" s="22" customFormat="1" x14ac:dyDescent="0.25">
      <c r="A780" s="20"/>
      <c r="B780" s="16"/>
      <c r="C780" s="473"/>
      <c r="D780" s="473"/>
      <c r="E780" s="1164"/>
      <c r="F780" s="473"/>
      <c r="G780" s="473"/>
      <c r="H780" s="1164"/>
      <c r="I780" s="473"/>
      <c r="J780" s="473"/>
      <c r="K780" s="1164"/>
      <c r="L780" s="473"/>
      <c r="M780" s="473"/>
      <c r="N780" s="1164"/>
      <c r="O780" s="473"/>
      <c r="P780" s="473"/>
      <c r="Q780" s="1164"/>
      <c r="R780" s="473"/>
      <c r="S780" s="473"/>
      <c r="T780" s="1164"/>
      <c r="U780" s="1164"/>
      <c r="V780" s="473"/>
      <c r="W780" s="473"/>
      <c r="X780" s="1164"/>
      <c r="Y780" s="473"/>
      <c r="Z780" s="473"/>
      <c r="AA780" s="1164"/>
      <c r="AB780" s="473"/>
      <c r="AC780" s="1164"/>
      <c r="AD780" s="473"/>
      <c r="AE780" s="1164"/>
      <c r="AF780" s="473"/>
      <c r="AG780" s="1164"/>
      <c r="AH780" s="473"/>
      <c r="AI780" s="473"/>
      <c r="AJ780" s="1164"/>
      <c r="AK780" s="473"/>
      <c r="AL780" s="473"/>
      <c r="AM780" s="1164"/>
      <c r="AN780" s="473"/>
      <c r="AO780" s="473"/>
      <c r="AP780" s="1164"/>
      <c r="AQ780" s="473"/>
      <c r="AR780" s="473"/>
      <c r="AS780" s="1236"/>
      <c r="AT780" s="473"/>
      <c r="AU780" s="473"/>
      <c r="AV780" s="1164"/>
      <c r="AW780" s="1164"/>
      <c r="AX780" s="1236"/>
      <c r="AY780" s="473"/>
      <c r="AZ780" s="1236"/>
      <c r="BA780" s="473"/>
      <c r="BB780" s="473"/>
      <c r="BC780" s="1164"/>
      <c r="BD780" s="20"/>
      <c r="BE780" s="473"/>
      <c r="BF780" s="610"/>
      <c r="BG780" s="610"/>
      <c r="BH780" s="610"/>
      <c r="BI780" s="610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</row>
    <row r="781" spans="1:148" s="22" customFormat="1" x14ac:dyDescent="0.25">
      <c r="A781" s="20"/>
      <c r="B781" s="16"/>
      <c r="C781" s="473"/>
      <c r="D781" s="473"/>
      <c r="E781" s="1164"/>
      <c r="F781" s="473"/>
      <c r="G781" s="473"/>
      <c r="H781" s="1164"/>
      <c r="I781" s="473"/>
      <c r="J781" s="473"/>
      <c r="K781" s="1164"/>
      <c r="L781" s="473"/>
      <c r="M781" s="473"/>
      <c r="N781" s="1164"/>
      <c r="O781" s="473"/>
      <c r="P781" s="473"/>
      <c r="Q781" s="1164"/>
      <c r="R781" s="473"/>
      <c r="S781" s="473"/>
      <c r="T781" s="1164"/>
      <c r="U781" s="1164"/>
      <c r="V781" s="473"/>
      <c r="W781" s="473"/>
      <c r="X781" s="1164"/>
      <c r="Y781" s="473"/>
      <c r="Z781" s="473"/>
      <c r="AA781" s="1164"/>
      <c r="AB781" s="473"/>
      <c r="AC781" s="1164"/>
      <c r="AD781" s="473"/>
      <c r="AE781" s="1164"/>
      <c r="AF781" s="473"/>
      <c r="AG781" s="1164"/>
      <c r="AH781" s="473"/>
      <c r="AI781" s="473"/>
      <c r="AJ781" s="1164"/>
      <c r="AK781" s="473"/>
      <c r="AL781" s="473"/>
      <c r="AM781" s="1164"/>
      <c r="AN781" s="473"/>
      <c r="AO781" s="473"/>
      <c r="AP781" s="1164"/>
      <c r="AQ781" s="473"/>
      <c r="AR781" s="473"/>
      <c r="AS781" s="1236"/>
      <c r="AT781" s="473"/>
      <c r="AU781" s="473"/>
      <c r="AV781" s="1164"/>
      <c r="AW781" s="1164"/>
      <c r="AX781" s="1236"/>
      <c r="AY781" s="473"/>
      <c r="AZ781" s="1236"/>
      <c r="BA781" s="473"/>
      <c r="BB781" s="473"/>
      <c r="BC781" s="1164"/>
      <c r="BD781" s="20"/>
      <c r="BE781" s="473"/>
      <c r="BF781" s="610"/>
      <c r="BG781" s="610"/>
      <c r="BH781" s="610"/>
      <c r="BI781" s="610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</row>
    <row r="782" spans="1:148" s="22" customFormat="1" x14ac:dyDescent="0.25">
      <c r="A782" s="20"/>
      <c r="B782" s="16"/>
      <c r="C782" s="473"/>
      <c r="D782" s="473"/>
      <c r="E782" s="1164"/>
      <c r="F782" s="473"/>
      <c r="G782" s="473"/>
      <c r="H782" s="1164"/>
      <c r="I782" s="473"/>
      <c r="J782" s="473"/>
      <c r="K782" s="1164"/>
      <c r="L782" s="473"/>
      <c r="M782" s="473"/>
      <c r="N782" s="1164"/>
      <c r="O782" s="473"/>
      <c r="P782" s="473"/>
      <c r="Q782" s="1164"/>
      <c r="R782" s="473"/>
      <c r="S782" s="473"/>
      <c r="T782" s="1164"/>
      <c r="U782" s="1164"/>
      <c r="V782" s="473"/>
      <c r="W782" s="473"/>
      <c r="X782" s="1164"/>
      <c r="Y782" s="473"/>
      <c r="Z782" s="473"/>
      <c r="AA782" s="1164"/>
      <c r="AB782" s="473"/>
      <c r="AC782" s="1164"/>
      <c r="AD782" s="473"/>
      <c r="AE782" s="1164"/>
      <c r="AF782" s="473"/>
      <c r="AG782" s="1164"/>
      <c r="AH782" s="473"/>
      <c r="AI782" s="473"/>
      <c r="AJ782" s="1164"/>
      <c r="AK782" s="473"/>
      <c r="AL782" s="473"/>
      <c r="AM782" s="1164"/>
      <c r="AN782" s="473"/>
      <c r="AO782" s="473"/>
      <c r="AP782" s="1164"/>
      <c r="AQ782" s="473"/>
      <c r="AR782" s="473"/>
      <c r="AS782" s="1236"/>
      <c r="AT782" s="473"/>
      <c r="AU782" s="473"/>
      <c r="AV782" s="1164"/>
      <c r="AW782" s="1164"/>
      <c r="AX782" s="1236"/>
      <c r="AY782" s="473"/>
      <c r="AZ782" s="1236"/>
      <c r="BA782" s="473"/>
      <c r="BB782" s="473"/>
      <c r="BC782" s="1164"/>
      <c r="BD782" s="20"/>
      <c r="BE782" s="473"/>
      <c r="BF782" s="610"/>
      <c r="BG782" s="610"/>
      <c r="BH782" s="610"/>
      <c r="BI782" s="610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</row>
    <row r="783" spans="1:148" s="22" customFormat="1" x14ac:dyDescent="0.25">
      <c r="A783" s="20"/>
      <c r="B783" s="16"/>
      <c r="C783" s="473"/>
      <c r="D783" s="473"/>
      <c r="E783" s="1164"/>
      <c r="F783" s="473"/>
      <c r="G783" s="473"/>
      <c r="H783" s="1164"/>
      <c r="I783" s="473"/>
      <c r="J783" s="473"/>
      <c r="K783" s="1164"/>
      <c r="L783" s="473"/>
      <c r="M783" s="473"/>
      <c r="N783" s="1164"/>
      <c r="O783" s="473"/>
      <c r="P783" s="473"/>
      <c r="Q783" s="1164"/>
      <c r="R783" s="473"/>
      <c r="S783" s="473"/>
      <c r="T783" s="1164"/>
      <c r="U783" s="1164"/>
      <c r="V783" s="473"/>
      <c r="W783" s="473"/>
      <c r="X783" s="1164"/>
      <c r="Y783" s="473"/>
      <c r="Z783" s="473"/>
      <c r="AA783" s="1164"/>
      <c r="AB783" s="473"/>
      <c r="AC783" s="1164"/>
      <c r="AD783" s="473"/>
      <c r="AE783" s="1164"/>
      <c r="AF783" s="473"/>
      <c r="AG783" s="1164"/>
      <c r="AH783" s="473"/>
      <c r="AI783" s="473"/>
      <c r="AJ783" s="1164"/>
      <c r="AK783" s="473"/>
      <c r="AL783" s="473"/>
      <c r="AM783" s="1164"/>
      <c r="AN783" s="473"/>
      <c r="AO783" s="473"/>
      <c r="AP783" s="1164"/>
      <c r="AQ783" s="473"/>
      <c r="AR783" s="473"/>
      <c r="AS783" s="1236"/>
      <c r="AT783" s="473"/>
      <c r="AU783" s="473"/>
      <c r="AV783" s="1164"/>
      <c r="AW783" s="1164"/>
      <c r="AX783" s="1236"/>
      <c r="AY783" s="473"/>
      <c r="AZ783" s="1236"/>
      <c r="BA783" s="473"/>
      <c r="BB783" s="473"/>
      <c r="BC783" s="1164"/>
      <c r="BD783" s="20"/>
      <c r="BE783" s="473"/>
      <c r="BF783" s="610"/>
      <c r="BG783" s="610"/>
      <c r="BH783" s="610"/>
      <c r="BI783" s="610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</row>
    <row r="784" spans="1:148" s="22" customFormat="1" x14ac:dyDescent="0.25">
      <c r="A784" s="20"/>
      <c r="B784" s="16"/>
      <c r="C784" s="473"/>
      <c r="D784" s="473"/>
      <c r="E784" s="1164"/>
      <c r="F784" s="473"/>
      <c r="G784" s="473"/>
      <c r="H784" s="1164"/>
      <c r="I784" s="473"/>
      <c r="J784" s="473"/>
      <c r="K784" s="1164"/>
      <c r="L784" s="473"/>
      <c r="M784" s="473"/>
      <c r="N784" s="1164"/>
      <c r="O784" s="473"/>
      <c r="P784" s="473"/>
      <c r="Q784" s="1164"/>
      <c r="R784" s="473"/>
      <c r="S784" s="473"/>
      <c r="T784" s="1164"/>
      <c r="U784" s="1164"/>
      <c r="V784" s="473"/>
      <c r="W784" s="473"/>
      <c r="X784" s="1164"/>
      <c r="Y784" s="473"/>
      <c r="Z784" s="473"/>
      <c r="AA784" s="1164"/>
      <c r="AB784" s="473"/>
      <c r="AC784" s="1164"/>
      <c r="AD784" s="473"/>
      <c r="AE784" s="1164"/>
      <c r="AF784" s="473"/>
      <c r="AG784" s="1164"/>
      <c r="AH784" s="473"/>
      <c r="AI784" s="473"/>
      <c r="AJ784" s="1164"/>
      <c r="AK784" s="473"/>
      <c r="AL784" s="473"/>
      <c r="AM784" s="1164"/>
      <c r="AN784" s="473"/>
      <c r="AO784" s="473"/>
      <c r="AP784" s="1164"/>
      <c r="AQ784" s="473"/>
      <c r="AR784" s="473"/>
      <c r="AS784" s="1236"/>
      <c r="AT784" s="473"/>
      <c r="AU784" s="473"/>
      <c r="AV784" s="1164"/>
      <c r="AW784" s="1164"/>
      <c r="AX784" s="1236"/>
      <c r="AY784" s="473"/>
      <c r="AZ784" s="1236"/>
      <c r="BA784" s="473"/>
      <c r="BB784" s="473"/>
      <c r="BC784" s="1164"/>
      <c r="BD784" s="20"/>
      <c r="BE784" s="473"/>
      <c r="BF784" s="610"/>
      <c r="BG784" s="610"/>
      <c r="BH784" s="610"/>
      <c r="BI784" s="610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</row>
    <row r="785" spans="1:148" s="22" customFormat="1" x14ac:dyDescent="0.25">
      <c r="A785" s="20"/>
      <c r="B785" s="16"/>
      <c r="C785" s="473"/>
      <c r="D785" s="473"/>
      <c r="E785" s="1164"/>
      <c r="F785" s="473"/>
      <c r="G785" s="473"/>
      <c r="H785" s="1164"/>
      <c r="I785" s="473"/>
      <c r="J785" s="473"/>
      <c r="K785" s="1164"/>
      <c r="L785" s="473"/>
      <c r="M785" s="473"/>
      <c r="N785" s="1164"/>
      <c r="O785" s="473"/>
      <c r="P785" s="473"/>
      <c r="Q785" s="1164"/>
      <c r="R785" s="473"/>
      <c r="S785" s="473"/>
      <c r="T785" s="1164"/>
      <c r="U785" s="1164"/>
      <c r="V785" s="473"/>
      <c r="W785" s="473"/>
      <c r="X785" s="1164"/>
      <c r="Y785" s="473"/>
      <c r="Z785" s="473"/>
      <c r="AA785" s="1164"/>
      <c r="AB785" s="473"/>
      <c r="AC785" s="1164"/>
      <c r="AD785" s="473"/>
      <c r="AE785" s="1164"/>
      <c r="AF785" s="473"/>
      <c r="AG785" s="1164"/>
      <c r="AH785" s="473"/>
      <c r="AI785" s="473"/>
      <c r="AJ785" s="1164"/>
      <c r="AK785" s="473"/>
      <c r="AL785" s="473"/>
      <c r="AM785" s="1164"/>
      <c r="AN785" s="473"/>
      <c r="AO785" s="473"/>
      <c r="AP785" s="1164"/>
      <c r="AQ785" s="473"/>
      <c r="AR785" s="473"/>
      <c r="AS785" s="1236"/>
      <c r="AT785" s="473"/>
      <c r="AU785" s="473"/>
      <c r="AV785" s="1164"/>
      <c r="AW785" s="1164"/>
      <c r="AX785" s="1236"/>
      <c r="AY785" s="473"/>
      <c r="AZ785" s="1236"/>
      <c r="BA785" s="473"/>
      <c r="BB785" s="473"/>
      <c r="BC785" s="1164"/>
      <c r="BD785" s="20"/>
      <c r="BE785" s="473"/>
      <c r="BF785" s="610"/>
      <c r="BG785" s="610"/>
      <c r="BH785" s="610"/>
      <c r="BI785" s="610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</row>
    <row r="786" spans="1:148" s="22" customFormat="1" x14ac:dyDescent="0.25">
      <c r="A786" s="20"/>
      <c r="B786" s="16"/>
      <c r="C786" s="473"/>
      <c r="D786" s="473"/>
      <c r="E786" s="1164"/>
      <c r="F786" s="473"/>
      <c r="G786" s="473"/>
      <c r="H786" s="1164"/>
      <c r="I786" s="473"/>
      <c r="J786" s="473"/>
      <c r="K786" s="1164"/>
      <c r="L786" s="473"/>
      <c r="M786" s="473"/>
      <c r="N786" s="1164"/>
      <c r="O786" s="473"/>
      <c r="P786" s="473"/>
      <c r="Q786" s="1164"/>
      <c r="R786" s="473"/>
      <c r="S786" s="473"/>
      <c r="T786" s="1164"/>
      <c r="U786" s="1164"/>
      <c r="V786" s="473"/>
      <c r="W786" s="473"/>
      <c r="X786" s="1164"/>
      <c r="Y786" s="473"/>
      <c r="Z786" s="473"/>
      <c r="AA786" s="1164"/>
      <c r="AB786" s="473"/>
      <c r="AC786" s="1164"/>
      <c r="AD786" s="473"/>
      <c r="AE786" s="1164"/>
      <c r="AF786" s="473"/>
      <c r="AG786" s="1164"/>
      <c r="AH786" s="473"/>
      <c r="AI786" s="473"/>
      <c r="AJ786" s="1164"/>
      <c r="AK786" s="473"/>
      <c r="AL786" s="473"/>
      <c r="AM786" s="1164"/>
      <c r="AN786" s="473"/>
      <c r="AO786" s="473"/>
      <c r="AP786" s="1164"/>
      <c r="AQ786" s="473"/>
      <c r="AR786" s="473"/>
      <c r="AS786" s="1236"/>
      <c r="AT786" s="473"/>
      <c r="AU786" s="473"/>
      <c r="AV786" s="1164"/>
      <c r="AW786" s="1164"/>
      <c r="AX786" s="1236"/>
      <c r="AY786" s="473"/>
      <c r="AZ786" s="1236"/>
      <c r="BA786" s="473"/>
      <c r="BB786" s="473"/>
      <c r="BC786" s="1164"/>
      <c r="BD786" s="20"/>
      <c r="BE786" s="473"/>
      <c r="BF786" s="610"/>
      <c r="BG786" s="610"/>
      <c r="BH786" s="610"/>
      <c r="BI786" s="610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</row>
    <row r="787" spans="1:148" s="22" customFormat="1" x14ac:dyDescent="0.25">
      <c r="A787" s="20"/>
      <c r="B787" s="16"/>
      <c r="C787" s="473"/>
      <c r="D787" s="473"/>
      <c r="E787" s="1164"/>
      <c r="F787" s="473"/>
      <c r="G787" s="473"/>
      <c r="H787" s="1164"/>
      <c r="I787" s="473"/>
      <c r="J787" s="473"/>
      <c r="K787" s="1164"/>
      <c r="L787" s="473"/>
      <c r="M787" s="473"/>
      <c r="N787" s="1164"/>
      <c r="O787" s="473"/>
      <c r="P787" s="473"/>
      <c r="Q787" s="1164"/>
      <c r="R787" s="473"/>
      <c r="S787" s="473"/>
      <c r="T787" s="1164"/>
      <c r="U787" s="1164"/>
      <c r="V787" s="473"/>
      <c r="W787" s="473"/>
      <c r="X787" s="1164"/>
      <c r="Y787" s="473"/>
      <c r="Z787" s="473"/>
      <c r="AA787" s="1164"/>
      <c r="AB787" s="473"/>
      <c r="AC787" s="1164"/>
      <c r="AD787" s="473"/>
      <c r="AE787" s="1164"/>
      <c r="AF787" s="473"/>
      <c r="AG787" s="1164"/>
      <c r="AH787" s="473"/>
      <c r="AI787" s="473"/>
      <c r="AJ787" s="1164"/>
      <c r="AK787" s="473"/>
      <c r="AL787" s="473"/>
      <c r="AM787" s="1164"/>
      <c r="AN787" s="473"/>
      <c r="AO787" s="473"/>
      <c r="AP787" s="1164"/>
      <c r="AQ787" s="473"/>
      <c r="AR787" s="473"/>
      <c r="AS787" s="1236"/>
      <c r="AT787" s="473"/>
      <c r="AU787" s="473"/>
      <c r="AV787" s="1164"/>
      <c r="AW787" s="1164"/>
      <c r="AX787" s="1236"/>
      <c r="AY787" s="473"/>
      <c r="AZ787" s="1236"/>
      <c r="BA787" s="473"/>
      <c r="BB787" s="473"/>
      <c r="BC787" s="1164"/>
      <c r="BD787" s="20"/>
      <c r="BE787" s="473"/>
      <c r="BF787" s="610"/>
      <c r="BG787" s="610"/>
      <c r="BH787" s="610"/>
      <c r="BI787" s="610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</row>
    <row r="788" spans="1:148" s="22" customFormat="1" x14ac:dyDescent="0.25">
      <c r="A788" s="20"/>
      <c r="B788" s="16"/>
      <c r="C788" s="473"/>
      <c r="D788" s="473"/>
      <c r="E788" s="1164"/>
      <c r="F788" s="473"/>
      <c r="G788" s="473"/>
      <c r="H788" s="1164"/>
      <c r="I788" s="473"/>
      <c r="J788" s="473"/>
      <c r="K788" s="1164"/>
      <c r="L788" s="473"/>
      <c r="M788" s="473"/>
      <c r="N788" s="1164"/>
      <c r="O788" s="473"/>
      <c r="P788" s="473"/>
      <c r="Q788" s="1164"/>
      <c r="R788" s="473"/>
      <c r="S788" s="473"/>
      <c r="T788" s="1164"/>
      <c r="U788" s="1164"/>
      <c r="V788" s="473"/>
      <c r="W788" s="473"/>
      <c r="X788" s="1164"/>
      <c r="Y788" s="473"/>
      <c r="Z788" s="473"/>
      <c r="AA788" s="1164"/>
      <c r="AB788" s="473"/>
      <c r="AC788" s="1164"/>
      <c r="AD788" s="473"/>
      <c r="AE788" s="1164"/>
      <c r="AF788" s="473"/>
      <c r="AG788" s="1164"/>
      <c r="AH788" s="473"/>
      <c r="AI788" s="473"/>
      <c r="AJ788" s="1164"/>
      <c r="AK788" s="473"/>
      <c r="AL788" s="473"/>
      <c r="AM788" s="1164"/>
      <c r="AN788" s="473"/>
      <c r="AO788" s="473"/>
      <c r="AP788" s="1164"/>
      <c r="AQ788" s="473"/>
      <c r="AR788" s="473"/>
      <c r="AS788" s="1236"/>
      <c r="AT788" s="473"/>
      <c r="AU788" s="473"/>
      <c r="AV788" s="1164"/>
      <c r="AW788" s="1164"/>
      <c r="AX788" s="1236"/>
      <c r="AY788" s="473"/>
      <c r="AZ788" s="1236"/>
      <c r="BA788" s="473"/>
      <c r="BB788" s="473"/>
      <c r="BC788" s="1164"/>
      <c r="BD788" s="20"/>
      <c r="BE788" s="473"/>
      <c r="BF788" s="610"/>
      <c r="BG788" s="610"/>
      <c r="BH788" s="610"/>
      <c r="BI788" s="610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</row>
    <row r="789" spans="1:148" s="22" customFormat="1" x14ac:dyDescent="0.25">
      <c r="A789" s="20"/>
      <c r="B789" s="16"/>
      <c r="C789" s="473"/>
      <c r="D789" s="473"/>
      <c r="E789" s="1164"/>
      <c r="F789" s="473"/>
      <c r="G789" s="473"/>
      <c r="H789" s="1164"/>
      <c r="I789" s="473"/>
      <c r="J789" s="473"/>
      <c r="K789" s="1164"/>
      <c r="L789" s="473"/>
      <c r="M789" s="473"/>
      <c r="N789" s="1164"/>
      <c r="O789" s="473"/>
      <c r="P789" s="473"/>
      <c r="Q789" s="1164"/>
      <c r="R789" s="473"/>
      <c r="S789" s="473"/>
      <c r="T789" s="1164"/>
      <c r="U789" s="1164"/>
      <c r="V789" s="473"/>
      <c r="W789" s="473"/>
      <c r="X789" s="1164"/>
      <c r="Y789" s="473"/>
      <c r="Z789" s="473"/>
      <c r="AA789" s="1164"/>
      <c r="AB789" s="473"/>
      <c r="AC789" s="1164"/>
      <c r="AD789" s="473"/>
      <c r="AE789" s="1164"/>
      <c r="AF789" s="473"/>
      <c r="AG789" s="1164"/>
      <c r="AH789" s="473"/>
      <c r="AI789" s="473"/>
      <c r="AJ789" s="1164"/>
      <c r="AK789" s="473"/>
      <c r="AL789" s="473"/>
      <c r="AM789" s="1164"/>
      <c r="AN789" s="473"/>
      <c r="AO789" s="473"/>
      <c r="AP789" s="1164"/>
      <c r="AQ789" s="473"/>
      <c r="AR789" s="473"/>
      <c r="AS789" s="1236"/>
      <c r="AT789" s="473"/>
      <c r="AU789" s="473"/>
      <c r="AV789" s="1164"/>
      <c r="AW789" s="1164"/>
      <c r="AX789" s="1236"/>
      <c r="AY789" s="473"/>
      <c r="AZ789" s="1236"/>
      <c r="BA789" s="473"/>
      <c r="BB789" s="473"/>
      <c r="BC789" s="1164"/>
      <c r="BD789" s="20"/>
      <c r="BE789" s="473"/>
      <c r="BF789" s="610"/>
      <c r="BG789" s="610"/>
      <c r="BH789" s="610"/>
      <c r="BI789" s="610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</row>
    <row r="790" spans="1:148" s="22" customFormat="1" x14ac:dyDescent="0.25">
      <c r="A790" s="20"/>
      <c r="B790" s="16"/>
      <c r="C790" s="473"/>
      <c r="D790" s="473"/>
      <c r="E790" s="1164"/>
      <c r="F790" s="473"/>
      <c r="G790" s="473"/>
      <c r="H790" s="1164"/>
      <c r="I790" s="473"/>
      <c r="J790" s="473"/>
      <c r="K790" s="1164"/>
      <c r="L790" s="473"/>
      <c r="M790" s="473"/>
      <c r="N790" s="1164"/>
      <c r="O790" s="473"/>
      <c r="P790" s="473"/>
      <c r="Q790" s="1164"/>
      <c r="R790" s="473"/>
      <c r="S790" s="473"/>
      <c r="T790" s="1164"/>
      <c r="U790" s="1164"/>
      <c r="V790" s="473"/>
      <c r="W790" s="473"/>
      <c r="X790" s="1164"/>
      <c r="Y790" s="473"/>
      <c r="Z790" s="473"/>
      <c r="AA790" s="1164"/>
      <c r="AB790" s="473"/>
      <c r="AC790" s="1164"/>
      <c r="AD790" s="473"/>
      <c r="AE790" s="1164"/>
      <c r="AF790" s="473"/>
      <c r="AG790" s="1164"/>
      <c r="AH790" s="473"/>
      <c r="AI790" s="473"/>
      <c r="AJ790" s="1164"/>
      <c r="AK790" s="473"/>
      <c r="AL790" s="473"/>
      <c r="AM790" s="1164"/>
      <c r="AN790" s="473"/>
      <c r="AO790" s="473"/>
      <c r="AP790" s="1164"/>
      <c r="AQ790" s="473"/>
      <c r="AR790" s="473"/>
      <c r="AS790" s="1236"/>
      <c r="AT790" s="473"/>
      <c r="AU790" s="473"/>
      <c r="AV790" s="1164"/>
      <c r="AW790" s="1164"/>
      <c r="AX790" s="1236"/>
      <c r="AY790" s="473"/>
      <c r="AZ790" s="1236"/>
      <c r="BA790" s="473"/>
      <c r="BB790" s="473"/>
      <c r="BC790" s="1164"/>
      <c r="BD790" s="20"/>
      <c r="BE790" s="473"/>
      <c r="BF790" s="610"/>
      <c r="BG790" s="610"/>
      <c r="BH790" s="610"/>
      <c r="BI790" s="610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</row>
    <row r="791" spans="1:148" s="22" customFormat="1" x14ac:dyDescent="0.25">
      <c r="A791" s="20"/>
      <c r="B791" s="16"/>
      <c r="C791" s="473"/>
      <c r="D791" s="473"/>
      <c r="E791" s="1164"/>
      <c r="F791" s="473"/>
      <c r="G791" s="473"/>
      <c r="H791" s="1164"/>
      <c r="I791" s="473"/>
      <c r="J791" s="473"/>
      <c r="K791" s="1164"/>
      <c r="L791" s="473"/>
      <c r="M791" s="473"/>
      <c r="N791" s="1164"/>
      <c r="O791" s="473"/>
      <c r="P791" s="473"/>
      <c r="Q791" s="1164"/>
      <c r="R791" s="473"/>
      <c r="S791" s="473"/>
      <c r="T791" s="1164"/>
      <c r="U791" s="1164"/>
      <c r="V791" s="473"/>
      <c r="W791" s="473"/>
      <c r="X791" s="1164"/>
      <c r="Y791" s="473"/>
      <c r="Z791" s="473"/>
      <c r="AA791" s="1164"/>
      <c r="AB791" s="473"/>
      <c r="AC791" s="1164"/>
      <c r="AD791" s="473"/>
      <c r="AE791" s="1164"/>
      <c r="AF791" s="473"/>
      <c r="AG791" s="1164"/>
      <c r="AH791" s="473"/>
      <c r="AI791" s="473"/>
      <c r="AJ791" s="1164"/>
      <c r="AK791" s="473"/>
      <c r="AL791" s="473"/>
      <c r="AM791" s="1164"/>
      <c r="AN791" s="473"/>
      <c r="AO791" s="473"/>
      <c r="AP791" s="1164"/>
      <c r="AQ791" s="473"/>
      <c r="AR791" s="473"/>
      <c r="AS791" s="1236"/>
      <c r="AT791" s="473"/>
      <c r="AU791" s="473"/>
      <c r="AV791" s="1164"/>
      <c r="AW791" s="1164"/>
      <c r="AX791" s="1236"/>
      <c r="AY791" s="473"/>
      <c r="AZ791" s="1236"/>
      <c r="BA791" s="473"/>
      <c r="BB791" s="473"/>
      <c r="BC791" s="1164"/>
      <c r="BD791" s="20"/>
      <c r="BE791" s="473"/>
      <c r="BF791" s="610"/>
      <c r="BG791" s="610"/>
      <c r="BH791" s="610"/>
      <c r="BI791" s="610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</row>
    <row r="792" spans="1:148" s="22" customFormat="1" x14ac:dyDescent="0.25">
      <c r="A792" s="20"/>
      <c r="B792" s="16"/>
      <c r="C792" s="473"/>
      <c r="D792" s="473"/>
      <c r="E792" s="1164"/>
      <c r="F792" s="473"/>
      <c r="G792" s="473"/>
      <c r="H792" s="1164"/>
      <c r="I792" s="473"/>
      <c r="J792" s="473"/>
      <c r="K792" s="1164"/>
      <c r="L792" s="473"/>
      <c r="M792" s="473"/>
      <c r="N792" s="1164"/>
      <c r="O792" s="473"/>
      <c r="P792" s="473"/>
      <c r="Q792" s="1164"/>
      <c r="R792" s="473"/>
      <c r="S792" s="473"/>
      <c r="T792" s="1164"/>
      <c r="U792" s="1164"/>
      <c r="V792" s="473"/>
      <c r="W792" s="473"/>
      <c r="X792" s="1164"/>
      <c r="Y792" s="473"/>
      <c r="Z792" s="473"/>
      <c r="AA792" s="1164"/>
      <c r="AB792" s="473"/>
      <c r="AC792" s="1164"/>
      <c r="AD792" s="473"/>
      <c r="AE792" s="1164"/>
      <c r="AF792" s="473"/>
      <c r="AG792" s="1164"/>
      <c r="AH792" s="473"/>
      <c r="AI792" s="473"/>
      <c r="AJ792" s="1164"/>
      <c r="AK792" s="473"/>
      <c r="AL792" s="473"/>
      <c r="AM792" s="1164"/>
      <c r="AN792" s="473"/>
      <c r="AO792" s="473"/>
      <c r="AP792" s="1164"/>
      <c r="AQ792" s="473"/>
      <c r="AR792" s="473"/>
      <c r="AS792" s="1236"/>
      <c r="AT792" s="473"/>
      <c r="AU792" s="473"/>
      <c r="AV792" s="1164"/>
      <c r="AW792" s="1164"/>
      <c r="AX792" s="1236"/>
      <c r="AY792" s="473"/>
      <c r="AZ792" s="1236"/>
      <c r="BA792" s="473"/>
      <c r="BB792" s="473"/>
      <c r="BC792" s="1164"/>
      <c r="BD792" s="20"/>
      <c r="BE792" s="473"/>
      <c r="BF792" s="610"/>
      <c r="BG792" s="610"/>
      <c r="BH792" s="610"/>
      <c r="BI792" s="610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</row>
    <row r="793" spans="1:148" s="22" customFormat="1" x14ac:dyDescent="0.25">
      <c r="A793" s="20"/>
      <c r="B793" s="16"/>
      <c r="C793" s="473"/>
      <c r="D793" s="473"/>
      <c r="E793" s="1164"/>
      <c r="F793" s="473"/>
      <c r="G793" s="473"/>
      <c r="H793" s="1164"/>
      <c r="I793" s="473"/>
      <c r="J793" s="473"/>
      <c r="K793" s="1164"/>
      <c r="L793" s="473"/>
      <c r="M793" s="473"/>
      <c r="N793" s="1164"/>
      <c r="O793" s="473"/>
      <c r="P793" s="473"/>
      <c r="Q793" s="1164"/>
      <c r="R793" s="473"/>
      <c r="S793" s="473"/>
      <c r="T793" s="1164"/>
      <c r="U793" s="1164"/>
      <c r="V793" s="473"/>
      <c r="W793" s="473"/>
      <c r="X793" s="1164"/>
      <c r="Y793" s="473"/>
      <c r="Z793" s="473"/>
      <c r="AA793" s="1164"/>
      <c r="AB793" s="473"/>
      <c r="AC793" s="1164"/>
      <c r="AD793" s="473"/>
      <c r="AE793" s="1164"/>
      <c r="AF793" s="473"/>
      <c r="AG793" s="1164"/>
      <c r="AH793" s="473"/>
      <c r="AI793" s="473"/>
      <c r="AJ793" s="1164"/>
      <c r="AK793" s="473"/>
      <c r="AL793" s="473"/>
      <c r="AM793" s="1164"/>
      <c r="AN793" s="473"/>
      <c r="AO793" s="473"/>
      <c r="AP793" s="1164"/>
      <c r="AQ793" s="473"/>
      <c r="AR793" s="473"/>
      <c r="AS793" s="1236"/>
      <c r="AT793" s="473"/>
      <c r="AU793" s="473"/>
      <c r="AV793" s="1164"/>
      <c r="AW793" s="1164"/>
      <c r="AX793" s="1236"/>
      <c r="AY793" s="473"/>
      <c r="AZ793" s="1236"/>
      <c r="BA793" s="473"/>
      <c r="BB793" s="473"/>
      <c r="BC793" s="1164"/>
      <c r="BD793" s="20"/>
      <c r="BE793" s="473"/>
      <c r="BF793" s="610"/>
      <c r="BG793" s="610"/>
      <c r="BH793" s="610"/>
      <c r="BI793" s="610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</row>
    <row r="794" spans="1:148" s="22" customFormat="1" x14ac:dyDescent="0.25">
      <c r="A794" s="20"/>
      <c r="B794" s="16"/>
      <c r="C794" s="473"/>
      <c r="D794" s="473"/>
      <c r="E794" s="1164"/>
      <c r="F794" s="473"/>
      <c r="G794" s="473"/>
      <c r="H794" s="1164"/>
      <c r="I794" s="473"/>
      <c r="J794" s="473"/>
      <c r="K794" s="1164"/>
      <c r="L794" s="473"/>
      <c r="M794" s="473"/>
      <c r="N794" s="1164"/>
      <c r="O794" s="473"/>
      <c r="P794" s="473"/>
      <c r="Q794" s="1164"/>
      <c r="R794" s="473"/>
      <c r="S794" s="473"/>
      <c r="T794" s="1164"/>
      <c r="U794" s="1164"/>
      <c r="V794" s="473"/>
      <c r="W794" s="473"/>
      <c r="X794" s="1164"/>
      <c r="Y794" s="473"/>
      <c r="Z794" s="473"/>
      <c r="AA794" s="1164"/>
      <c r="AB794" s="473"/>
      <c r="AC794" s="1164"/>
      <c r="AD794" s="473"/>
      <c r="AE794" s="1164"/>
      <c r="AF794" s="473"/>
      <c r="AG794" s="1164"/>
      <c r="AH794" s="473"/>
      <c r="AI794" s="473"/>
      <c r="AJ794" s="1164"/>
      <c r="AK794" s="473"/>
      <c r="AL794" s="473"/>
      <c r="AM794" s="1164"/>
      <c r="AN794" s="473"/>
      <c r="AO794" s="473"/>
      <c r="AP794" s="1164"/>
      <c r="AQ794" s="473"/>
      <c r="AR794" s="473"/>
      <c r="AS794" s="1236"/>
      <c r="AT794" s="473"/>
      <c r="AU794" s="473"/>
      <c r="AV794" s="1164"/>
      <c r="AW794" s="1164"/>
      <c r="AX794" s="1236"/>
      <c r="AY794" s="473"/>
      <c r="AZ794" s="1236"/>
      <c r="BA794" s="473"/>
      <c r="BB794" s="473"/>
      <c r="BC794" s="1164"/>
      <c r="BD794" s="20"/>
      <c r="BE794" s="473"/>
      <c r="BF794" s="610"/>
      <c r="BG794" s="610"/>
      <c r="BH794" s="610"/>
      <c r="BI794" s="610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</row>
    <row r="795" spans="1:148" s="22" customFormat="1" x14ac:dyDescent="0.25">
      <c r="A795" s="20"/>
      <c r="B795" s="16"/>
      <c r="C795" s="473"/>
      <c r="D795" s="473"/>
      <c r="E795" s="1164"/>
      <c r="F795" s="473"/>
      <c r="G795" s="473"/>
      <c r="H795" s="1164"/>
      <c r="I795" s="473"/>
      <c r="J795" s="473"/>
      <c r="K795" s="1164"/>
      <c r="L795" s="473"/>
      <c r="M795" s="473"/>
      <c r="N795" s="1164"/>
      <c r="O795" s="473"/>
      <c r="P795" s="473"/>
      <c r="Q795" s="1164"/>
      <c r="R795" s="473"/>
      <c r="S795" s="473"/>
      <c r="T795" s="1164"/>
      <c r="U795" s="1164"/>
      <c r="V795" s="473"/>
      <c r="W795" s="473"/>
      <c r="X795" s="1164"/>
      <c r="Y795" s="473"/>
      <c r="Z795" s="473"/>
      <c r="AA795" s="1164"/>
      <c r="AB795" s="473"/>
      <c r="AC795" s="1164"/>
      <c r="AD795" s="473"/>
      <c r="AE795" s="1164"/>
      <c r="AF795" s="473"/>
      <c r="AG795" s="1164"/>
      <c r="AH795" s="473"/>
      <c r="AI795" s="473"/>
      <c r="AJ795" s="1164"/>
      <c r="AK795" s="473"/>
      <c r="AL795" s="473"/>
      <c r="AM795" s="1164"/>
      <c r="AN795" s="473"/>
      <c r="AO795" s="473"/>
      <c r="AP795" s="1164"/>
      <c r="AQ795" s="473"/>
      <c r="AR795" s="473"/>
      <c r="AS795" s="1236"/>
      <c r="AT795" s="473"/>
      <c r="AU795" s="473"/>
      <c r="AV795" s="1164"/>
      <c r="AW795" s="1164"/>
      <c r="AX795" s="1236"/>
      <c r="AY795" s="473"/>
      <c r="AZ795" s="1236"/>
      <c r="BA795" s="473"/>
      <c r="BB795" s="473"/>
      <c r="BC795" s="1164"/>
      <c r="BD795" s="20"/>
      <c r="BE795" s="473"/>
      <c r="BF795" s="610"/>
      <c r="BG795" s="610"/>
      <c r="BH795" s="610"/>
      <c r="BI795" s="610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</row>
    <row r="796" spans="1:148" s="22" customFormat="1" x14ac:dyDescent="0.25">
      <c r="A796" s="20"/>
      <c r="B796" s="16"/>
      <c r="C796" s="473"/>
      <c r="D796" s="473"/>
      <c r="E796" s="1164"/>
      <c r="F796" s="473"/>
      <c r="G796" s="473"/>
      <c r="H796" s="1164"/>
      <c r="I796" s="473"/>
      <c r="J796" s="473"/>
      <c r="K796" s="1164"/>
      <c r="L796" s="473"/>
      <c r="M796" s="473"/>
      <c r="N796" s="1164"/>
      <c r="O796" s="473"/>
      <c r="P796" s="473"/>
      <c r="Q796" s="1164"/>
      <c r="R796" s="473"/>
      <c r="S796" s="473"/>
      <c r="T796" s="1164"/>
      <c r="U796" s="1164"/>
      <c r="V796" s="473"/>
      <c r="W796" s="473"/>
      <c r="X796" s="1164"/>
      <c r="Y796" s="473"/>
      <c r="Z796" s="473"/>
      <c r="AA796" s="1164"/>
      <c r="AB796" s="473"/>
      <c r="AC796" s="1164"/>
      <c r="AD796" s="473"/>
      <c r="AE796" s="1164"/>
      <c r="AF796" s="473"/>
      <c r="AG796" s="1164"/>
      <c r="AH796" s="473"/>
      <c r="AI796" s="473"/>
      <c r="AJ796" s="1164"/>
      <c r="AK796" s="473"/>
      <c r="AL796" s="473"/>
      <c r="AM796" s="1164"/>
      <c r="AN796" s="473"/>
      <c r="AO796" s="473"/>
      <c r="AP796" s="1164"/>
      <c r="AQ796" s="473"/>
      <c r="AR796" s="473"/>
      <c r="AS796" s="1236"/>
      <c r="AT796" s="473"/>
      <c r="AU796" s="473"/>
      <c r="AV796" s="1164"/>
      <c r="AW796" s="1164"/>
      <c r="AX796" s="1236"/>
      <c r="AY796" s="473"/>
      <c r="AZ796" s="1236"/>
      <c r="BA796" s="473"/>
      <c r="BB796" s="473"/>
      <c r="BC796" s="1164"/>
      <c r="BD796" s="20"/>
      <c r="BE796" s="473"/>
      <c r="BF796" s="610"/>
      <c r="BG796" s="610"/>
      <c r="BH796" s="610"/>
      <c r="BI796" s="610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</row>
    <row r="797" spans="1:148" s="22" customFormat="1" x14ac:dyDescent="0.25">
      <c r="A797" s="20"/>
      <c r="B797" s="16"/>
      <c r="C797" s="473"/>
      <c r="D797" s="473"/>
      <c r="E797" s="1164"/>
      <c r="F797" s="473"/>
      <c r="G797" s="473"/>
      <c r="H797" s="1164"/>
      <c r="I797" s="473"/>
      <c r="J797" s="473"/>
      <c r="K797" s="1164"/>
      <c r="L797" s="473"/>
      <c r="M797" s="473"/>
      <c r="N797" s="1164"/>
      <c r="O797" s="473"/>
      <c r="P797" s="473"/>
      <c r="Q797" s="1164"/>
      <c r="R797" s="473"/>
      <c r="S797" s="473"/>
      <c r="T797" s="1164"/>
      <c r="U797" s="1164"/>
      <c r="V797" s="473"/>
      <c r="W797" s="473"/>
      <c r="X797" s="1164"/>
      <c r="Y797" s="473"/>
      <c r="Z797" s="473"/>
      <c r="AA797" s="1164"/>
      <c r="AB797" s="473"/>
      <c r="AC797" s="1164"/>
      <c r="AD797" s="473"/>
      <c r="AE797" s="1164"/>
      <c r="AF797" s="473"/>
      <c r="AG797" s="1164"/>
      <c r="AH797" s="473"/>
      <c r="AI797" s="473"/>
      <c r="AJ797" s="1164"/>
      <c r="AK797" s="473"/>
      <c r="AL797" s="473"/>
      <c r="AM797" s="1164"/>
      <c r="AN797" s="473"/>
      <c r="AO797" s="473"/>
      <c r="AP797" s="1164"/>
      <c r="AQ797" s="473"/>
      <c r="AR797" s="473"/>
      <c r="AS797" s="1236"/>
      <c r="AT797" s="473"/>
      <c r="AU797" s="473"/>
      <c r="AV797" s="1164"/>
      <c r="AW797" s="1164"/>
      <c r="AX797" s="1236"/>
      <c r="AY797" s="473"/>
      <c r="AZ797" s="1236"/>
      <c r="BA797" s="473"/>
      <c r="BB797" s="473"/>
      <c r="BC797" s="1164"/>
      <c r="BD797" s="20"/>
      <c r="BE797" s="473"/>
      <c r="BF797" s="610"/>
      <c r="BG797" s="610"/>
      <c r="BH797" s="610"/>
      <c r="BI797" s="610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</row>
    <row r="798" spans="1:148" s="22" customFormat="1" x14ac:dyDescent="0.25">
      <c r="A798" s="20"/>
      <c r="B798" s="16"/>
      <c r="C798" s="473"/>
      <c r="D798" s="473"/>
      <c r="E798" s="1164"/>
      <c r="F798" s="473"/>
      <c r="G798" s="473"/>
      <c r="H798" s="1164"/>
      <c r="I798" s="473"/>
      <c r="J798" s="473"/>
      <c r="K798" s="1164"/>
      <c r="L798" s="473"/>
      <c r="M798" s="473"/>
      <c r="N798" s="1164"/>
      <c r="O798" s="473"/>
      <c r="P798" s="473"/>
      <c r="Q798" s="1164"/>
      <c r="R798" s="473"/>
      <c r="S798" s="473"/>
      <c r="T798" s="1164"/>
      <c r="U798" s="1164"/>
      <c r="V798" s="473"/>
      <c r="W798" s="473"/>
      <c r="X798" s="1164"/>
      <c r="Y798" s="473"/>
      <c r="Z798" s="473"/>
      <c r="AA798" s="1164"/>
      <c r="AB798" s="473"/>
      <c r="AC798" s="1164"/>
      <c r="AD798" s="473"/>
      <c r="AE798" s="1164"/>
      <c r="AF798" s="473"/>
      <c r="AG798" s="1164"/>
      <c r="AH798" s="473"/>
      <c r="AI798" s="473"/>
      <c r="AJ798" s="1164"/>
      <c r="AK798" s="473"/>
      <c r="AL798" s="473"/>
      <c r="AM798" s="1164"/>
      <c r="AN798" s="473"/>
      <c r="AO798" s="473"/>
      <c r="AP798" s="1164"/>
      <c r="AQ798" s="473"/>
      <c r="AR798" s="473"/>
      <c r="AS798" s="1236"/>
      <c r="AT798" s="473"/>
      <c r="AU798" s="473"/>
      <c r="AV798" s="1164"/>
      <c r="AW798" s="1164"/>
      <c r="AX798" s="1236"/>
      <c r="AY798" s="473"/>
      <c r="AZ798" s="1236"/>
      <c r="BA798" s="473"/>
      <c r="BB798" s="473"/>
      <c r="BC798" s="1164"/>
      <c r="BD798" s="20"/>
      <c r="BE798" s="473"/>
      <c r="BF798" s="610"/>
      <c r="BG798" s="610"/>
      <c r="BH798" s="610"/>
      <c r="BI798" s="610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</row>
    <row r="799" spans="1:148" s="22" customFormat="1" x14ac:dyDescent="0.25">
      <c r="A799" s="20"/>
      <c r="B799" s="16"/>
      <c r="C799" s="473"/>
      <c r="D799" s="473"/>
      <c r="E799" s="1164"/>
      <c r="F799" s="473"/>
      <c r="G799" s="473"/>
      <c r="H799" s="1164"/>
      <c r="I799" s="473"/>
      <c r="J799" s="473"/>
      <c r="K799" s="1164"/>
      <c r="L799" s="473"/>
      <c r="M799" s="473"/>
      <c r="N799" s="1164"/>
      <c r="O799" s="473"/>
      <c r="P799" s="473"/>
      <c r="Q799" s="1164"/>
      <c r="R799" s="473"/>
      <c r="S799" s="473"/>
      <c r="T799" s="1164"/>
      <c r="U799" s="1164"/>
      <c r="V799" s="473"/>
      <c r="W799" s="473"/>
      <c r="X799" s="1164"/>
      <c r="Y799" s="473"/>
      <c r="Z799" s="473"/>
      <c r="AA799" s="1164"/>
      <c r="AB799" s="473"/>
      <c r="AC799" s="1164"/>
      <c r="AD799" s="473"/>
      <c r="AE799" s="1164"/>
      <c r="AF799" s="473"/>
      <c r="AG799" s="1164"/>
      <c r="AH799" s="473"/>
      <c r="AI799" s="473"/>
      <c r="AJ799" s="1164"/>
      <c r="AK799" s="473"/>
      <c r="AL799" s="473"/>
      <c r="AM799" s="1164"/>
      <c r="AN799" s="473"/>
      <c r="AO799" s="473"/>
      <c r="AP799" s="1164"/>
      <c r="AQ799" s="473"/>
      <c r="AR799" s="473"/>
      <c r="AS799" s="1236"/>
      <c r="AT799" s="473"/>
      <c r="AU799" s="473"/>
      <c r="AV799" s="1164"/>
      <c r="AW799" s="1164"/>
      <c r="AX799" s="1236"/>
      <c r="AY799" s="473"/>
      <c r="AZ799" s="1236"/>
      <c r="BA799" s="473"/>
      <c r="BB799" s="473"/>
      <c r="BC799" s="1164"/>
      <c r="BD799" s="20"/>
      <c r="BE799" s="473"/>
      <c r="BF799" s="610"/>
      <c r="BG799" s="610"/>
      <c r="BH799" s="610"/>
      <c r="BI799" s="610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</row>
    <row r="800" spans="1:148" s="22" customFormat="1" x14ac:dyDescent="0.25">
      <c r="A800" s="20"/>
      <c r="B800" s="16"/>
      <c r="C800" s="473"/>
      <c r="D800" s="473"/>
      <c r="E800" s="1164"/>
      <c r="F800" s="473"/>
      <c r="G800" s="473"/>
      <c r="H800" s="1164"/>
      <c r="I800" s="473"/>
      <c r="J800" s="473"/>
      <c r="K800" s="1164"/>
      <c r="L800" s="473"/>
      <c r="M800" s="473"/>
      <c r="N800" s="1164"/>
      <c r="O800" s="473"/>
      <c r="P800" s="473"/>
      <c r="Q800" s="1164"/>
      <c r="R800" s="473"/>
      <c r="S800" s="473"/>
      <c r="T800" s="1164"/>
      <c r="U800" s="1164"/>
      <c r="V800" s="473"/>
      <c r="W800" s="473"/>
      <c r="X800" s="1164"/>
      <c r="Y800" s="473"/>
      <c r="Z800" s="473"/>
      <c r="AA800" s="1164"/>
      <c r="AB800" s="473"/>
      <c r="AC800" s="1164"/>
      <c r="AD800" s="473"/>
      <c r="AE800" s="1164"/>
      <c r="AF800" s="473"/>
      <c r="AG800" s="1164"/>
      <c r="AH800" s="473"/>
      <c r="AI800" s="473"/>
      <c r="AJ800" s="1164"/>
      <c r="AK800" s="473"/>
      <c r="AL800" s="473"/>
      <c r="AM800" s="1164"/>
      <c r="AN800" s="473"/>
      <c r="AO800" s="473"/>
      <c r="AP800" s="1164"/>
      <c r="AQ800" s="473"/>
      <c r="AR800" s="473"/>
      <c r="AS800" s="1236"/>
      <c r="AT800" s="473"/>
      <c r="AU800" s="473"/>
      <c r="AV800" s="1164"/>
      <c r="AW800" s="1164"/>
      <c r="AX800" s="1236"/>
      <c r="AY800" s="473"/>
      <c r="AZ800" s="1236"/>
      <c r="BA800" s="473"/>
      <c r="BB800" s="473"/>
      <c r="BC800" s="1164"/>
      <c r="BD800" s="20"/>
      <c r="BE800" s="473"/>
      <c r="BF800" s="610"/>
      <c r="BG800" s="610"/>
      <c r="BH800" s="610"/>
      <c r="BI800" s="610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</row>
    <row r="801" spans="1:148" s="22" customFormat="1" x14ac:dyDescent="0.25">
      <c r="A801" s="20"/>
      <c r="B801" s="16"/>
      <c r="C801" s="473"/>
      <c r="D801" s="473"/>
      <c r="E801" s="1164"/>
      <c r="F801" s="473"/>
      <c r="G801" s="473"/>
      <c r="H801" s="1164"/>
      <c r="I801" s="473"/>
      <c r="J801" s="473"/>
      <c r="K801" s="1164"/>
      <c r="L801" s="473"/>
      <c r="M801" s="473"/>
      <c r="N801" s="1164"/>
      <c r="O801" s="473"/>
      <c r="P801" s="473"/>
      <c r="Q801" s="1164"/>
      <c r="R801" s="473"/>
      <c r="S801" s="473"/>
      <c r="T801" s="1164"/>
      <c r="U801" s="1164"/>
      <c r="V801" s="473"/>
      <c r="W801" s="473"/>
      <c r="X801" s="1164"/>
      <c r="Y801" s="473"/>
      <c r="Z801" s="473"/>
      <c r="AA801" s="1164"/>
      <c r="AB801" s="473"/>
      <c r="AC801" s="1164"/>
      <c r="AD801" s="473"/>
      <c r="AE801" s="1164"/>
      <c r="AF801" s="473"/>
      <c r="AG801" s="1164"/>
      <c r="AH801" s="473"/>
      <c r="AI801" s="473"/>
      <c r="AJ801" s="1164"/>
      <c r="AK801" s="473"/>
      <c r="AL801" s="473"/>
      <c r="AM801" s="1164"/>
      <c r="AN801" s="473"/>
      <c r="AO801" s="473"/>
      <c r="AP801" s="1164"/>
      <c r="AQ801" s="473"/>
      <c r="AR801" s="473"/>
      <c r="AS801" s="1236"/>
      <c r="AT801" s="473"/>
      <c r="AU801" s="473"/>
      <c r="AV801" s="1164"/>
      <c r="AW801" s="1164"/>
      <c r="AX801" s="1236"/>
      <c r="AY801" s="473"/>
      <c r="AZ801" s="1236"/>
      <c r="BA801" s="473"/>
      <c r="BB801" s="473"/>
      <c r="BC801" s="1164"/>
      <c r="BD801" s="20"/>
      <c r="BE801" s="473"/>
      <c r="BF801" s="610"/>
      <c r="BG801" s="610"/>
      <c r="BH801" s="610"/>
      <c r="BI801" s="610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</row>
    <row r="802" spans="1:148" s="22" customFormat="1" x14ac:dyDescent="0.25">
      <c r="A802" s="20"/>
      <c r="B802" s="16"/>
      <c r="C802" s="473"/>
      <c r="D802" s="473"/>
      <c r="E802" s="1164"/>
      <c r="F802" s="473"/>
      <c r="G802" s="473"/>
      <c r="H802" s="1164"/>
      <c r="I802" s="473"/>
      <c r="J802" s="473"/>
      <c r="K802" s="1164"/>
      <c r="L802" s="473"/>
      <c r="M802" s="473"/>
      <c r="N802" s="1164"/>
      <c r="O802" s="473"/>
      <c r="P802" s="473"/>
      <c r="Q802" s="1164"/>
      <c r="R802" s="473"/>
      <c r="S802" s="473"/>
      <c r="T802" s="1164"/>
      <c r="U802" s="1164"/>
      <c r="V802" s="473"/>
      <c r="W802" s="473"/>
      <c r="X802" s="1164"/>
      <c r="Y802" s="473"/>
      <c r="Z802" s="473"/>
      <c r="AA802" s="1164"/>
      <c r="AB802" s="473"/>
      <c r="AC802" s="1164"/>
      <c r="AD802" s="473"/>
      <c r="AE802" s="1164"/>
      <c r="AF802" s="473"/>
      <c r="AG802" s="1164"/>
      <c r="AH802" s="473"/>
      <c r="AI802" s="473"/>
      <c r="AJ802" s="1164"/>
      <c r="AK802" s="473"/>
      <c r="AL802" s="473"/>
      <c r="AM802" s="1164"/>
      <c r="AN802" s="473"/>
      <c r="AO802" s="473"/>
      <c r="AP802" s="1164"/>
      <c r="AQ802" s="473"/>
      <c r="AR802" s="473"/>
      <c r="AS802" s="1236"/>
      <c r="AT802" s="473"/>
      <c r="AU802" s="473"/>
      <c r="AV802" s="1164"/>
      <c r="AW802" s="1164"/>
      <c r="AX802" s="1236"/>
      <c r="AY802" s="473"/>
      <c r="AZ802" s="1236"/>
      <c r="BA802" s="473"/>
      <c r="BB802" s="473"/>
      <c r="BC802" s="1164"/>
      <c r="BD802" s="20"/>
      <c r="BE802" s="473"/>
      <c r="BF802" s="610"/>
      <c r="BG802" s="610"/>
      <c r="BH802" s="610"/>
      <c r="BI802" s="610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</row>
    <row r="803" spans="1:148" s="22" customFormat="1" x14ac:dyDescent="0.25">
      <c r="A803" s="20"/>
      <c r="B803" s="16"/>
      <c r="C803" s="473"/>
      <c r="D803" s="473"/>
      <c r="E803" s="1164"/>
      <c r="F803" s="473"/>
      <c r="G803" s="473"/>
      <c r="H803" s="1164"/>
      <c r="I803" s="473"/>
      <c r="J803" s="473"/>
      <c r="K803" s="1164"/>
      <c r="L803" s="473"/>
      <c r="M803" s="473"/>
      <c r="N803" s="1164"/>
      <c r="O803" s="473"/>
      <c r="P803" s="473"/>
      <c r="Q803" s="1164"/>
      <c r="R803" s="473"/>
      <c r="S803" s="473"/>
      <c r="T803" s="1164"/>
      <c r="U803" s="1164"/>
      <c r="V803" s="473"/>
      <c r="W803" s="473"/>
      <c r="X803" s="1164"/>
      <c r="Y803" s="473"/>
      <c r="Z803" s="473"/>
      <c r="AA803" s="1164"/>
      <c r="AB803" s="473"/>
      <c r="AC803" s="1164"/>
      <c r="AD803" s="473"/>
      <c r="AE803" s="1164"/>
      <c r="AF803" s="473"/>
      <c r="AG803" s="1164"/>
      <c r="AH803" s="473"/>
      <c r="AI803" s="473"/>
      <c r="AJ803" s="1164"/>
      <c r="AK803" s="473"/>
      <c r="AL803" s="473"/>
      <c r="AM803" s="1164"/>
      <c r="AN803" s="473"/>
      <c r="AO803" s="473"/>
      <c r="AP803" s="1164"/>
      <c r="AQ803" s="473"/>
      <c r="AR803" s="473"/>
      <c r="AS803" s="1236"/>
      <c r="AT803" s="473"/>
      <c r="AU803" s="473"/>
      <c r="AV803" s="1164"/>
      <c r="AW803" s="1164"/>
      <c r="AX803" s="1236"/>
      <c r="AY803" s="473"/>
      <c r="AZ803" s="1236"/>
      <c r="BA803" s="473"/>
      <c r="BB803" s="473"/>
      <c r="BC803" s="1164"/>
      <c r="BD803" s="20"/>
      <c r="BE803" s="473"/>
      <c r="BF803" s="610"/>
      <c r="BG803" s="610"/>
      <c r="BH803" s="610"/>
      <c r="BI803" s="610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</row>
    <row r="804" spans="1:148" s="22" customFormat="1" x14ac:dyDescent="0.25">
      <c r="A804" s="20"/>
      <c r="B804" s="16"/>
      <c r="C804" s="473"/>
      <c r="D804" s="473"/>
      <c r="E804" s="1164"/>
      <c r="F804" s="473"/>
      <c r="G804" s="473"/>
      <c r="H804" s="1164"/>
      <c r="I804" s="473"/>
      <c r="J804" s="473"/>
      <c r="K804" s="1164"/>
      <c r="L804" s="473"/>
      <c r="M804" s="473"/>
      <c r="N804" s="1164"/>
      <c r="O804" s="473"/>
      <c r="P804" s="473"/>
      <c r="Q804" s="1164"/>
      <c r="R804" s="473"/>
      <c r="S804" s="473"/>
      <c r="T804" s="1164"/>
      <c r="U804" s="1164"/>
      <c r="V804" s="473"/>
      <c r="W804" s="473"/>
      <c r="X804" s="1164"/>
      <c r="Y804" s="473"/>
      <c r="Z804" s="473"/>
      <c r="AA804" s="1164"/>
      <c r="AB804" s="473"/>
      <c r="AC804" s="1164"/>
      <c r="AD804" s="473"/>
      <c r="AE804" s="1164"/>
      <c r="AF804" s="473"/>
      <c r="AG804" s="1164"/>
      <c r="AH804" s="473"/>
      <c r="AI804" s="473"/>
      <c r="AJ804" s="1164"/>
      <c r="AK804" s="473"/>
      <c r="AL804" s="473"/>
      <c r="AM804" s="1164"/>
      <c r="AN804" s="473"/>
      <c r="AO804" s="473"/>
      <c r="AP804" s="1164"/>
      <c r="AQ804" s="473"/>
      <c r="AR804" s="473"/>
      <c r="AS804" s="1236"/>
      <c r="AT804" s="473"/>
      <c r="AU804" s="473"/>
      <c r="AV804" s="1164"/>
      <c r="AW804" s="1164"/>
      <c r="AX804" s="1236"/>
      <c r="AY804" s="473"/>
      <c r="AZ804" s="1236"/>
      <c r="BA804" s="473"/>
      <c r="BB804" s="473"/>
      <c r="BC804" s="1164"/>
      <c r="BD804" s="20"/>
      <c r="BE804" s="473"/>
      <c r="BF804" s="610"/>
      <c r="BG804" s="610"/>
      <c r="BH804" s="610"/>
      <c r="BI804" s="610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</row>
    <row r="805" spans="1:148" s="22" customFormat="1" x14ac:dyDescent="0.25">
      <c r="A805" s="20"/>
      <c r="B805" s="16"/>
      <c r="C805" s="473"/>
      <c r="D805" s="473"/>
      <c r="E805" s="1164"/>
      <c r="F805" s="473"/>
      <c r="G805" s="473"/>
      <c r="H805" s="1164"/>
      <c r="I805" s="473"/>
      <c r="J805" s="473"/>
      <c r="K805" s="1164"/>
      <c r="L805" s="473"/>
      <c r="M805" s="473"/>
      <c r="N805" s="1164"/>
      <c r="O805" s="473"/>
      <c r="P805" s="473"/>
      <c r="Q805" s="1164"/>
      <c r="R805" s="473"/>
      <c r="S805" s="473"/>
      <c r="T805" s="1164"/>
      <c r="U805" s="1164"/>
      <c r="V805" s="473"/>
      <c r="W805" s="473"/>
      <c r="X805" s="1164"/>
      <c r="Y805" s="473"/>
      <c r="Z805" s="473"/>
      <c r="AA805" s="1164"/>
      <c r="AB805" s="473"/>
      <c r="AC805" s="1164"/>
      <c r="AD805" s="473"/>
      <c r="AE805" s="1164"/>
      <c r="AF805" s="473"/>
      <c r="AG805" s="1164"/>
      <c r="AH805" s="473"/>
      <c r="AI805" s="473"/>
      <c r="AJ805" s="1164"/>
      <c r="AK805" s="473"/>
      <c r="AL805" s="473"/>
      <c r="AM805" s="1164"/>
      <c r="AN805" s="473"/>
      <c r="AO805" s="473"/>
      <c r="AP805" s="1164"/>
      <c r="AQ805" s="473"/>
      <c r="AR805" s="473"/>
      <c r="AS805" s="1236"/>
      <c r="AT805" s="473"/>
      <c r="AU805" s="473"/>
      <c r="AV805" s="1164"/>
      <c r="AW805" s="1164"/>
      <c r="AX805" s="1236"/>
      <c r="AY805" s="473"/>
      <c r="AZ805" s="1236"/>
      <c r="BA805" s="473"/>
      <c r="BB805" s="473"/>
      <c r="BC805" s="1164"/>
      <c r="BD805" s="20"/>
      <c r="BE805" s="473"/>
      <c r="BF805" s="610"/>
      <c r="BG805" s="610"/>
      <c r="BH805" s="610"/>
      <c r="BI805" s="610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</row>
    <row r="806" spans="1:148" s="22" customFormat="1" x14ac:dyDescent="0.25">
      <c r="A806" s="20"/>
      <c r="B806" s="16"/>
      <c r="C806" s="473"/>
      <c r="D806" s="473"/>
      <c r="E806" s="1164"/>
      <c r="F806" s="473"/>
      <c r="G806" s="473"/>
      <c r="H806" s="1164"/>
      <c r="I806" s="473"/>
      <c r="J806" s="473"/>
      <c r="K806" s="1164"/>
      <c r="L806" s="473"/>
      <c r="M806" s="473"/>
      <c r="N806" s="1164"/>
      <c r="O806" s="473"/>
      <c r="P806" s="473"/>
      <c r="Q806" s="1164"/>
      <c r="R806" s="473"/>
      <c r="S806" s="473"/>
      <c r="T806" s="1164"/>
      <c r="U806" s="1164"/>
      <c r="V806" s="473"/>
      <c r="W806" s="473"/>
      <c r="X806" s="1164"/>
      <c r="Y806" s="473"/>
      <c r="Z806" s="473"/>
      <c r="AA806" s="1164"/>
      <c r="AB806" s="473"/>
      <c r="AC806" s="1164"/>
      <c r="AD806" s="473"/>
      <c r="AE806" s="1164"/>
      <c r="AF806" s="473"/>
      <c r="AG806" s="1164"/>
      <c r="AH806" s="473"/>
      <c r="AI806" s="473"/>
      <c r="AJ806" s="1164"/>
      <c r="AK806" s="473"/>
      <c r="AL806" s="473"/>
      <c r="AM806" s="1164"/>
      <c r="AN806" s="473"/>
      <c r="AO806" s="473"/>
      <c r="AP806" s="1164"/>
      <c r="AQ806" s="473"/>
      <c r="AR806" s="473"/>
      <c r="AS806" s="1236"/>
      <c r="AT806" s="473"/>
      <c r="AU806" s="473"/>
      <c r="AV806" s="1164"/>
      <c r="AW806" s="1164"/>
      <c r="AX806" s="1236"/>
      <c r="AY806" s="473"/>
      <c r="AZ806" s="1236"/>
      <c r="BA806" s="473"/>
      <c r="BB806" s="473"/>
      <c r="BC806" s="1164"/>
      <c r="BD806" s="20"/>
      <c r="BE806" s="473"/>
      <c r="BF806" s="610"/>
      <c r="BG806" s="610"/>
      <c r="BH806" s="610"/>
      <c r="BI806" s="610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</row>
    <row r="807" spans="1:148" s="22" customFormat="1" x14ac:dyDescent="0.25">
      <c r="A807" s="20"/>
      <c r="B807" s="16"/>
      <c r="C807" s="473"/>
      <c r="D807" s="473"/>
      <c r="E807" s="1164"/>
      <c r="F807" s="473"/>
      <c r="G807" s="473"/>
      <c r="H807" s="1164"/>
      <c r="I807" s="473"/>
      <c r="J807" s="473"/>
      <c r="K807" s="1164"/>
      <c r="L807" s="473"/>
      <c r="M807" s="473"/>
      <c r="N807" s="1164"/>
      <c r="O807" s="473"/>
      <c r="P807" s="473"/>
      <c r="Q807" s="1164"/>
      <c r="R807" s="473"/>
      <c r="S807" s="473"/>
      <c r="T807" s="1164"/>
      <c r="U807" s="1164"/>
      <c r="V807" s="473"/>
      <c r="W807" s="473"/>
      <c r="X807" s="1164"/>
      <c r="Y807" s="473"/>
      <c r="Z807" s="473"/>
      <c r="AA807" s="1164"/>
      <c r="AB807" s="473"/>
      <c r="AC807" s="1164"/>
      <c r="AD807" s="473"/>
      <c r="AE807" s="1164"/>
      <c r="AF807" s="473"/>
      <c r="AG807" s="1164"/>
      <c r="AH807" s="473"/>
      <c r="AI807" s="473"/>
      <c r="AJ807" s="1164"/>
      <c r="AK807" s="473"/>
      <c r="AL807" s="473"/>
      <c r="AM807" s="1164"/>
      <c r="AN807" s="473"/>
      <c r="AO807" s="473"/>
      <c r="AP807" s="1164"/>
      <c r="AQ807" s="473"/>
      <c r="AR807" s="473"/>
      <c r="AS807" s="1236"/>
      <c r="AT807" s="473"/>
      <c r="AU807" s="473"/>
      <c r="AV807" s="1164"/>
      <c r="AW807" s="1164"/>
      <c r="AX807" s="1236"/>
      <c r="AY807" s="473"/>
      <c r="AZ807" s="1236"/>
      <c r="BA807" s="473"/>
      <c r="BB807" s="473"/>
      <c r="BC807" s="1164"/>
      <c r="BD807" s="20"/>
      <c r="BE807" s="473"/>
      <c r="BF807" s="610"/>
      <c r="BG807" s="610"/>
      <c r="BH807" s="610"/>
      <c r="BI807" s="610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</row>
    <row r="808" spans="1:148" s="22" customFormat="1" x14ac:dyDescent="0.25">
      <c r="A808" s="20"/>
      <c r="B808" s="16"/>
      <c r="C808" s="473"/>
      <c r="D808" s="473"/>
      <c r="E808" s="1164"/>
      <c r="F808" s="473"/>
      <c r="G808" s="473"/>
      <c r="H808" s="1164"/>
      <c r="I808" s="473"/>
      <c r="J808" s="473"/>
      <c r="K808" s="1164"/>
      <c r="L808" s="473"/>
      <c r="M808" s="473"/>
      <c r="N808" s="1164"/>
      <c r="O808" s="473"/>
      <c r="P808" s="473"/>
      <c r="Q808" s="1164"/>
      <c r="R808" s="473"/>
      <c r="S808" s="473"/>
      <c r="T808" s="1164"/>
      <c r="U808" s="1164"/>
      <c r="V808" s="473"/>
      <c r="W808" s="473"/>
      <c r="X808" s="1164"/>
      <c r="Y808" s="473"/>
      <c r="Z808" s="473"/>
      <c r="AA808" s="1164"/>
      <c r="AB808" s="473"/>
      <c r="AC808" s="1164"/>
      <c r="AD808" s="473"/>
      <c r="AE808" s="1164"/>
      <c r="AF808" s="473"/>
      <c r="AG808" s="1164"/>
      <c r="AH808" s="473"/>
      <c r="AI808" s="473"/>
      <c r="AJ808" s="1164"/>
      <c r="AK808" s="473"/>
      <c r="AL808" s="473"/>
      <c r="AM808" s="1164"/>
      <c r="AN808" s="473"/>
      <c r="AO808" s="473"/>
      <c r="AP808" s="1164"/>
      <c r="AQ808" s="473"/>
      <c r="AR808" s="473"/>
      <c r="AS808" s="1236"/>
      <c r="AT808" s="473"/>
      <c r="AU808" s="473"/>
      <c r="AV808" s="1164"/>
      <c r="AW808" s="1164"/>
      <c r="AX808" s="1236"/>
      <c r="AY808" s="473"/>
      <c r="AZ808" s="1236"/>
      <c r="BA808" s="473"/>
      <c r="BB808" s="473"/>
      <c r="BC808" s="1164"/>
      <c r="BD808" s="20"/>
      <c r="BE808" s="473"/>
      <c r="BF808" s="610"/>
      <c r="BG808" s="610"/>
      <c r="BH808" s="610"/>
      <c r="BI808" s="610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</row>
    <row r="809" spans="1:148" s="22" customFormat="1" x14ac:dyDescent="0.25">
      <c r="A809" s="20"/>
      <c r="B809" s="16"/>
      <c r="C809" s="473"/>
      <c r="D809" s="473"/>
      <c r="E809" s="1164"/>
      <c r="F809" s="473"/>
      <c r="G809" s="473"/>
      <c r="H809" s="1164"/>
      <c r="I809" s="473"/>
      <c r="J809" s="473"/>
      <c r="K809" s="1164"/>
      <c r="L809" s="473"/>
      <c r="M809" s="473"/>
      <c r="N809" s="1164"/>
      <c r="O809" s="473"/>
      <c r="P809" s="473"/>
      <c r="Q809" s="1164"/>
      <c r="R809" s="473"/>
      <c r="S809" s="473"/>
      <c r="T809" s="1164"/>
      <c r="U809" s="1164"/>
      <c r="V809" s="473"/>
      <c r="W809" s="473"/>
      <c r="X809" s="1164"/>
      <c r="Y809" s="473"/>
      <c r="Z809" s="473"/>
      <c r="AA809" s="1164"/>
      <c r="AB809" s="473"/>
      <c r="AC809" s="1164"/>
      <c r="AD809" s="473"/>
      <c r="AE809" s="1164"/>
      <c r="AF809" s="473"/>
      <c r="AG809" s="1164"/>
      <c r="AH809" s="473"/>
      <c r="AI809" s="473"/>
      <c r="AJ809" s="1164"/>
      <c r="AK809" s="473"/>
      <c r="AL809" s="473"/>
      <c r="AM809" s="1164"/>
      <c r="AN809" s="473"/>
      <c r="AO809" s="473"/>
      <c r="AP809" s="1164"/>
      <c r="AQ809" s="473"/>
      <c r="AR809" s="473"/>
      <c r="AS809" s="1236"/>
      <c r="AT809" s="473"/>
      <c r="AU809" s="473"/>
      <c r="AV809" s="1164"/>
      <c r="AW809" s="1164"/>
      <c r="AX809" s="1236"/>
      <c r="AY809" s="473"/>
      <c r="AZ809" s="1236"/>
      <c r="BA809" s="473"/>
      <c r="BB809" s="473"/>
      <c r="BC809" s="1164"/>
      <c r="BD809" s="20"/>
      <c r="BE809" s="473"/>
      <c r="BF809" s="610"/>
      <c r="BG809" s="610"/>
      <c r="BH809" s="610"/>
      <c r="BI809" s="610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</row>
    <row r="810" spans="1:148" s="22" customFormat="1" x14ac:dyDescent="0.25">
      <c r="A810" s="20"/>
      <c r="B810" s="16"/>
      <c r="C810" s="473"/>
      <c r="D810" s="473"/>
      <c r="E810" s="1164"/>
      <c r="F810" s="473"/>
      <c r="G810" s="473"/>
      <c r="H810" s="1164"/>
      <c r="I810" s="473"/>
      <c r="J810" s="473"/>
      <c r="K810" s="1164"/>
      <c r="L810" s="473"/>
      <c r="M810" s="473"/>
      <c r="N810" s="1164"/>
      <c r="O810" s="473"/>
      <c r="P810" s="473"/>
      <c r="Q810" s="1164"/>
      <c r="R810" s="473"/>
      <c r="S810" s="473"/>
      <c r="T810" s="1164"/>
      <c r="U810" s="1164"/>
      <c r="V810" s="473"/>
      <c r="W810" s="473"/>
      <c r="X810" s="1164"/>
      <c r="Y810" s="473"/>
      <c r="Z810" s="473"/>
      <c r="AA810" s="1164"/>
      <c r="AB810" s="473"/>
      <c r="AC810" s="1164"/>
      <c r="AD810" s="473"/>
      <c r="AE810" s="1164"/>
      <c r="AF810" s="473"/>
      <c r="AG810" s="1164"/>
      <c r="AH810" s="473"/>
      <c r="AI810" s="473"/>
      <c r="AJ810" s="1164"/>
      <c r="AK810" s="473"/>
      <c r="AL810" s="473"/>
      <c r="AM810" s="1164"/>
      <c r="AN810" s="473"/>
      <c r="AO810" s="473"/>
      <c r="AP810" s="1164"/>
      <c r="AQ810" s="473"/>
      <c r="AR810" s="473"/>
      <c r="AS810" s="1236"/>
      <c r="AT810" s="473"/>
      <c r="AU810" s="473"/>
      <c r="AV810" s="1164"/>
      <c r="AW810" s="1164"/>
      <c r="AX810" s="1236"/>
      <c r="AY810" s="473"/>
      <c r="AZ810" s="1236"/>
      <c r="BA810" s="473"/>
      <c r="BB810" s="473"/>
      <c r="BC810" s="1164"/>
      <c r="BD810" s="20"/>
      <c r="BE810" s="473"/>
      <c r="BF810" s="610"/>
      <c r="BG810" s="610"/>
      <c r="BH810" s="610"/>
      <c r="BI810" s="610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</row>
    <row r="811" spans="1:148" s="22" customFormat="1" x14ac:dyDescent="0.25">
      <c r="A811" s="20"/>
      <c r="B811" s="16"/>
      <c r="C811" s="473"/>
      <c r="D811" s="473"/>
      <c r="E811" s="1164"/>
      <c r="F811" s="473"/>
      <c r="G811" s="473"/>
      <c r="H811" s="1164"/>
      <c r="I811" s="473"/>
      <c r="J811" s="473"/>
      <c r="K811" s="1164"/>
      <c r="L811" s="473"/>
      <c r="M811" s="473"/>
      <c r="N811" s="1164"/>
      <c r="O811" s="473"/>
      <c r="P811" s="473"/>
      <c r="Q811" s="1164"/>
      <c r="R811" s="473"/>
      <c r="S811" s="473"/>
      <c r="T811" s="1164"/>
      <c r="U811" s="1164"/>
      <c r="V811" s="473"/>
      <c r="W811" s="473"/>
      <c r="X811" s="1164"/>
      <c r="Y811" s="473"/>
      <c r="Z811" s="473"/>
      <c r="AA811" s="1164"/>
      <c r="AB811" s="473"/>
      <c r="AC811" s="1164"/>
      <c r="AD811" s="473"/>
      <c r="AE811" s="1164"/>
      <c r="AF811" s="473"/>
      <c r="AG811" s="1164"/>
      <c r="AH811" s="473"/>
      <c r="AI811" s="473"/>
      <c r="AJ811" s="1164"/>
      <c r="AK811" s="473"/>
      <c r="AL811" s="473"/>
      <c r="AM811" s="1164"/>
      <c r="AN811" s="473"/>
      <c r="AO811" s="473"/>
      <c r="AP811" s="1164"/>
      <c r="AQ811" s="473"/>
      <c r="AR811" s="473"/>
      <c r="AS811" s="1236"/>
      <c r="AT811" s="473"/>
      <c r="AU811" s="473"/>
      <c r="AV811" s="1164"/>
      <c r="AW811" s="1164"/>
      <c r="AX811" s="1236"/>
      <c r="AY811" s="473"/>
      <c r="AZ811" s="1236"/>
      <c r="BA811" s="473"/>
      <c r="BB811" s="473"/>
      <c r="BC811" s="1164"/>
      <c r="BD811" s="20"/>
      <c r="BE811" s="473"/>
      <c r="BF811" s="610"/>
      <c r="BG811" s="610"/>
      <c r="BH811" s="610"/>
      <c r="BI811" s="610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</row>
    <row r="812" spans="1:148" s="22" customFormat="1" x14ac:dyDescent="0.25">
      <c r="A812" s="20"/>
      <c r="B812" s="16"/>
      <c r="C812" s="473"/>
      <c r="D812" s="473"/>
      <c r="E812" s="1164"/>
      <c r="F812" s="473"/>
      <c r="G812" s="473"/>
      <c r="H812" s="1164"/>
      <c r="I812" s="473"/>
      <c r="J812" s="473"/>
      <c r="K812" s="1164"/>
      <c r="L812" s="473"/>
      <c r="M812" s="473"/>
      <c r="N812" s="1164"/>
      <c r="O812" s="473"/>
      <c r="P812" s="473"/>
      <c r="Q812" s="1164"/>
      <c r="R812" s="473"/>
      <c r="S812" s="473"/>
      <c r="T812" s="1164"/>
      <c r="U812" s="1164"/>
      <c r="V812" s="473"/>
      <c r="W812" s="473"/>
      <c r="X812" s="1164"/>
      <c r="Y812" s="473"/>
      <c r="Z812" s="473"/>
      <c r="AA812" s="1164"/>
      <c r="AB812" s="473"/>
      <c r="AC812" s="1164"/>
      <c r="AD812" s="473"/>
      <c r="AE812" s="1164"/>
      <c r="AF812" s="473"/>
      <c r="AG812" s="1164"/>
      <c r="AH812" s="473"/>
      <c r="AI812" s="473"/>
      <c r="AJ812" s="1164"/>
      <c r="AK812" s="473"/>
      <c r="AL812" s="473"/>
      <c r="AM812" s="1164"/>
      <c r="AN812" s="473"/>
      <c r="AO812" s="473"/>
      <c r="AP812" s="1164"/>
      <c r="AQ812" s="473"/>
      <c r="AR812" s="473"/>
      <c r="AS812" s="1236"/>
      <c r="AT812" s="473"/>
      <c r="AU812" s="473"/>
      <c r="AV812" s="1164"/>
      <c r="AW812" s="1164"/>
      <c r="AX812" s="1236"/>
      <c r="AY812" s="473"/>
      <c r="AZ812" s="1236"/>
      <c r="BA812" s="473"/>
      <c r="BB812" s="473"/>
      <c r="BC812" s="1164"/>
      <c r="BD812" s="20"/>
      <c r="BE812" s="473"/>
      <c r="BF812" s="610"/>
      <c r="BG812" s="610"/>
      <c r="BH812" s="610"/>
      <c r="BI812" s="610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</row>
    <row r="813" spans="1:148" s="22" customFormat="1" x14ac:dyDescent="0.25">
      <c r="A813" s="20"/>
      <c r="B813" s="16"/>
      <c r="C813" s="473"/>
      <c r="D813" s="473"/>
      <c r="E813" s="1164"/>
      <c r="F813" s="473"/>
      <c r="G813" s="473"/>
      <c r="H813" s="1164"/>
      <c r="I813" s="473"/>
      <c r="J813" s="473"/>
      <c r="K813" s="1164"/>
      <c r="L813" s="473"/>
      <c r="M813" s="473"/>
      <c r="N813" s="1164"/>
      <c r="O813" s="473"/>
      <c r="P813" s="473"/>
      <c r="Q813" s="1164"/>
      <c r="R813" s="473"/>
      <c r="S813" s="473"/>
      <c r="T813" s="1164"/>
      <c r="U813" s="1164"/>
      <c r="V813" s="473"/>
      <c r="W813" s="473"/>
      <c r="X813" s="1164"/>
      <c r="Y813" s="473"/>
      <c r="Z813" s="473"/>
      <c r="AA813" s="1164"/>
      <c r="AB813" s="473"/>
      <c r="AC813" s="1164"/>
      <c r="AD813" s="473"/>
      <c r="AE813" s="1164"/>
      <c r="AF813" s="473"/>
      <c r="AG813" s="1164"/>
      <c r="AH813" s="473"/>
      <c r="AI813" s="473"/>
      <c r="AJ813" s="1164"/>
      <c r="AK813" s="473"/>
      <c r="AL813" s="473"/>
      <c r="AM813" s="1164"/>
      <c r="AN813" s="473"/>
      <c r="AO813" s="473"/>
      <c r="AP813" s="1164"/>
      <c r="AQ813" s="473"/>
      <c r="AR813" s="473"/>
      <c r="AS813" s="1236"/>
      <c r="AT813" s="473"/>
      <c r="AU813" s="473"/>
      <c r="AV813" s="1164"/>
      <c r="AW813" s="1164"/>
      <c r="AX813" s="1236"/>
      <c r="AY813" s="473"/>
      <c r="AZ813" s="1236"/>
      <c r="BA813" s="473"/>
      <c r="BB813" s="473"/>
      <c r="BC813" s="1164"/>
      <c r="BD813" s="20"/>
      <c r="BE813" s="473"/>
      <c r="BF813" s="610"/>
      <c r="BG813" s="610"/>
      <c r="BH813" s="610"/>
      <c r="BI813" s="610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</row>
    <row r="814" spans="1:148" s="22" customFormat="1" x14ac:dyDescent="0.25">
      <c r="A814" s="20"/>
      <c r="B814" s="16"/>
      <c r="C814" s="473"/>
      <c r="D814" s="473"/>
      <c r="E814" s="1164"/>
      <c r="F814" s="473"/>
      <c r="G814" s="473"/>
      <c r="H814" s="1164"/>
      <c r="I814" s="473"/>
      <c r="J814" s="473"/>
      <c r="K814" s="1164"/>
      <c r="L814" s="473"/>
      <c r="M814" s="473"/>
      <c r="N814" s="1164"/>
      <c r="O814" s="473"/>
      <c r="P814" s="473"/>
      <c r="Q814" s="1164"/>
      <c r="R814" s="473"/>
      <c r="S814" s="473"/>
      <c r="T814" s="1164"/>
      <c r="U814" s="1164"/>
      <c r="V814" s="473"/>
      <c r="W814" s="473"/>
      <c r="X814" s="1164"/>
      <c r="Y814" s="473"/>
      <c r="Z814" s="473"/>
      <c r="AA814" s="1164"/>
      <c r="AB814" s="473"/>
      <c r="AC814" s="1164"/>
      <c r="AD814" s="473"/>
      <c r="AE814" s="1164"/>
      <c r="AF814" s="473"/>
      <c r="AG814" s="1164"/>
      <c r="AH814" s="473"/>
      <c r="AI814" s="473"/>
      <c r="AJ814" s="1164"/>
      <c r="AK814" s="473"/>
      <c r="AL814" s="473"/>
      <c r="AM814" s="1164"/>
      <c r="AN814" s="473"/>
      <c r="AO814" s="473"/>
      <c r="AP814" s="1164"/>
      <c r="AQ814" s="473"/>
      <c r="AR814" s="473"/>
      <c r="AS814" s="1236"/>
      <c r="AT814" s="473"/>
      <c r="AU814" s="473"/>
      <c r="AV814" s="1164"/>
      <c r="AW814" s="1164"/>
      <c r="AX814" s="1236"/>
      <c r="AY814" s="473"/>
      <c r="AZ814" s="1236"/>
      <c r="BA814" s="473"/>
      <c r="BB814" s="473"/>
      <c r="BC814" s="1164"/>
      <c r="BD814" s="20"/>
      <c r="BE814" s="473"/>
      <c r="BF814" s="610"/>
      <c r="BG814" s="610"/>
      <c r="BH814" s="610"/>
      <c r="BI814" s="610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</row>
    <row r="815" spans="1:148" s="22" customFormat="1" x14ac:dyDescent="0.25">
      <c r="A815" s="20"/>
      <c r="B815" s="16"/>
      <c r="C815" s="473"/>
      <c r="D815" s="473"/>
      <c r="E815" s="1164"/>
      <c r="F815" s="473"/>
      <c r="G815" s="473"/>
      <c r="H815" s="1164"/>
      <c r="I815" s="473"/>
      <c r="J815" s="473"/>
      <c r="K815" s="1164"/>
      <c r="L815" s="473"/>
      <c r="M815" s="473"/>
      <c r="N815" s="1164"/>
      <c r="O815" s="473"/>
      <c r="P815" s="473"/>
      <c r="Q815" s="1164"/>
      <c r="R815" s="473"/>
      <c r="S815" s="473"/>
      <c r="T815" s="1164"/>
      <c r="U815" s="1164"/>
      <c r="V815" s="473"/>
      <c r="W815" s="473"/>
      <c r="X815" s="1164"/>
      <c r="Y815" s="473"/>
      <c r="Z815" s="473"/>
      <c r="AA815" s="1164"/>
      <c r="AB815" s="473"/>
      <c r="AC815" s="1164"/>
      <c r="AD815" s="473"/>
      <c r="AE815" s="1164"/>
      <c r="AF815" s="473"/>
      <c r="AG815" s="1164"/>
      <c r="AH815" s="473"/>
      <c r="AI815" s="473"/>
      <c r="AJ815" s="1164"/>
      <c r="AK815" s="473"/>
      <c r="AL815" s="473"/>
      <c r="AM815" s="1164"/>
      <c r="AN815" s="473"/>
      <c r="AO815" s="473"/>
      <c r="AP815" s="1164"/>
      <c r="AQ815" s="473"/>
      <c r="AR815" s="473"/>
      <c r="AS815" s="1236"/>
      <c r="AT815" s="473"/>
      <c r="AU815" s="473"/>
      <c r="AV815" s="1164"/>
      <c r="AW815" s="1164"/>
      <c r="AX815" s="1236"/>
      <c r="AY815" s="473"/>
      <c r="AZ815" s="1236"/>
      <c r="BA815" s="473"/>
      <c r="BB815" s="473"/>
      <c r="BC815" s="1164"/>
      <c r="BD815" s="20"/>
      <c r="BE815" s="473"/>
      <c r="BF815" s="610"/>
      <c r="BG815" s="610"/>
      <c r="BH815" s="610"/>
      <c r="BI815" s="610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</row>
    <row r="816" spans="1:148" s="22" customFormat="1" x14ac:dyDescent="0.25">
      <c r="A816" s="20"/>
      <c r="B816" s="16"/>
      <c r="C816" s="473"/>
      <c r="D816" s="473"/>
      <c r="E816" s="1164"/>
      <c r="F816" s="473"/>
      <c r="G816" s="473"/>
      <c r="H816" s="1164"/>
      <c r="I816" s="473"/>
      <c r="J816" s="473"/>
      <c r="K816" s="1164"/>
      <c r="L816" s="473"/>
      <c r="M816" s="473"/>
      <c r="N816" s="1164"/>
      <c r="O816" s="473"/>
      <c r="P816" s="473"/>
      <c r="Q816" s="1164"/>
      <c r="R816" s="473"/>
      <c r="S816" s="473"/>
      <c r="T816" s="1164"/>
      <c r="U816" s="1164"/>
      <c r="V816" s="473"/>
      <c r="W816" s="473"/>
      <c r="X816" s="1164"/>
      <c r="Y816" s="473"/>
      <c r="Z816" s="473"/>
      <c r="AA816" s="1164"/>
      <c r="AB816" s="473"/>
      <c r="AC816" s="1164"/>
      <c r="AD816" s="473"/>
      <c r="AE816" s="1164"/>
      <c r="AF816" s="473"/>
      <c r="AG816" s="1164"/>
      <c r="AH816" s="473"/>
      <c r="AI816" s="473"/>
      <c r="AJ816" s="1164"/>
      <c r="AK816" s="473"/>
      <c r="AL816" s="473"/>
      <c r="AM816" s="1164"/>
      <c r="AN816" s="473"/>
      <c r="AO816" s="473"/>
      <c r="AP816" s="1164"/>
      <c r="AQ816" s="473"/>
      <c r="AR816" s="473"/>
      <c r="AS816" s="1236"/>
      <c r="AT816" s="473"/>
      <c r="AU816" s="473"/>
      <c r="AV816" s="1164"/>
      <c r="AW816" s="1164"/>
      <c r="AX816" s="1236"/>
      <c r="AY816" s="473"/>
      <c r="AZ816" s="1236"/>
      <c r="BA816" s="473"/>
      <c r="BB816" s="473"/>
      <c r="BC816" s="1164"/>
      <c r="BD816" s="20"/>
      <c r="BE816" s="473"/>
      <c r="BF816" s="610"/>
      <c r="BG816" s="610"/>
      <c r="BH816" s="610"/>
      <c r="BI816" s="610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</row>
    <row r="817" spans="1:148" s="22" customFormat="1" x14ac:dyDescent="0.25">
      <c r="A817" s="20"/>
      <c r="B817" s="16"/>
      <c r="C817" s="473"/>
      <c r="D817" s="473"/>
      <c r="E817" s="1164"/>
      <c r="F817" s="473"/>
      <c r="G817" s="473"/>
      <c r="H817" s="1164"/>
      <c r="I817" s="473"/>
      <c r="J817" s="473"/>
      <c r="K817" s="1164"/>
      <c r="L817" s="473"/>
      <c r="M817" s="473"/>
      <c r="N817" s="1164"/>
      <c r="O817" s="473"/>
      <c r="P817" s="473"/>
      <c r="Q817" s="1164"/>
      <c r="R817" s="473"/>
      <c r="S817" s="473"/>
      <c r="T817" s="1164"/>
      <c r="U817" s="1164"/>
      <c r="V817" s="473"/>
      <c r="W817" s="473"/>
      <c r="X817" s="1164"/>
      <c r="Y817" s="473"/>
      <c r="Z817" s="473"/>
      <c r="AA817" s="1164"/>
      <c r="AB817" s="473"/>
      <c r="AC817" s="1164"/>
      <c r="AD817" s="473"/>
      <c r="AE817" s="1164"/>
      <c r="AF817" s="473"/>
      <c r="AG817" s="1164"/>
      <c r="AH817" s="473"/>
      <c r="AI817" s="473"/>
      <c r="AJ817" s="1164"/>
      <c r="AK817" s="473"/>
      <c r="AL817" s="473"/>
      <c r="AM817" s="1164"/>
      <c r="AN817" s="473"/>
      <c r="AO817" s="473"/>
      <c r="AP817" s="1164"/>
      <c r="AQ817" s="473"/>
      <c r="AR817" s="473"/>
      <c r="AS817" s="1236"/>
      <c r="AT817" s="473"/>
      <c r="AU817" s="473"/>
      <c r="AV817" s="1164"/>
      <c r="AW817" s="1164"/>
      <c r="AX817" s="1236"/>
      <c r="AY817" s="473"/>
      <c r="AZ817" s="1236"/>
      <c r="BA817" s="473"/>
      <c r="BB817" s="473"/>
      <c r="BC817" s="1164"/>
      <c r="BD817" s="20"/>
      <c r="BE817" s="473"/>
      <c r="BF817" s="610"/>
      <c r="BG817" s="610"/>
      <c r="BH817" s="610"/>
      <c r="BI817" s="610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</row>
    <row r="818" spans="1:148" s="22" customFormat="1" x14ac:dyDescent="0.25">
      <c r="A818" s="20"/>
      <c r="B818" s="16"/>
      <c r="C818" s="473"/>
      <c r="D818" s="473"/>
      <c r="E818" s="1164"/>
      <c r="F818" s="473"/>
      <c r="G818" s="473"/>
      <c r="H818" s="1164"/>
      <c r="I818" s="473"/>
      <c r="J818" s="473"/>
      <c r="K818" s="1164"/>
      <c r="L818" s="473"/>
      <c r="M818" s="473"/>
      <c r="N818" s="1164"/>
      <c r="O818" s="473"/>
      <c r="P818" s="473"/>
      <c r="Q818" s="1164"/>
      <c r="R818" s="473"/>
      <c r="S818" s="473"/>
      <c r="T818" s="1164"/>
      <c r="U818" s="1164"/>
      <c r="V818" s="473"/>
      <c r="W818" s="473"/>
      <c r="X818" s="1164"/>
      <c r="Y818" s="473"/>
      <c r="Z818" s="473"/>
      <c r="AA818" s="1164"/>
      <c r="AB818" s="473"/>
      <c r="AC818" s="1164"/>
      <c r="AD818" s="473"/>
      <c r="AE818" s="1164"/>
      <c r="AF818" s="473"/>
      <c r="AG818" s="1164"/>
      <c r="AH818" s="473"/>
      <c r="AI818" s="473"/>
      <c r="AJ818" s="1164"/>
      <c r="AK818" s="473"/>
      <c r="AL818" s="473"/>
      <c r="AM818" s="1164"/>
      <c r="AN818" s="473"/>
      <c r="AO818" s="473"/>
      <c r="AP818" s="1164"/>
      <c r="AQ818" s="473"/>
      <c r="AR818" s="473"/>
      <c r="AS818" s="1236"/>
      <c r="AT818" s="473"/>
      <c r="AU818" s="473"/>
      <c r="AV818" s="1164"/>
      <c r="AW818" s="1164"/>
      <c r="AX818" s="1236"/>
      <c r="AY818" s="473"/>
      <c r="AZ818" s="1236"/>
      <c r="BA818" s="473"/>
      <c r="BB818" s="473"/>
      <c r="BC818" s="1164"/>
      <c r="BD818" s="20"/>
      <c r="BE818" s="473"/>
      <c r="BF818" s="610"/>
      <c r="BG818" s="610"/>
      <c r="BH818" s="610"/>
      <c r="BI818" s="610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</row>
    <row r="819" spans="1:148" s="22" customFormat="1" x14ac:dyDescent="0.25">
      <c r="A819" s="20"/>
      <c r="B819" s="16"/>
      <c r="C819" s="473"/>
      <c r="D819" s="473"/>
      <c r="E819" s="1164"/>
      <c r="F819" s="473"/>
      <c r="G819" s="473"/>
      <c r="H819" s="1164"/>
      <c r="I819" s="473"/>
      <c r="J819" s="473"/>
      <c r="K819" s="1164"/>
      <c r="L819" s="473"/>
      <c r="M819" s="473"/>
      <c r="N819" s="1164"/>
      <c r="O819" s="473"/>
      <c r="P819" s="473"/>
      <c r="Q819" s="1164"/>
      <c r="R819" s="473"/>
      <c r="S819" s="473"/>
      <c r="T819" s="1164"/>
      <c r="U819" s="1164"/>
      <c r="V819" s="473"/>
      <c r="W819" s="473"/>
      <c r="X819" s="1164"/>
      <c r="Y819" s="473"/>
      <c r="Z819" s="473"/>
      <c r="AA819" s="1164"/>
      <c r="AB819" s="473"/>
      <c r="AC819" s="1164"/>
      <c r="AD819" s="473"/>
      <c r="AE819" s="1164"/>
      <c r="AF819" s="473"/>
      <c r="AG819" s="1164"/>
      <c r="AH819" s="473"/>
      <c r="AI819" s="473"/>
      <c r="AJ819" s="1164"/>
      <c r="AK819" s="473"/>
      <c r="AL819" s="473"/>
      <c r="AM819" s="1164"/>
      <c r="AN819" s="473"/>
      <c r="AO819" s="473"/>
      <c r="AP819" s="1164"/>
      <c r="AQ819" s="473"/>
      <c r="AR819" s="473"/>
      <c r="AS819" s="1236"/>
      <c r="AT819" s="473"/>
      <c r="AU819" s="473"/>
      <c r="AV819" s="1164"/>
      <c r="AW819" s="1164"/>
      <c r="AX819" s="1236"/>
      <c r="AY819" s="473"/>
      <c r="AZ819" s="1236"/>
      <c r="BA819" s="473"/>
      <c r="BB819" s="473"/>
      <c r="BC819" s="1164"/>
      <c r="BD819" s="20"/>
      <c r="BE819" s="473"/>
      <c r="BF819" s="610"/>
      <c r="BG819" s="610"/>
      <c r="BH819" s="610"/>
      <c r="BI819" s="610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</row>
    <row r="820" spans="1:148" s="22" customFormat="1" x14ac:dyDescent="0.25">
      <c r="A820" s="20"/>
      <c r="B820" s="16"/>
      <c r="C820" s="473"/>
      <c r="D820" s="473"/>
      <c r="E820" s="1164"/>
      <c r="F820" s="473"/>
      <c r="G820" s="473"/>
      <c r="H820" s="1164"/>
      <c r="I820" s="473"/>
      <c r="J820" s="473"/>
      <c r="K820" s="1164"/>
      <c r="L820" s="473"/>
      <c r="M820" s="473"/>
      <c r="N820" s="1164"/>
      <c r="O820" s="473"/>
      <c r="P820" s="473"/>
      <c r="Q820" s="1164"/>
      <c r="R820" s="473"/>
      <c r="S820" s="473"/>
      <c r="T820" s="1164"/>
      <c r="U820" s="1164"/>
      <c r="V820" s="473"/>
      <c r="W820" s="473"/>
      <c r="X820" s="1164"/>
      <c r="Y820" s="473"/>
      <c r="Z820" s="473"/>
      <c r="AA820" s="1164"/>
      <c r="AB820" s="473"/>
      <c r="AC820" s="1164"/>
      <c r="AD820" s="473"/>
      <c r="AE820" s="1164"/>
      <c r="AF820" s="473"/>
      <c r="AG820" s="1164"/>
      <c r="AH820" s="473"/>
      <c r="AI820" s="473"/>
      <c r="AJ820" s="1164"/>
      <c r="AK820" s="473"/>
      <c r="AL820" s="473"/>
      <c r="AM820" s="1164"/>
      <c r="AN820" s="473"/>
      <c r="AO820" s="473"/>
      <c r="AP820" s="1164"/>
      <c r="AQ820" s="473"/>
      <c r="AR820" s="473"/>
      <c r="AS820" s="1236"/>
      <c r="AT820" s="473"/>
      <c r="AU820" s="473"/>
      <c r="AV820" s="1164"/>
      <c r="AW820" s="1164"/>
      <c r="AX820" s="1236"/>
      <c r="AY820" s="473"/>
      <c r="AZ820" s="1236"/>
      <c r="BA820" s="473"/>
      <c r="BB820" s="473"/>
      <c r="BC820" s="1164"/>
      <c r="BD820" s="20"/>
      <c r="BE820" s="473"/>
      <c r="BF820" s="610"/>
      <c r="BG820" s="610"/>
      <c r="BH820" s="610"/>
      <c r="BI820" s="610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</row>
    <row r="821" spans="1:148" s="22" customFormat="1" x14ac:dyDescent="0.25">
      <c r="A821" s="20"/>
      <c r="B821" s="16"/>
      <c r="C821" s="473"/>
      <c r="D821" s="473"/>
      <c r="E821" s="1164"/>
      <c r="F821" s="473"/>
      <c r="G821" s="473"/>
      <c r="H821" s="1164"/>
      <c r="I821" s="473"/>
      <c r="J821" s="473"/>
      <c r="K821" s="1164"/>
      <c r="L821" s="473"/>
      <c r="M821" s="473"/>
      <c r="N821" s="1164"/>
      <c r="O821" s="473"/>
      <c r="P821" s="473"/>
      <c r="Q821" s="1164"/>
      <c r="R821" s="473"/>
      <c r="S821" s="473"/>
      <c r="T821" s="1164"/>
      <c r="U821" s="1164"/>
      <c r="V821" s="473"/>
      <c r="W821" s="473"/>
      <c r="X821" s="1164"/>
      <c r="Y821" s="473"/>
      <c r="Z821" s="473"/>
      <c r="AA821" s="1164"/>
      <c r="AB821" s="473"/>
      <c r="AC821" s="1164"/>
      <c r="AD821" s="473"/>
      <c r="AE821" s="1164"/>
      <c r="AF821" s="473"/>
      <c r="AG821" s="1164"/>
      <c r="AH821" s="473"/>
      <c r="AI821" s="473"/>
      <c r="AJ821" s="1164"/>
      <c r="AK821" s="473"/>
      <c r="AL821" s="473"/>
      <c r="AM821" s="1164"/>
      <c r="AN821" s="473"/>
      <c r="AO821" s="473"/>
      <c r="AP821" s="1164"/>
      <c r="AQ821" s="473"/>
      <c r="AR821" s="473"/>
      <c r="AS821" s="1236"/>
      <c r="AT821" s="473"/>
      <c r="AU821" s="473"/>
      <c r="AV821" s="1164"/>
      <c r="AW821" s="1164"/>
      <c r="AX821" s="1236"/>
      <c r="AY821" s="473"/>
      <c r="AZ821" s="1236"/>
      <c r="BA821" s="473"/>
      <c r="BB821" s="473"/>
      <c r="BC821" s="1164"/>
      <c r="BD821" s="20"/>
      <c r="BE821" s="473"/>
      <c r="BF821" s="610"/>
      <c r="BG821" s="610"/>
      <c r="BH821" s="610"/>
      <c r="BI821" s="610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</row>
    <row r="822" spans="1:148" s="22" customFormat="1" x14ac:dyDescent="0.25">
      <c r="A822" s="20"/>
      <c r="B822" s="16"/>
      <c r="C822" s="473"/>
      <c r="D822" s="473"/>
      <c r="E822" s="1164"/>
      <c r="F822" s="473"/>
      <c r="G822" s="473"/>
      <c r="H822" s="1164"/>
      <c r="I822" s="473"/>
      <c r="J822" s="473"/>
      <c r="K822" s="1164"/>
      <c r="L822" s="473"/>
      <c r="M822" s="473"/>
      <c r="N822" s="1164"/>
      <c r="O822" s="473"/>
      <c r="P822" s="473"/>
      <c r="Q822" s="1164"/>
      <c r="R822" s="473"/>
      <c r="S822" s="473"/>
      <c r="T822" s="1164"/>
      <c r="U822" s="1164"/>
      <c r="V822" s="473"/>
      <c r="W822" s="473"/>
      <c r="X822" s="1164"/>
      <c r="Y822" s="473"/>
      <c r="Z822" s="473"/>
      <c r="AA822" s="1164"/>
      <c r="AB822" s="473"/>
      <c r="AC822" s="1164"/>
      <c r="AD822" s="473"/>
      <c r="AE822" s="1164"/>
      <c r="AF822" s="473"/>
      <c r="AG822" s="1164"/>
      <c r="AH822" s="473"/>
      <c r="AI822" s="473"/>
      <c r="AJ822" s="1164"/>
      <c r="AK822" s="473"/>
      <c r="AL822" s="473"/>
      <c r="AM822" s="1164"/>
      <c r="AN822" s="473"/>
      <c r="AO822" s="473"/>
      <c r="AP822" s="1164"/>
      <c r="AQ822" s="473"/>
      <c r="AR822" s="473"/>
      <c r="AS822" s="1236"/>
      <c r="AT822" s="473"/>
      <c r="AU822" s="473"/>
      <c r="AV822" s="1164"/>
      <c r="AW822" s="1164"/>
      <c r="AX822" s="1236"/>
      <c r="AY822" s="473"/>
      <c r="AZ822" s="1236"/>
      <c r="BA822" s="473"/>
      <c r="BB822" s="473"/>
      <c r="BC822" s="1164"/>
      <c r="BD822" s="20"/>
      <c r="BE822" s="473"/>
      <c r="BF822" s="610"/>
      <c r="BG822" s="610"/>
      <c r="BH822" s="610"/>
      <c r="BI822" s="610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</row>
    <row r="823" spans="1:148" s="22" customFormat="1" x14ac:dyDescent="0.25">
      <c r="A823" s="20"/>
      <c r="B823" s="16"/>
      <c r="C823" s="473"/>
      <c r="D823" s="473"/>
      <c r="E823" s="1164"/>
      <c r="F823" s="473"/>
      <c r="G823" s="473"/>
      <c r="H823" s="1164"/>
      <c r="I823" s="473"/>
      <c r="J823" s="473"/>
      <c r="K823" s="1164"/>
      <c r="L823" s="473"/>
      <c r="M823" s="473"/>
      <c r="N823" s="1164"/>
      <c r="O823" s="473"/>
      <c r="P823" s="473"/>
      <c r="Q823" s="1164"/>
      <c r="R823" s="473"/>
      <c r="S823" s="473"/>
      <c r="T823" s="1164"/>
      <c r="U823" s="1164"/>
      <c r="V823" s="473"/>
      <c r="W823" s="473"/>
      <c r="X823" s="1164"/>
      <c r="Y823" s="473"/>
      <c r="Z823" s="473"/>
      <c r="AA823" s="1164"/>
      <c r="AB823" s="473"/>
      <c r="AC823" s="1164"/>
      <c r="AD823" s="473"/>
      <c r="AE823" s="1164"/>
      <c r="AF823" s="473"/>
      <c r="AG823" s="1164"/>
      <c r="AH823" s="473"/>
      <c r="AI823" s="473"/>
      <c r="AJ823" s="1164"/>
      <c r="AK823" s="473"/>
      <c r="AL823" s="473"/>
      <c r="AM823" s="1164"/>
      <c r="AN823" s="473"/>
      <c r="AO823" s="473"/>
      <c r="AP823" s="1164"/>
      <c r="AQ823" s="473"/>
      <c r="AR823" s="473"/>
      <c r="AS823" s="1236"/>
      <c r="AT823" s="473"/>
      <c r="AU823" s="473"/>
      <c r="AV823" s="1164"/>
      <c r="AW823" s="1164"/>
      <c r="AX823" s="1236"/>
      <c r="AY823" s="473"/>
      <c r="AZ823" s="1236"/>
      <c r="BA823" s="473"/>
      <c r="BB823" s="473"/>
      <c r="BC823" s="1164"/>
      <c r="BD823" s="20"/>
      <c r="BE823" s="473"/>
      <c r="BF823" s="610"/>
      <c r="BG823" s="610"/>
      <c r="BH823" s="610"/>
      <c r="BI823" s="610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</row>
    <row r="824" spans="1:148" s="22" customFormat="1" x14ac:dyDescent="0.25">
      <c r="A824" s="20"/>
      <c r="B824" s="16"/>
      <c r="C824" s="473"/>
      <c r="D824" s="473"/>
      <c r="E824" s="1164"/>
      <c r="F824" s="473"/>
      <c r="G824" s="473"/>
      <c r="H824" s="1164"/>
      <c r="I824" s="473"/>
      <c r="J824" s="473"/>
      <c r="K824" s="1164"/>
      <c r="L824" s="473"/>
      <c r="M824" s="473"/>
      <c r="N824" s="1164"/>
      <c r="O824" s="473"/>
      <c r="P824" s="473"/>
      <c r="Q824" s="1164"/>
      <c r="R824" s="473"/>
      <c r="S824" s="473"/>
      <c r="T824" s="1164"/>
      <c r="U824" s="1164"/>
      <c r="V824" s="473"/>
      <c r="W824" s="473"/>
      <c r="X824" s="1164"/>
      <c r="Y824" s="473"/>
      <c r="Z824" s="473"/>
      <c r="AA824" s="1164"/>
      <c r="AB824" s="473"/>
      <c r="AC824" s="1164"/>
      <c r="AD824" s="473"/>
      <c r="AE824" s="1164"/>
      <c r="AF824" s="473"/>
      <c r="AG824" s="1164"/>
      <c r="AH824" s="473"/>
      <c r="AI824" s="473"/>
      <c r="AJ824" s="1164"/>
      <c r="AK824" s="473"/>
      <c r="AL824" s="473"/>
      <c r="AM824" s="1164"/>
      <c r="AN824" s="473"/>
      <c r="AO824" s="473"/>
      <c r="AP824" s="1164"/>
      <c r="AQ824" s="473"/>
      <c r="AR824" s="473"/>
      <c r="AS824" s="1236"/>
      <c r="AT824" s="473"/>
      <c r="AU824" s="473"/>
      <c r="AV824" s="1164"/>
      <c r="AW824" s="1164"/>
      <c r="AX824" s="1236"/>
      <c r="AY824" s="473"/>
      <c r="AZ824" s="1236"/>
      <c r="BA824" s="473"/>
      <c r="BB824" s="473"/>
      <c r="BC824" s="1164"/>
      <c r="BD824" s="20"/>
      <c r="BE824" s="473"/>
      <c r="BF824" s="610"/>
      <c r="BG824" s="610"/>
      <c r="BH824" s="610"/>
      <c r="BI824" s="610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</row>
    <row r="825" spans="1:148" s="22" customFormat="1" x14ac:dyDescent="0.25">
      <c r="A825" s="20"/>
      <c r="B825" s="16"/>
      <c r="C825" s="473"/>
      <c r="D825" s="473"/>
      <c r="E825" s="1164"/>
      <c r="F825" s="473"/>
      <c r="G825" s="473"/>
      <c r="H825" s="1164"/>
      <c r="I825" s="473"/>
      <c r="J825" s="473"/>
      <c r="K825" s="1164"/>
      <c r="L825" s="473"/>
      <c r="M825" s="473"/>
      <c r="N825" s="1164"/>
      <c r="O825" s="473"/>
      <c r="P825" s="473"/>
      <c r="Q825" s="1164"/>
      <c r="R825" s="473"/>
      <c r="S825" s="473"/>
      <c r="T825" s="1164"/>
      <c r="U825" s="1164"/>
      <c r="V825" s="473"/>
      <c r="W825" s="473"/>
      <c r="X825" s="1164"/>
      <c r="Y825" s="473"/>
      <c r="Z825" s="473"/>
      <c r="AA825" s="1164"/>
      <c r="AB825" s="473"/>
      <c r="AC825" s="1164"/>
      <c r="AD825" s="473"/>
      <c r="AE825" s="1164"/>
      <c r="AF825" s="473"/>
      <c r="AG825" s="1164"/>
      <c r="AH825" s="473"/>
      <c r="AI825" s="473"/>
      <c r="AJ825" s="1164"/>
      <c r="AK825" s="473"/>
      <c r="AL825" s="473"/>
      <c r="AM825" s="1164"/>
      <c r="AN825" s="473"/>
      <c r="AO825" s="473"/>
      <c r="AP825" s="1164"/>
      <c r="AQ825" s="473"/>
      <c r="AR825" s="473"/>
      <c r="AS825" s="1236"/>
      <c r="AT825" s="473"/>
      <c r="AU825" s="473"/>
      <c r="AV825" s="1164"/>
      <c r="AW825" s="1164"/>
      <c r="AX825" s="1236"/>
      <c r="AY825" s="473"/>
      <c r="AZ825" s="1236"/>
      <c r="BA825" s="473"/>
      <c r="BB825" s="473"/>
      <c r="BC825" s="1164"/>
      <c r="BD825" s="20"/>
      <c r="BE825" s="473"/>
      <c r="BF825" s="610"/>
      <c r="BG825" s="610"/>
      <c r="BH825" s="610"/>
      <c r="BI825" s="610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</row>
    <row r="826" spans="1:148" s="22" customFormat="1" x14ac:dyDescent="0.25">
      <c r="A826" s="20"/>
      <c r="B826" s="16"/>
      <c r="C826" s="473"/>
      <c r="D826" s="473"/>
      <c r="E826" s="1164"/>
      <c r="F826" s="473"/>
      <c r="G826" s="473"/>
      <c r="H826" s="1164"/>
      <c r="I826" s="473"/>
      <c r="J826" s="473"/>
      <c r="K826" s="1164"/>
      <c r="L826" s="473"/>
      <c r="M826" s="473"/>
      <c r="N826" s="1164"/>
      <c r="O826" s="473"/>
      <c r="P826" s="473"/>
      <c r="Q826" s="1164"/>
      <c r="R826" s="473"/>
      <c r="S826" s="473"/>
      <c r="T826" s="1164"/>
      <c r="U826" s="1164"/>
      <c r="V826" s="473"/>
      <c r="W826" s="473"/>
      <c r="X826" s="1164"/>
      <c r="Y826" s="473"/>
      <c r="Z826" s="473"/>
      <c r="AA826" s="1164"/>
      <c r="AB826" s="473"/>
      <c r="AC826" s="1164"/>
      <c r="AD826" s="473"/>
      <c r="AE826" s="1164"/>
      <c r="AF826" s="473"/>
      <c r="AG826" s="1164"/>
      <c r="AH826" s="473"/>
      <c r="AI826" s="473"/>
      <c r="AJ826" s="1164"/>
      <c r="AK826" s="473"/>
      <c r="AL826" s="473"/>
      <c r="AM826" s="1164"/>
      <c r="AN826" s="473"/>
      <c r="AO826" s="473"/>
      <c r="AP826" s="1164"/>
      <c r="AQ826" s="473"/>
      <c r="AR826" s="473"/>
      <c r="AS826" s="1236"/>
      <c r="AT826" s="473"/>
      <c r="AU826" s="473"/>
      <c r="AV826" s="1164"/>
      <c r="AW826" s="1164"/>
      <c r="AX826" s="1236"/>
      <c r="AY826" s="473"/>
      <c r="AZ826" s="1236"/>
      <c r="BA826" s="473"/>
      <c r="BB826" s="473"/>
      <c r="BC826" s="1164"/>
      <c r="BD826" s="20"/>
      <c r="BE826" s="473"/>
      <c r="BF826" s="610"/>
      <c r="BG826" s="610"/>
      <c r="BH826" s="610"/>
      <c r="BI826" s="610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</row>
    <row r="827" spans="1:148" s="22" customFormat="1" x14ac:dyDescent="0.25">
      <c r="A827" s="20"/>
      <c r="B827" s="16"/>
      <c r="C827" s="473"/>
      <c r="D827" s="473"/>
      <c r="E827" s="1164"/>
      <c r="F827" s="473"/>
      <c r="G827" s="473"/>
      <c r="H827" s="1164"/>
      <c r="I827" s="473"/>
      <c r="J827" s="473"/>
      <c r="K827" s="1164"/>
      <c r="L827" s="473"/>
      <c r="M827" s="473"/>
      <c r="N827" s="1164"/>
      <c r="O827" s="473"/>
      <c r="P827" s="473"/>
      <c r="Q827" s="1164"/>
      <c r="R827" s="473"/>
      <c r="S827" s="473"/>
      <c r="T827" s="1164"/>
      <c r="U827" s="1164"/>
      <c r="V827" s="473"/>
      <c r="W827" s="473"/>
      <c r="X827" s="1164"/>
      <c r="Y827" s="473"/>
      <c r="Z827" s="473"/>
      <c r="AA827" s="1164"/>
      <c r="AB827" s="473"/>
      <c r="AC827" s="1164"/>
      <c r="AD827" s="473"/>
      <c r="AE827" s="1164"/>
      <c r="AF827" s="473"/>
      <c r="AG827" s="1164"/>
      <c r="AH827" s="473"/>
      <c r="AI827" s="473"/>
      <c r="AJ827" s="1164"/>
      <c r="AK827" s="473"/>
      <c r="AL827" s="473"/>
      <c r="AM827" s="1164"/>
      <c r="AN827" s="473"/>
      <c r="AO827" s="473"/>
      <c r="AP827" s="1164"/>
      <c r="AQ827" s="473"/>
      <c r="AR827" s="473"/>
      <c r="AS827" s="1236"/>
      <c r="AT827" s="473"/>
      <c r="AU827" s="473"/>
      <c r="AV827" s="1164"/>
      <c r="AW827" s="1164"/>
      <c r="AX827" s="1236"/>
      <c r="AY827" s="473"/>
      <c r="AZ827" s="1236"/>
      <c r="BA827" s="473"/>
      <c r="BB827" s="473"/>
      <c r="BC827" s="1164"/>
      <c r="BD827" s="20"/>
      <c r="BE827" s="473"/>
      <c r="BF827" s="610"/>
      <c r="BG827" s="610"/>
      <c r="BH827" s="610"/>
      <c r="BI827" s="610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</row>
    <row r="828" spans="1:148" s="22" customFormat="1" x14ac:dyDescent="0.25">
      <c r="A828" s="20"/>
      <c r="B828" s="16"/>
      <c r="C828" s="473"/>
      <c r="D828" s="473"/>
      <c r="E828" s="1164"/>
      <c r="F828" s="473"/>
      <c r="G828" s="473"/>
      <c r="H828" s="1164"/>
      <c r="I828" s="473"/>
      <c r="J828" s="473"/>
      <c r="K828" s="1164"/>
      <c r="L828" s="473"/>
      <c r="M828" s="473"/>
      <c r="N828" s="1164"/>
      <c r="O828" s="473"/>
      <c r="P828" s="473"/>
      <c r="Q828" s="1164"/>
      <c r="R828" s="473"/>
      <c r="S828" s="473"/>
      <c r="T828" s="1164"/>
      <c r="U828" s="1164"/>
      <c r="V828" s="473"/>
      <c r="W828" s="473"/>
      <c r="X828" s="1164"/>
      <c r="Y828" s="473"/>
      <c r="Z828" s="473"/>
      <c r="AA828" s="1164"/>
      <c r="AB828" s="473"/>
      <c r="AC828" s="1164"/>
      <c r="AD828" s="473"/>
      <c r="AE828" s="1164"/>
      <c r="AF828" s="473"/>
      <c r="AG828" s="1164"/>
      <c r="AH828" s="473"/>
      <c r="AI828" s="473"/>
      <c r="AJ828" s="1164"/>
      <c r="AK828" s="473"/>
      <c r="AL828" s="473"/>
      <c r="AM828" s="1164"/>
      <c r="AN828" s="473"/>
      <c r="AO828" s="473"/>
      <c r="AP828" s="1164"/>
      <c r="AQ828" s="473"/>
      <c r="AR828" s="473"/>
      <c r="AS828" s="1236"/>
      <c r="AT828" s="473"/>
      <c r="AU828" s="473"/>
      <c r="AV828" s="1164"/>
      <c r="AW828" s="1164"/>
      <c r="AX828" s="1236"/>
      <c r="AY828" s="473"/>
      <c r="AZ828" s="1236"/>
      <c r="BA828" s="473"/>
      <c r="BB828" s="473"/>
      <c r="BC828" s="1164"/>
      <c r="BD828" s="20"/>
      <c r="BE828" s="473"/>
      <c r="BF828" s="610"/>
      <c r="BG828" s="610"/>
      <c r="BH828" s="610"/>
      <c r="BI828" s="610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</row>
    <row r="829" spans="1:148" s="22" customFormat="1" x14ac:dyDescent="0.25">
      <c r="A829" s="20"/>
      <c r="B829" s="16"/>
      <c r="C829" s="473"/>
      <c r="D829" s="473"/>
      <c r="E829" s="1164"/>
      <c r="F829" s="473"/>
      <c r="G829" s="473"/>
      <c r="H829" s="1164"/>
      <c r="I829" s="473"/>
      <c r="J829" s="473"/>
      <c r="K829" s="1164"/>
      <c r="L829" s="473"/>
      <c r="M829" s="473"/>
      <c r="N829" s="1164"/>
      <c r="O829" s="473"/>
      <c r="P829" s="473"/>
      <c r="Q829" s="1164"/>
      <c r="R829" s="473"/>
      <c r="S829" s="473"/>
      <c r="T829" s="1164"/>
      <c r="U829" s="1164"/>
      <c r="V829" s="473"/>
      <c r="W829" s="473"/>
      <c r="X829" s="1164"/>
      <c r="Y829" s="473"/>
      <c r="Z829" s="473"/>
      <c r="AA829" s="1164"/>
      <c r="AB829" s="473"/>
      <c r="AC829" s="1164"/>
      <c r="AD829" s="473"/>
      <c r="AE829" s="1164"/>
      <c r="AF829" s="473"/>
      <c r="AG829" s="1164"/>
      <c r="AH829" s="473"/>
      <c r="AI829" s="473"/>
      <c r="AJ829" s="1164"/>
      <c r="AK829" s="473"/>
      <c r="AL829" s="473"/>
      <c r="AM829" s="1164"/>
      <c r="AN829" s="473"/>
      <c r="AO829" s="473"/>
      <c r="AP829" s="1164"/>
      <c r="AQ829" s="473"/>
      <c r="AR829" s="473"/>
      <c r="AS829" s="1236"/>
      <c r="AT829" s="473"/>
      <c r="AU829" s="473"/>
      <c r="AV829" s="1164"/>
      <c r="AW829" s="1164"/>
      <c r="AX829" s="1236"/>
      <c r="AY829" s="473"/>
      <c r="AZ829" s="1236"/>
      <c r="BA829" s="473"/>
      <c r="BB829" s="473"/>
      <c r="BC829" s="1164"/>
      <c r="BD829" s="20"/>
      <c r="BE829" s="473"/>
      <c r="BF829" s="610"/>
      <c r="BG829" s="610"/>
      <c r="BH829" s="610"/>
      <c r="BI829" s="610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</row>
    <row r="830" spans="1:148" s="22" customFormat="1" x14ac:dyDescent="0.25">
      <c r="A830" s="20"/>
      <c r="B830" s="16"/>
      <c r="C830" s="473"/>
      <c r="D830" s="473"/>
      <c r="E830" s="1164"/>
      <c r="F830" s="473"/>
      <c r="G830" s="473"/>
      <c r="H830" s="1164"/>
      <c r="I830" s="473"/>
      <c r="J830" s="473"/>
      <c r="K830" s="1164"/>
      <c r="L830" s="473"/>
      <c r="M830" s="473"/>
      <c r="N830" s="1164"/>
      <c r="O830" s="473"/>
      <c r="P830" s="473"/>
      <c r="Q830" s="1164"/>
      <c r="R830" s="473"/>
      <c r="S830" s="473"/>
      <c r="T830" s="1164"/>
      <c r="U830" s="1164"/>
      <c r="V830" s="473"/>
      <c r="W830" s="473"/>
      <c r="X830" s="1164"/>
      <c r="Y830" s="473"/>
      <c r="Z830" s="473"/>
      <c r="AA830" s="1164"/>
      <c r="AB830" s="473"/>
      <c r="AC830" s="1164"/>
      <c r="AD830" s="473"/>
      <c r="AE830" s="1164"/>
      <c r="AF830" s="473"/>
      <c r="AG830" s="1164"/>
      <c r="AH830" s="473"/>
      <c r="AI830" s="473"/>
      <c r="AJ830" s="1164"/>
      <c r="AK830" s="473"/>
      <c r="AL830" s="473"/>
      <c r="AM830" s="1164"/>
      <c r="AN830" s="473"/>
      <c r="AO830" s="473"/>
      <c r="AP830" s="1164"/>
      <c r="AQ830" s="473"/>
      <c r="AR830" s="473"/>
      <c r="AS830" s="1236"/>
      <c r="AT830" s="473"/>
      <c r="AU830" s="473"/>
      <c r="AV830" s="1164"/>
      <c r="AW830" s="1164"/>
      <c r="AX830" s="1236"/>
      <c r="AY830" s="473"/>
      <c r="AZ830" s="1236"/>
      <c r="BA830" s="473"/>
      <c r="BB830" s="473"/>
      <c r="BC830" s="1164"/>
      <c r="BD830" s="20"/>
      <c r="BE830" s="473"/>
      <c r="BF830" s="610"/>
      <c r="BG830" s="610"/>
      <c r="BH830" s="610"/>
      <c r="BI830" s="610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</row>
    <row r="831" spans="1:148" s="22" customFormat="1" x14ac:dyDescent="0.25">
      <c r="A831" s="20"/>
      <c r="B831" s="16"/>
      <c r="C831" s="473"/>
      <c r="D831" s="473"/>
      <c r="E831" s="1164"/>
      <c r="F831" s="473"/>
      <c r="G831" s="473"/>
      <c r="H831" s="1164"/>
      <c r="I831" s="473"/>
      <c r="J831" s="473"/>
      <c r="K831" s="1164"/>
      <c r="L831" s="473"/>
      <c r="M831" s="473"/>
      <c r="N831" s="1164"/>
      <c r="O831" s="473"/>
      <c r="P831" s="473"/>
      <c r="Q831" s="1164"/>
      <c r="R831" s="473"/>
      <c r="S831" s="473"/>
      <c r="T831" s="1164"/>
      <c r="U831" s="1164"/>
      <c r="V831" s="473"/>
      <c r="W831" s="473"/>
      <c r="X831" s="1164"/>
      <c r="Y831" s="473"/>
      <c r="Z831" s="473"/>
      <c r="AA831" s="1164"/>
      <c r="AB831" s="473"/>
      <c r="AC831" s="1164"/>
      <c r="AD831" s="473"/>
      <c r="AE831" s="1164"/>
      <c r="AF831" s="473"/>
      <c r="AG831" s="1164"/>
      <c r="AH831" s="473"/>
      <c r="AI831" s="473"/>
      <c r="AJ831" s="1164"/>
      <c r="AK831" s="473"/>
      <c r="AL831" s="473"/>
      <c r="AM831" s="1164"/>
      <c r="AN831" s="473"/>
      <c r="AO831" s="473"/>
      <c r="AP831" s="1164"/>
      <c r="AQ831" s="473"/>
      <c r="AR831" s="473"/>
      <c r="AS831" s="1236"/>
      <c r="AT831" s="473"/>
      <c r="AU831" s="473"/>
      <c r="AV831" s="1164"/>
      <c r="AW831" s="1164"/>
      <c r="AX831" s="1236"/>
      <c r="AY831" s="473"/>
      <c r="AZ831" s="1236"/>
      <c r="BA831" s="473"/>
      <c r="BB831" s="473"/>
      <c r="BC831" s="1164"/>
      <c r="BD831" s="20"/>
      <c r="BE831" s="473"/>
      <c r="BF831" s="610"/>
      <c r="BG831" s="610"/>
      <c r="BH831" s="610"/>
      <c r="BI831" s="610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</row>
    <row r="832" spans="1:148" s="22" customFormat="1" x14ac:dyDescent="0.25">
      <c r="A832" s="20"/>
      <c r="B832" s="16"/>
      <c r="C832" s="473"/>
      <c r="D832" s="473"/>
      <c r="E832" s="1164"/>
      <c r="F832" s="473"/>
      <c r="G832" s="473"/>
      <c r="H832" s="1164"/>
      <c r="I832" s="473"/>
      <c r="J832" s="473"/>
      <c r="K832" s="1164"/>
      <c r="L832" s="473"/>
      <c r="M832" s="473"/>
      <c r="N832" s="1164"/>
      <c r="O832" s="473"/>
      <c r="P832" s="473"/>
      <c r="Q832" s="1164"/>
      <c r="R832" s="473"/>
      <c r="S832" s="473"/>
      <c r="T832" s="1164"/>
      <c r="U832" s="1164"/>
      <c r="V832" s="473"/>
      <c r="W832" s="473"/>
      <c r="X832" s="1164"/>
      <c r="Y832" s="473"/>
      <c r="Z832" s="473"/>
      <c r="AA832" s="1164"/>
      <c r="AB832" s="473"/>
      <c r="AC832" s="1164"/>
      <c r="AD832" s="473"/>
      <c r="AE832" s="1164"/>
      <c r="AF832" s="473"/>
      <c r="AG832" s="1164"/>
      <c r="AH832" s="473"/>
      <c r="AI832" s="473"/>
      <c r="AJ832" s="1164"/>
      <c r="AK832" s="473"/>
      <c r="AL832" s="473"/>
      <c r="AM832" s="1164"/>
      <c r="AN832" s="473"/>
      <c r="AO832" s="473"/>
      <c r="AP832" s="1164"/>
      <c r="AQ832" s="473"/>
      <c r="AR832" s="473"/>
      <c r="AS832" s="1236"/>
      <c r="AT832" s="473"/>
      <c r="AU832" s="473"/>
      <c r="AV832" s="1164"/>
      <c r="AW832" s="1164"/>
      <c r="AX832" s="1236"/>
      <c r="AY832" s="473"/>
      <c r="AZ832" s="1236"/>
      <c r="BA832" s="473"/>
      <c r="BB832" s="473"/>
      <c r="BC832" s="1164"/>
      <c r="BD832" s="20"/>
      <c r="BE832" s="473"/>
      <c r="BF832" s="610"/>
      <c r="BG832" s="610"/>
      <c r="BH832" s="610"/>
      <c r="BI832" s="610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</row>
    <row r="833" spans="1:148" s="22" customFormat="1" x14ac:dyDescent="0.25">
      <c r="A833" s="20"/>
      <c r="B833" s="16"/>
      <c r="C833" s="473"/>
      <c r="D833" s="473"/>
      <c r="E833" s="1164"/>
      <c r="F833" s="473"/>
      <c r="G833" s="473"/>
      <c r="H833" s="1164"/>
      <c r="I833" s="473"/>
      <c r="J833" s="473"/>
      <c r="K833" s="1164"/>
      <c r="L833" s="473"/>
      <c r="M833" s="473"/>
      <c r="N833" s="1164"/>
      <c r="O833" s="473"/>
      <c r="P833" s="473"/>
      <c r="Q833" s="1164"/>
      <c r="R833" s="473"/>
      <c r="S833" s="473"/>
      <c r="T833" s="1164"/>
      <c r="U833" s="1164"/>
      <c r="V833" s="473"/>
      <c r="W833" s="473"/>
      <c r="X833" s="1164"/>
      <c r="Y833" s="473"/>
      <c r="Z833" s="473"/>
      <c r="AA833" s="1164"/>
      <c r="AB833" s="473"/>
      <c r="AC833" s="1164"/>
      <c r="AD833" s="473"/>
      <c r="AE833" s="1164"/>
      <c r="AF833" s="473"/>
      <c r="AG833" s="1164"/>
      <c r="AH833" s="473"/>
      <c r="AI833" s="473"/>
      <c r="AJ833" s="1164"/>
      <c r="AK833" s="473"/>
      <c r="AL833" s="473"/>
      <c r="AM833" s="1164"/>
      <c r="AN833" s="473"/>
      <c r="AO833" s="473"/>
      <c r="AP833" s="1164"/>
      <c r="AQ833" s="473"/>
      <c r="AR833" s="473"/>
      <c r="AS833" s="1236"/>
      <c r="AT833" s="473"/>
      <c r="AU833" s="473"/>
      <c r="AV833" s="1164"/>
      <c r="AW833" s="1164"/>
      <c r="AX833" s="1236"/>
      <c r="AY833" s="473"/>
      <c r="AZ833" s="1236"/>
      <c r="BA833" s="473"/>
      <c r="BB833" s="473"/>
      <c r="BC833" s="1164"/>
      <c r="BD833" s="20"/>
      <c r="BE833" s="473"/>
      <c r="BF833" s="610"/>
      <c r="BG833" s="610"/>
      <c r="BH833" s="610"/>
      <c r="BI833" s="610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</row>
    <row r="834" spans="1:148" s="22" customFormat="1" x14ac:dyDescent="0.25">
      <c r="A834" s="20"/>
      <c r="B834" s="16"/>
      <c r="C834" s="473"/>
      <c r="D834" s="473"/>
      <c r="E834" s="1164"/>
      <c r="F834" s="473"/>
      <c r="G834" s="473"/>
      <c r="H834" s="1164"/>
      <c r="I834" s="473"/>
      <c r="J834" s="473"/>
      <c r="K834" s="1164"/>
      <c r="L834" s="473"/>
      <c r="M834" s="473"/>
      <c r="N834" s="1164"/>
      <c r="O834" s="473"/>
      <c r="P834" s="473"/>
      <c r="Q834" s="1164"/>
      <c r="R834" s="473"/>
      <c r="S834" s="473"/>
      <c r="T834" s="1164"/>
      <c r="U834" s="1164"/>
      <c r="V834" s="473"/>
      <c r="W834" s="473"/>
      <c r="X834" s="1164"/>
      <c r="Y834" s="473"/>
      <c r="Z834" s="473"/>
      <c r="AA834" s="1164"/>
      <c r="AB834" s="473"/>
      <c r="AC834" s="1164"/>
      <c r="AD834" s="473"/>
      <c r="AE834" s="1164"/>
      <c r="AF834" s="473"/>
      <c r="AG834" s="1164"/>
      <c r="AH834" s="473"/>
      <c r="AI834" s="473"/>
      <c r="AJ834" s="1164"/>
      <c r="AK834" s="473"/>
      <c r="AL834" s="473"/>
      <c r="AM834" s="1164"/>
      <c r="AN834" s="473"/>
      <c r="AO834" s="473"/>
      <c r="AP834" s="1164"/>
      <c r="AQ834" s="473"/>
      <c r="AR834" s="473"/>
      <c r="AS834" s="1236"/>
      <c r="AT834" s="473"/>
      <c r="AU834" s="473"/>
      <c r="AV834" s="1164"/>
      <c r="AW834" s="1164"/>
      <c r="AX834" s="1236"/>
      <c r="AY834" s="473"/>
      <c r="AZ834" s="1236"/>
      <c r="BA834" s="473"/>
      <c r="BB834" s="473"/>
      <c r="BC834" s="1164"/>
      <c r="BD834" s="20"/>
      <c r="BE834" s="473"/>
      <c r="BF834" s="610"/>
      <c r="BG834" s="610"/>
      <c r="BH834" s="610"/>
      <c r="BI834" s="610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</row>
    <row r="835" spans="1:148" s="22" customFormat="1" x14ac:dyDescent="0.25">
      <c r="A835" s="20"/>
      <c r="B835" s="16"/>
      <c r="C835" s="473"/>
      <c r="D835" s="473"/>
      <c r="E835" s="1164"/>
      <c r="F835" s="473"/>
      <c r="G835" s="473"/>
      <c r="H835" s="1164"/>
      <c r="I835" s="473"/>
      <c r="J835" s="473"/>
      <c r="K835" s="1164"/>
      <c r="L835" s="473"/>
      <c r="M835" s="473"/>
      <c r="N835" s="1164"/>
      <c r="O835" s="473"/>
      <c r="P835" s="473"/>
      <c r="Q835" s="1164"/>
      <c r="R835" s="473"/>
      <c r="S835" s="473"/>
      <c r="T835" s="1164"/>
      <c r="U835" s="1164"/>
      <c r="V835" s="473"/>
      <c r="W835" s="473"/>
      <c r="X835" s="1164"/>
      <c r="Y835" s="473"/>
      <c r="Z835" s="473"/>
      <c r="AA835" s="1164"/>
      <c r="AB835" s="473"/>
      <c r="AC835" s="1164"/>
      <c r="AD835" s="473"/>
      <c r="AE835" s="1164"/>
      <c r="AF835" s="473"/>
      <c r="AG835" s="1164"/>
      <c r="AH835" s="473"/>
      <c r="AI835" s="473"/>
      <c r="AJ835" s="1164"/>
      <c r="AK835" s="473"/>
      <c r="AL835" s="473"/>
      <c r="AM835" s="1164"/>
      <c r="AN835" s="473"/>
      <c r="AO835" s="473"/>
      <c r="AP835" s="1164"/>
      <c r="AQ835" s="473"/>
      <c r="AR835" s="473"/>
      <c r="AS835" s="1236"/>
      <c r="AT835" s="473"/>
      <c r="AU835" s="473"/>
      <c r="AV835" s="1164"/>
      <c r="AW835" s="1164"/>
      <c r="AX835" s="1236"/>
      <c r="AY835" s="473"/>
      <c r="AZ835" s="1236"/>
      <c r="BA835" s="473"/>
      <c r="BB835" s="473"/>
      <c r="BC835" s="1164"/>
      <c r="BD835" s="20"/>
      <c r="BE835" s="473"/>
      <c r="BF835" s="610"/>
      <c r="BG835" s="610"/>
      <c r="BH835" s="610"/>
      <c r="BI835" s="610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</row>
    <row r="836" spans="1:148" s="22" customFormat="1" x14ac:dyDescent="0.25">
      <c r="A836" s="20"/>
      <c r="B836" s="16"/>
      <c r="C836" s="473"/>
      <c r="D836" s="473"/>
      <c r="E836" s="1164"/>
      <c r="F836" s="473"/>
      <c r="G836" s="473"/>
      <c r="H836" s="1164"/>
      <c r="I836" s="473"/>
      <c r="J836" s="473"/>
      <c r="K836" s="1164"/>
      <c r="L836" s="473"/>
      <c r="M836" s="473"/>
      <c r="N836" s="1164"/>
      <c r="O836" s="473"/>
      <c r="P836" s="473"/>
      <c r="Q836" s="1164"/>
      <c r="R836" s="473"/>
      <c r="S836" s="473"/>
      <c r="T836" s="1164"/>
      <c r="U836" s="1164"/>
      <c r="V836" s="473"/>
      <c r="W836" s="473"/>
      <c r="X836" s="1164"/>
      <c r="Y836" s="473"/>
      <c r="Z836" s="473"/>
      <c r="AA836" s="1164"/>
      <c r="AB836" s="473"/>
      <c r="AC836" s="1164"/>
      <c r="AD836" s="473"/>
      <c r="AE836" s="1164"/>
      <c r="AF836" s="473"/>
      <c r="AG836" s="1164"/>
      <c r="AH836" s="473"/>
      <c r="AI836" s="473"/>
      <c r="AJ836" s="1164"/>
      <c r="AK836" s="473"/>
      <c r="AL836" s="473"/>
      <c r="AM836" s="1164"/>
      <c r="AN836" s="473"/>
      <c r="AO836" s="473"/>
      <c r="AP836" s="1164"/>
      <c r="AQ836" s="473"/>
      <c r="AR836" s="473"/>
      <c r="AS836" s="1236"/>
      <c r="AT836" s="473"/>
      <c r="AU836" s="473"/>
      <c r="AV836" s="1164"/>
      <c r="AW836" s="1164"/>
      <c r="AX836" s="1236"/>
      <c r="AY836" s="473"/>
      <c r="AZ836" s="1236"/>
      <c r="BA836" s="473"/>
      <c r="BB836" s="473"/>
      <c r="BC836" s="1164"/>
      <c r="BD836" s="20"/>
      <c r="BE836" s="473"/>
      <c r="BF836" s="610"/>
      <c r="BG836" s="610"/>
      <c r="BH836" s="610"/>
      <c r="BI836" s="610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</row>
    <row r="837" spans="1:148" s="22" customFormat="1" x14ac:dyDescent="0.25">
      <c r="A837" s="20"/>
      <c r="B837" s="16"/>
      <c r="C837" s="473"/>
      <c r="D837" s="473"/>
      <c r="E837" s="1164"/>
      <c r="F837" s="473"/>
      <c r="G837" s="473"/>
      <c r="H837" s="1164"/>
      <c r="I837" s="473"/>
      <c r="J837" s="473"/>
      <c r="K837" s="1164"/>
      <c r="L837" s="473"/>
      <c r="M837" s="473"/>
      <c r="N837" s="1164"/>
      <c r="O837" s="473"/>
      <c r="P837" s="473"/>
      <c r="Q837" s="1164"/>
      <c r="R837" s="473"/>
      <c r="S837" s="473"/>
      <c r="T837" s="1164"/>
      <c r="U837" s="1164"/>
      <c r="V837" s="473"/>
      <c r="W837" s="473"/>
      <c r="X837" s="1164"/>
      <c r="Y837" s="473"/>
      <c r="Z837" s="473"/>
      <c r="AA837" s="1164"/>
      <c r="AB837" s="473"/>
      <c r="AC837" s="1164"/>
      <c r="AD837" s="473"/>
      <c r="AE837" s="1164"/>
      <c r="AF837" s="473"/>
      <c r="AG837" s="1164"/>
      <c r="AH837" s="473"/>
      <c r="AI837" s="473"/>
      <c r="AJ837" s="1164"/>
      <c r="AK837" s="473"/>
      <c r="AL837" s="473"/>
      <c r="AM837" s="1164"/>
      <c r="AN837" s="473"/>
      <c r="AO837" s="473"/>
      <c r="AP837" s="1164"/>
      <c r="AQ837" s="473"/>
      <c r="AR837" s="473"/>
      <c r="AS837" s="1236"/>
      <c r="AT837" s="473"/>
      <c r="AU837" s="473"/>
      <c r="AV837" s="1164"/>
      <c r="AW837" s="1164"/>
      <c r="AX837" s="1236"/>
      <c r="AY837" s="473"/>
      <c r="AZ837" s="1236"/>
      <c r="BA837" s="473"/>
      <c r="BB837" s="473"/>
      <c r="BC837" s="1164"/>
      <c r="BD837" s="20"/>
      <c r="BE837" s="473"/>
      <c r="BF837" s="610"/>
      <c r="BG837" s="610"/>
      <c r="BH837" s="610"/>
      <c r="BI837" s="610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</row>
    <row r="838" spans="1:148" s="22" customFormat="1" x14ac:dyDescent="0.25">
      <c r="A838" s="20"/>
      <c r="B838" s="16"/>
      <c r="C838" s="473"/>
      <c r="D838" s="473"/>
      <c r="E838" s="1164"/>
      <c r="F838" s="473"/>
      <c r="G838" s="473"/>
      <c r="H838" s="1164"/>
      <c r="I838" s="473"/>
      <c r="J838" s="473"/>
      <c r="K838" s="1164"/>
      <c r="L838" s="473"/>
      <c r="M838" s="473"/>
      <c r="N838" s="1164"/>
      <c r="O838" s="473"/>
      <c r="P838" s="473"/>
      <c r="Q838" s="1164"/>
      <c r="R838" s="473"/>
      <c r="S838" s="473"/>
      <c r="T838" s="1164"/>
      <c r="U838" s="1164"/>
      <c r="V838" s="473"/>
      <c r="W838" s="473"/>
      <c r="X838" s="1164"/>
      <c r="Y838" s="473"/>
      <c r="Z838" s="473"/>
      <c r="AA838" s="1164"/>
      <c r="AB838" s="473"/>
      <c r="AC838" s="1164"/>
      <c r="AD838" s="473"/>
      <c r="AE838" s="1164"/>
      <c r="AF838" s="473"/>
      <c r="AG838" s="1164"/>
      <c r="AH838" s="473"/>
      <c r="AI838" s="473"/>
      <c r="AJ838" s="1164"/>
      <c r="AK838" s="473"/>
      <c r="AL838" s="473"/>
      <c r="AM838" s="1164"/>
      <c r="AN838" s="473"/>
      <c r="AO838" s="473"/>
      <c r="AP838" s="1164"/>
      <c r="AQ838" s="473"/>
      <c r="AR838" s="473"/>
      <c r="AS838" s="1236"/>
      <c r="AT838" s="473"/>
      <c r="AU838" s="473"/>
      <c r="AV838" s="1164"/>
      <c r="AW838" s="1164"/>
      <c r="AX838" s="1236"/>
      <c r="AY838" s="473"/>
      <c r="AZ838" s="1236"/>
      <c r="BA838" s="473"/>
      <c r="BB838" s="473"/>
      <c r="BC838" s="1164"/>
      <c r="BD838" s="20"/>
      <c r="BE838" s="473"/>
      <c r="BF838" s="610"/>
      <c r="BG838" s="610"/>
      <c r="BH838" s="610"/>
      <c r="BI838" s="610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</row>
    <row r="839" spans="1:148" s="22" customFormat="1" x14ac:dyDescent="0.25">
      <c r="A839" s="20"/>
      <c r="B839" s="16"/>
      <c r="C839" s="473"/>
      <c r="D839" s="473"/>
      <c r="E839" s="1164"/>
      <c r="F839" s="473"/>
      <c r="G839" s="473"/>
      <c r="H839" s="1164"/>
      <c r="I839" s="473"/>
      <c r="J839" s="473"/>
      <c r="K839" s="1164"/>
      <c r="L839" s="473"/>
      <c r="M839" s="473"/>
      <c r="N839" s="1164"/>
      <c r="O839" s="473"/>
      <c r="P839" s="473"/>
      <c r="Q839" s="1164"/>
      <c r="R839" s="473"/>
      <c r="S839" s="473"/>
      <c r="T839" s="1164"/>
      <c r="U839" s="1164"/>
      <c r="V839" s="473"/>
      <c r="W839" s="473"/>
      <c r="X839" s="1164"/>
      <c r="Y839" s="473"/>
      <c r="Z839" s="473"/>
      <c r="AA839" s="1164"/>
      <c r="AB839" s="473"/>
      <c r="AC839" s="1164"/>
      <c r="AD839" s="473"/>
      <c r="AE839" s="1164"/>
      <c r="AF839" s="473"/>
      <c r="AG839" s="1164"/>
      <c r="AH839" s="473"/>
      <c r="AI839" s="473"/>
      <c r="AJ839" s="1164"/>
      <c r="AK839" s="473"/>
      <c r="AL839" s="473"/>
      <c r="AM839" s="1164"/>
      <c r="AN839" s="473"/>
      <c r="AO839" s="473"/>
      <c r="AP839" s="1164"/>
      <c r="AQ839" s="473"/>
      <c r="AR839" s="473"/>
      <c r="AS839" s="1236"/>
      <c r="AT839" s="473"/>
      <c r="AU839" s="473"/>
      <c r="AV839" s="1164"/>
      <c r="AW839" s="1164"/>
      <c r="AX839" s="1236"/>
      <c r="AY839" s="473"/>
      <c r="AZ839" s="1236"/>
      <c r="BA839" s="473"/>
      <c r="BB839" s="473"/>
      <c r="BC839" s="1164"/>
      <c r="BD839" s="20"/>
      <c r="BE839" s="473"/>
      <c r="BF839" s="610"/>
      <c r="BG839" s="610"/>
      <c r="BH839" s="610"/>
      <c r="BI839" s="610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</row>
    <row r="840" spans="1:148" s="22" customFormat="1" x14ac:dyDescent="0.25">
      <c r="A840" s="20"/>
      <c r="B840" s="16"/>
      <c r="C840" s="473"/>
      <c r="D840" s="473"/>
      <c r="E840" s="1164"/>
      <c r="F840" s="473"/>
      <c r="G840" s="473"/>
      <c r="H840" s="1164"/>
      <c r="I840" s="473"/>
      <c r="J840" s="473"/>
      <c r="K840" s="1164"/>
      <c r="L840" s="473"/>
      <c r="M840" s="473"/>
      <c r="N840" s="1164"/>
      <c r="O840" s="473"/>
      <c r="P840" s="473"/>
      <c r="Q840" s="1164"/>
      <c r="R840" s="473"/>
      <c r="S840" s="473"/>
      <c r="T840" s="1164"/>
      <c r="U840" s="1164"/>
      <c r="V840" s="473"/>
      <c r="W840" s="473"/>
      <c r="X840" s="1164"/>
      <c r="Y840" s="473"/>
      <c r="Z840" s="473"/>
      <c r="AA840" s="1164"/>
      <c r="AB840" s="473"/>
      <c r="AC840" s="1164"/>
      <c r="AD840" s="473"/>
      <c r="AE840" s="1164"/>
      <c r="AF840" s="473"/>
      <c r="AG840" s="1164"/>
      <c r="AH840" s="473"/>
      <c r="AI840" s="473"/>
      <c r="AJ840" s="1164"/>
      <c r="AK840" s="473"/>
      <c r="AL840" s="473"/>
      <c r="AM840" s="1164"/>
      <c r="AN840" s="473"/>
      <c r="AO840" s="473"/>
      <c r="AP840" s="1164"/>
      <c r="AQ840" s="473"/>
      <c r="AR840" s="473"/>
      <c r="AS840" s="1236"/>
      <c r="AT840" s="473"/>
      <c r="AU840" s="473"/>
      <c r="AV840" s="1164"/>
      <c r="AW840" s="1164"/>
      <c r="AX840" s="1236"/>
      <c r="AY840" s="473"/>
      <c r="AZ840" s="1236"/>
      <c r="BA840" s="473"/>
      <c r="BB840" s="473"/>
      <c r="BC840" s="1164"/>
      <c r="BD840" s="20"/>
      <c r="BE840" s="473"/>
      <c r="BF840" s="610"/>
      <c r="BG840" s="610"/>
      <c r="BH840" s="610"/>
      <c r="BI840" s="610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</row>
    <row r="841" spans="1:148" s="22" customFormat="1" x14ac:dyDescent="0.25">
      <c r="A841" s="20"/>
      <c r="B841" s="16"/>
      <c r="C841" s="473"/>
      <c r="D841" s="473"/>
      <c r="E841" s="1164"/>
      <c r="F841" s="473"/>
      <c r="G841" s="473"/>
      <c r="H841" s="1164"/>
      <c r="I841" s="473"/>
      <c r="J841" s="473"/>
      <c r="K841" s="1164"/>
      <c r="L841" s="473"/>
      <c r="M841" s="473"/>
      <c r="N841" s="1164"/>
      <c r="O841" s="473"/>
      <c r="P841" s="473"/>
      <c r="Q841" s="1164"/>
      <c r="R841" s="473"/>
      <c r="S841" s="473"/>
      <c r="T841" s="1164"/>
      <c r="U841" s="1164"/>
      <c r="V841" s="473"/>
      <c r="W841" s="473"/>
      <c r="X841" s="1164"/>
      <c r="Y841" s="473"/>
      <c r="Z841" s="473"/>
      <c r="AA841" s="1164"/>
      <c r="AB841" s="473"/>
      <c r="AC841" s="1164"/>
      <c r="AD841" s="473"/>
      <c r="AE841" s="1164"/>
      <c r="AF841" s="473"/>
      <c r="AG841" s="1164"/>
      <c r="AH841" s="473"/>
      <c r="AI841" s="473"/>
      <c r="AJ841" s="1164"/>
      <c r="AK841" s="473"/>
      <c r="AL841" s="473"/>
      <c r="AM841" s="1164"/>
      <c r="AN841" s="473"/>
      <c r="AO841" s="473"/>
      <c r="AP841" s="1164"/>
      <c r="AQ841" s="473"/>
      <c r="AR841" s="473"/>
      <c r="AS841" s="1236"/>
      <c r="AT841" s="473"/>
      <c r="AU841" s="473"/>
      <c r="AV841" s="1164"/>
      <c r="AW841" s="1164"/>
      <c r="AX841" s="1236"/>
      <c r="AY841" s="473"/>
      <c r="AZ841" s="1236"/>
      <c r="BA841" s="473"/>
      <c r="BB841" s="473"/>
      <c r="BC841" s="1164"/>
      <c r="BD841" s="20"/>
      <c r="BE841" s="473"/>
      <c r="BF841" s="610"/>
      <c r="BG841" s="610"/>
      <c r="BH841" s="610"/>
      <c r="BI841" s="610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</row>
    <row r="842" spans="1:148" s="22" customFormat="1" x14ac:dyDescent="0.25">
      <c r="A842" s="20"/>
      <c r="B842" s="16"/>
      <c r="C842" s="473"/>
      <c r="D842" s="473"/>
      <c r="E842" s="1164"/>
      <c r="F842" s="473"/>
      <c r="G842" s="473"/>
      <c r="H842" s="1164"/>
      <c r="I842" s="473"/>
      <c r="J842" s="473"/>
      <c r="K842" s="1164"/>
      <c r="L842" s="473"/>
      <c r="M842" s="473"/>
      <c r="N842" s="1164"/>
      <c r="O842" s="473"/>
      <c r="P842" s="473"/>
      <c r="Q842" s="1164"/>
      <c r="R842" s="473"/>
      <c r="S842" s="473"/>
      <c r="T842" s="1164"/>
      <c r="U842" s="1164"/>
      <c r="V842" s="473"/>
      <c r="W842" s="473"/>
      <c r="X842" s="1164"/>
      <c r="Y842" s="473"/>
      <c r="Z842" s="473"/>
      <c r="AA842" s="1164"/>
      <c r="AB842" s="473"/>
      <c r="AC842" s="1164"/>
      <c r="AD842" s="473"/>
      <c r="AE842" s="1164"/>
      <c r="AF842" s="473"/>
      <c r="AG842" s="1164"/>
      <c r="AH842" s="473"/>
      <c r="AI842" s="473"/>
      <c r="AJ842" s="1164"/>
      <c r="AK842" s="473"/>
      <c r="AL842" s="473"/>
      <c r="AM842" s="1164"/>
      <c r="AN842" s="473"/>
      <c r="AO842" s="473"/>
      <c r="AP842" s="1164"/>
      <c r="AQ842" s="473"/>
      <c r="AR842" s="473"/>
      <c r="AS842" s="1236"/>
      <c r="AT842" s="473"/>
      <c r="AU842" s="473"/>
      <c r="AV842" s="1164"/>
      <c r="AW842" s="1164"/>
      <c r="AX842" s="1236"/>
      <c r="AY842" s="473"/>
      <c r="AZ842" s="1236"/>
      <c r="BA842" s="473"/>
      <c r="BB842" s="473"/>
      <c r="BC842" s="1164"/>
      <c r="BD842" s="20"/>
      <c r="BE842" s="473"/>
      <c r="BF842" s="610"/>
      <c r="BG842" s="610"/>
      <c r="BH842" s="610"/>
      <c r="BI842" s="610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</row>
    <row r="843" spans="1:148" s="22" customFormat="1" x14ac:dyDescent="0.25">
      <c r="A843" s="20"/>
      <c r="B843" s="16"/>
      <c r="C843" s="473"/>
      <c r="D843" s="473"/>
      <c r="E843" s="1164"/>
      <c r="F843" s="473"/>
      <c r="G843" s="473"/>
      <c r="H843" s="1164"/>
      <c r="I843" s="473"/>
      <c r="J843" s="473"/>
      <c r="K843" s="1164"/>
      <c r="L843" s="473"/>
      <c r="M843" s="473"/>
      <c r="N843" s="1164"/>
      <c r="O843" s="473"/>
      <c r="P843" s="473"/>
      <c r="Q843" s="1164"/>
      <c r="R843" s="473"/>
      <c r="S843" s="473"/>
      <c r="T843" s="1164"/>
      <c r="U843" s="1164"/>
      <c r="V843" s="473"/>
      <c r="W843" s="473"/>
      <c r="X843" s="1164"/>
      <c r="Y843" s="473"/>
      <c r="Z843" s="473"/>
      <c r="AA843" s="1164"/>
      <c r="AB843" s="473"/>
      <c r="AC843" s="1164"/>
      <c r="AD843" s="473"/>
      <c r="AE843" s="1164"/>
      <c r="AF843" s="473"/>
      <c r="AG843" s="1164"/>
      <c r="AH843" s="473"/>
      <c r="AI843" s="473"/>
      <c r="AJ843" s="1164"/>
      <c r="AK843" s="473"/>
      <c r="AL843" s="473"/>
      <c r="AM843" s="1164"/>
      <c r="AN843" s="473"/>
      <c r="AO843" s="473"/>
      <c r="AP843" s="1164"/>
      <c r="AQ843" s="473"/>
      <c r="AR843" s="473"/>
      <c r="AS843" s="1236"/>
      <c r="AT843" s="473"/>
      <c r="AU843" s="473"/>
      <c r="AV843" s="1164"/>
      <c r="AW843" s="1164"/>
      <c r="AX843" s="1236"/>
      <c r="AY843" s="473"/>
      <c r="AZ843" s="1236"/>
      <c r="BA843" s="473"/>
      <c r="BB843" s="473"/>
      <c r="BC843" s="1164"/>
      <c r="BD843" s="20"/>
      <c r="BE843" s="473"/>
      <c r="BF843" s="610"/>
      <c r="BG843" s="610"/>
      <c r="BH843" s="610"/>
      <c r="BI843" s="610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</row>
    <row r="844" spans="1:148" s="22" customFormat="1" x14ac:dyDescent="0.25">
      <c r="A844" s="20"/>
      <c r="B844" s="16"/>
      <c r="C844" s="473"/>
      <c r="D844" s="473"/>
      <c r="E844" s="1164"/>
      <c r="F844" s="473"/>
      <c r="G844" s="473"/>
      <c r="H844" s="1164"/>
      <c r="I844" s="473"/>
      <c r="J844" s="473"/>
      <c r="K844" s="1164"/>
      <c r="L844" s="473"/>
      <c r="M844" s="473"/>
      <c r="N844" s="1164"/>
      <c r="O844" s="473"/>
      <c r="P844" s="473"/>
      <c r="Q844" s="1164"/>
      <c r="R844" s="473"/>
      <c r="S844" s="473"/>
      <c r="T844" s="1164"/>
      <c r="U844" s="1164"/>
      <c r="V844" s="473"/>
      <c r="W844" s="473"/>
      <c r="X844" s="1164"/>
      <c r="Y844" s="473"/>
      <c r="Z844" s="473"/>
      <c r="AA844" s="1164"/>
      <c r="AB844" s="473"/>
      <c r="AC844" s="1164"/>
      <c r="AD844" s="473"/>
      <c r="AE844" s="1164"/>
      <c r="AF844" s="473"/>
      <c r="AG844" s="1164"/>
      <c r="AH844" s="473"/>
      <c r="AI844" s="473"/>
      <c r="AJ844" s="1164"/>
      <c r="AK844" s="473"/>
      <c r="AL844" s="473"/>
      <c r="AM844" s="1164"/>
      <c r="AN844" s="473"/>
      <c r="AO844" s="473"/>
      <c r="AP844" s="1164"/>
      <c r="AQ844" s="473"/>
      <c r="AR844" s="473"/>
      <c r="AS844" s="1236"/>
      <c r="AT844" s="473"/>
      <c r="AU844" s="473"/>
      <c r="AV844" s="1164"/>
      <c r="AW844" s="1164"/>
      <c r="AX844" s="1236"/>
      <c r="AY844" s="473"/>
      <c r="AZ844" s="1236"/>
      <c r="BA844" s="473"/>
      <c r="BB844" s="473"/>
      <c r="BC844" s="1164"/>
      <c r="BD844" s="20"/>
      <c r="BE844" s="473"/>
      <c r="BF844" s="610"/>
      <c r="BG844" s="610"/>
      <c r="BH844" s="610"/>
      <c r="BI844" s="610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</row>
    <row r="845" spans="1:148" s="22" customFormat="1" x14ac:dyDescent="0.25">
      <c r="A845" s="20"/>
      <c r="B845" s="16"/>
      <c r="C845" s="473"/>
      <c r="D845" s="473"/>
      <c r="E845" s="1164"/>
      <c r="F845" s="473"/>
      <c r="G845" s="473"/>
      <c r="H845" s="1164"/>
      <c r="I845" s="473"/>
      <c r="J845" s="473"/>
      <c r="K845" s="1164"/>
      <c r="L845" s="473"/>
      <c r="M845" s="473"/>
      <c r="N845" s="1164"/>
      <c r="O845" s="473"/>
      <c r="P845" s="473"/>
      <c r="Q845" s="1164"/>
      <c r="R845" s="473"/>
      <c r="S845" s="473"/>
      <c r="T845" s="1164"/>
      <c r="U845" s="1164"/>
      <c r="V845" s="473"/>
      <c r="W845" s="473"/>
      <c r="X845" s="1164"/>
      <c r="Y845" s="473"/>
      <c r="Z845" s="473"/>
      <c r="AA845" s="1164"/>
      <c r="AB845" s="473"/>
      <c r="AC845" s="1164"/>
      <c r="AD845" s="473"/>
      <c r="AE845" s="1164"/>
      <c r="AF845" s="473"/>
      <c r="AG845" s="1164"/>
      <c r="AH845" s="473"/>
      <c r="AI845" s="473"/>
      <c r="AJ845" s="1164"/>
      <c r="AK845" s="473"/>
      <c r="AL845" s="473"/>
      <c r="AM845" s="1164"/>
      <c r="AN845" s="473"/>
      <c r="AO845" s="473"/>
      <c r="AP845" s="1164"/>
      <c r="AQ845" s="473"/>
      <c r="AR845" s="473"/>
      <c r="AS845" s="1236"/>
      <c r="AT845" s="473"/>
      <c r="AU845" s="473"/>
      <c r="AV845" s="1164"/>
      <c r="AW845" s="1164"/>
      <c r="AX845" s="1236"/>
      <c r="AY845" s="473"/>
      <c r="AZ845" s="1236"/>
      <c r="BA845" s="473"/>
      <c r="BB845" s="473"/>
      <c r="BC845" s="1164"/>
      <c r="BD845" s="20"/>
      <c r="BE845" s="473"/>
      <c r="BF845" s="610"/>
      <c r="BG845" s="610"/>
      <c r="BH845" s="610"/>
      <c r="BI845" s="610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</row>
    <row r="846" spans="1:148" s="22" customFormat="1" x14ac:dyDescent="0.25">
      <c r="A846" s="20"/>
      <c r="B846" s="16"/>
      <c r="C846" s="473"/>
      <c r="D846" s="473"/>
      <c r="E846" s="1164"/>
      <c r="F846" s="473"/>
      <c r="G846" s="473"/>
      <c r="H846" s="1164"/>
      <c r="I846" s="473"/>
      <c r="J846" s="473"/>
      <c r="K846" s="1164"/>
      <c r="L846" s="473"/>
      <c r="M846" s="473"/>
      <c r="N846" s="1164"/>
      <c r="O846" s="473"/>
      <c r="P846" s="473"/>
      <c r="Q846" s="1164"/>
      <c r="R846" s="473"/>
      <c r="S846" s="473"/>
      <c r="T846" s="1164"/>
      <c r="U846" s="1164"/>
      <c r="V846" s="473"/>
      <c r="W846" s="473"/>
      <c r="X846" s="1164"/>
      <c r="Y846" s="473"/>
      <c r="Z846" s="473"/>
      <c r="AA846" s="1164"/>
      <c r="AB846" s="473"/>
      <c r="AC846" s="1164"/>
      <c r="AD846" s="473"/>
      <c r="AE846" s="1164"/>
      <c r="AF846" s="473"/>
      <c r="AG846" s="1164"/>
      <c r="AH846" s="473"/>
      <c r="AI846" s="473"/>
      <c r="AJ846" s="1164"/>
      <c r="AK846" s="473"/>
      <c r="AL846" s="473"/>
      <c r="AM846" s="1164"/>
      <c r="AN846" s="473"/>
      <c r="AO846" s="473"/>
      <c r="AP846" s="1164"/>
      <c r="AQ846" s="473"/>
      <c r="AR846" s="473"/>
      <c r="AS846" s="1236"/>
      <c r="AT846" s="473"/>
      <c r="AU846" s="473"/>
      <c r="AV846" s="1164"/>
      <c r="AW846" s="1164"/>
      <c r="AX846" s="1236"/>
      <c r="AY846" s="473"/>
      <c r="AZ846" s="1236"/>
      <c r="BA846" s="473"/>
      <c r="BB846" s="473"/>
      <c r="BC846" s="1164"/>
      <c r="BD846" s="20"/>
      <c r="BE846" s="473"/>
      <c r="BF846" s="610"/>
      <c r="BG846" s="610"/>
      <c r="BH846" s="610"/>
      <c r="BI846" s="610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</row>
    <row r="847" spans="1:148" s="22" customFormat="1" x14ac:dyDescent="0.25">
      <c r="A847" s="20"/>
      <c r="B847" s="16"/>
      <c r="C847" s="473"/>
      <c r="D847" s="473"/>
      <c r="E847" s="1164"/>
      <c r="F847" s="473"/>
      <c r="G847" s="473"/>
      <c r="H847" s="1164"/>
      <c r="I847" s="473"/>
      <c r="J847" s="473"/>
      <c r="K847" s="1164"/>
      <c r="L847" s="473"/>
      <c r="M847" s="473"/>
      <c r="N847" s="1164"/>
      <c r="O847" s="473"/>
      <c r="P847" s="473"/>
      <c r="Q847" s="1164"/>
      <c r="R847" s="473"/>
      <c r="S847" s="473"/>
      <c r="T847" s="1164"/>
      <c r="U847" s="1164"/>
      <c r="V847" s="473"/>
      <c r="W847" s="473"/>
      <c r="X847" s="1164"/>
      <c r="Y847" s="473"/>
      <c r="Z847" s="473"/>
      <c r="AA847" s="1164"/>
      <c r="AB847" s="473"/>
      <c r="AC847" s="1164"/>
      <c r="AD847" s="473"/>
      <c r="AE847" s="1164"/>
      <c r="AF847" s="473"/>
      <c r="AG847" s="1164"/>
      <c r="AH847" s="473"/>
      <c r="AI847" s="473"/>
      <c r="AJ847" s="1164"/>
      <c r="AK847" s="473"/>
      <c r="AL847" s="473"/>
      <c r="AM847" s="1164"/>
      <c r="AN847" s="473"/>
      <c r="AO847" s="473"/>
      <c r="AP847" s="1164"/>
      <c r="AQ847" s="473"/>
      <c r="AR847" s="473"/>
      <c r="AS847" s="1236"/>
      <c r="AT847" s="473"/>
      <c r="AU847" s="473"/>
      <c r="AV847" s="1164"/>
      <c r="AW847" s="1164"/>
      <c r="AX847" s="1236"/>
      <c r="AY847" s="473"/>
      <c r="AZ847" s="1236"/>
      <c r="BA847" s="473"/>
      <c r="BB847" s="473"/>
      <c r="BC847" s="1164"/>
      <c r="BD847" s="20"/>
      <c r="BE847" s="473"/>
      <c r="BF847" s="610"/>
      <c r="BG847" s="610"/>
      <c r="BH847" s="610"/>
      <c r="BI847" s="610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</row>
    <row r="848" spans="1:148" s="22" customFormat="1" x14ac:dyDescent="0.25">
      <c r="A848" s="20"/>
      <c r="B848" s="16"/>
      <c r="C848" s="473"/>
      <c r="D848" s="473"/>
      <c r="E848" s="1164"/>
      <c r="F848" s="473"/>
      <c r="G848" s="473"/>
      <c r="H848" s="1164"/>
      <c r="I848" s="473"/>
      <c r="J848" s="473"/>
      <c r="K848" s="1164"/>
      <c r="L848" s="473"/>
      <c r="M848" s="473"/>
      <c r="N848" s="1164"/>
      <c r="O848" s="473"/>
      <c r="P848" s="473"/>
      <c r="Q848" s="1164"/>
      <c r="R848" s="473"/>
      <c r="S848" s="473"/>
      <c r="T848" s="1164"/>
      <c r="U848" s="1164"/>
      <c r="V848" s="473"/>
      <c r="W848" s="473"/>
      <c r="X848" s="1164"/>
      <c r="Y848" s="473"/>
      <c r="Z848" s="473"/>
      <c r="AA848" s="1164"/>
      <c r="AB848" s="473"/>
      <c r="AC848" s="1164"/>
      <c r="AD848" s="473"/>
      <c r="AE848" s="1164"/>
      <c r="AF848" s="473"/>
      <c r="AG848" s="1164"/>
      <c r="AH848" s="473"/>
      <c r="AI848" s="473"/>
      <c r="AJ848" s="1164"/>
      <c r="AK848" s="473"/>
      <c r="AL848" s="473"/>
      <c r="AM848" s="1164"/>
      <c r="AN848" s="473"/>
      <c r="AO848" s="473"/>
      <c r="AP848" s="1164"/>
      <c r="AQ848" s="473"/>
      <c r="AR848" s="473"/>
      <c r="AS848" s="1236"/>
      <c r="AT848" s="473"/>
      <c r="AU848" s="473"/>
      <c r="AV848" s="1164"/>
      <c r="AW848" s="1164"/>
      <c r="AX848" s="1236"/>
      <c r="AY848" s="473"/>
      <c r="AZ848" s="1236"/>
      <c r="BA848" s="473"/>
      <c r="BB848" s="473"/>
      <c r="BC848" s="1164"/>
      <c r="BD848" s="20"/>
      <c r="BE848" s="473"/>
      <c r="BF848" s="610"/>
      <c r="BG848" s="610"/>
      <c r="BH848" s="610"/>
      <c r="BI848" s="610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</row>
    <row r="849" spans="1:148" s="22" customFormat="1" x14ac:dyDescent="0.25">
      <c r="A849" s="20"/>
      <c r="B849" s="16"/>
      <c r="C849" s="473"/>
      <c r="D849" s="473"/>
      <c r="E849" s="1164"/>
      <c r="F849" s="473"/>
      <c r="G849" s="473"/>
      <c r="H849" s="1164"/>
      <c r="I849" s="473"/>
      <c r="J849" s="473"/>
      <c r="K849" s="1164"/>
      <c r="L849" s="473"/>
      <c r="M849" s="473"/>
      <c r="N849" s="1164"/>
      <c r="O849" s="473"/>
      <c r="P849" s="473"/>
      <c r="Q849" s="1164"/>
      <c r="R849" s="473"/>
      <c r="S849" s="473"/>
      <c r="T849" s="1164"/>
      <c r="U849" s="1164"/>
      <c r="V849" s="473"/>
      <c r="W849" s="473"/>
      <c r="X849" s="1164"/>
      <c r="Y849" s="473"/>
      <c r="Z849" s="473"/>
      <c r="AA849" s="1164"/>
      <c r="AB849" s="473"/>
      <c r="AC849" s="1164"/>
      <c r="AD849" s="473"/>
      <c r="AE849" s="1164"/>
      <c r="AF849" s="473"/>
      <c r="AG849" s="1164"/>
      <c r="AH849" s="473"/>
      <c r="AI849" s="473"/>
      <c r="AJ849" s="1164"/>
      <c r="AK849" s="473"/>
      <c r="AL849" s="473"/>
      <c r="AM849" s="1164"/>
      <c r="AN849" s="473"/>
      <c r="AO849" s="473"/>
      <c r="AP849" s="1164"/>
      <c r="AQ849" s="473"/>
      <c r="AR849" s="473"/>
      <c r="AS849" s="1236"/>
      <c r="AT849" s="473"/>
      <c r="AU849" s="473"/>
      <c r="AV849" s="1164"/>
      <c r="AW849" s="1164"/>
      <c r="AX849" s="1236"/>
      <c r="AY849" s="473"/>
      <c r="AZ849" s="1236"/>
      <c r="BA849" s="473"/>
      <c r="BB849" s="473"/>
      <c r="BC849" s="1164"/>
      <c r="BD849" s="20"/>
      <c r="BE849" s="473"/>
      <c r="BF849" s="610"/>
      <c r="BG849" s="610"/>
      <c r="BH849" s="610"/>
      <c r="BI849" s="610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</row>
    <row r="850" spans="1:148" s="22" customFormat="1" x14ac:dyDescent="0.25">
      <c r="A850" s="20"/>
      <c r="B850" s="16"/>
      <c r="C850" s="473"/>
      <c r="D850" s="473"/>
      <c r="E850" s="1164"/>
      <c r="F850" s="473"/>
      <c r="G850" s="473"/>
      <c r="H850" s="1164"/>
      <c r="I850" s="473"/>
      <c r="J850" s="473"/>
      <c r="K850" s="1164"/>
      <c r="L850" s="473"/>
      <c r="M850" s="473"/>
      <c r="N850" s="1164"/>
      <c r="O850" s="473"/>
      <c r="P850" s="473"/>
      <c r="Q850" s="1164"/>
      <c r="R850" s="473"/>
      <c r="S850" s="473"/>
      <c r="T850" s="1164"/>
      <c r="U850" s="1164"/>
      <c r="V850" s="473"/>
      <c r="W850" s="473"/>
      <c r="X850" s="1164"/>
      <c r="Y850" s="473"/>
      <c r="Z850" s="473"/>
      <c r="AA850" s="1164"/>
      <c r="AB850" s="473"/>
      <c r="AC850" s="1164"/>
      <c r="AD850" s="473"/>
      <c r="AE850" s="1164"/>
      <c r="AF850" s="473"/>
      <c r="AG850" s="1164"/>
      <c r="AH850" s="473"/>
      <c r="AI850" s="473"/>
      <c r="AJ850" s="1164"/>
      <c r="AK850" s="473"/>
      <c r="AL850" s="473"/>
      <c r="AM850" s="1164"/>
      <c r="AN850" s="473"/>
      <c r="AO850" s="473"/>
      <c r="AP850" s="1164"/>
      <c r="AQ850" s="473"/>
      <c r="AR850" s="473"/>
      <c r="AS850" s="1236"/>
      <c r="AT850" s="473"/>
      <c r="AU850" s="473"/>
      <c r="AV850" s="1164"/>
      <c r="AW850" s="1164"/>
      <c r="AX850" s="1236"/>
      <c r="AY850" s="473"/>
      <c r="AZ850" s="1236"/>
      <c r="BA850" s="473"/>
      <c r="BB850" s="473"/>
      <c r="BC850" s="1164"/>
      <c r="BD850" s="20"/>
      <c r="BE850" s="473"/>
      <c r="BF850" s="610"/>
      <c r="BG850" s="610"/>
      <c r="BH850" s="610"/>
      <c r="BI850" s="610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</row>
    <row r="851" spans="1:148" s="22" customFormat="1" x14ac:dyDescent="0.25">
      <c r="A851" s="20"/>
      <c r="B851" s="16"/>
      <c r="C851" s="473"/>
      <c r="D851" s="473"/>
      <c r="E851" s="1164"/>
      <c r="F851" s="473"/>
      <c r="G851" s="473"/>
      <c r="H851" s="1164"/>
      <c r="I851" s="473"/>
      <c r="J851" s="473"/>
      <c r="K851" s="1164"/>
      <c r="L851" s="473"/>
      <c r="M851" s="473"/>
      <c r="N851" s="1164"/>
      <c r="O851" s="473"/>
      <c r="P851" s="473"/>
      <c r="Q851" s="1164"/>
      <c r="R851" s="473"/>
      <c r="S851" s="473"/>
      <c r="T851" s="1164"/>
      <c r="U851" s="1164"/>
      <c r="V851" s="473"/>
      <c r="W851" s="473"/>
      <c r="X851" s="1164"/>
      <c r="Y851" s="473"/>
      <c r="Z851" s="473"/>
      <c r="AA851" s="1164"/>
      <c r="AB851" s="473"/>
      <c r="AC851" s="1164"/>
      <c r="AD851" s="473"/>
      <c r="AE851" s="1164"/>
      <c r="AF851" s="473"/>
      <c r="AG851" s="1164"/>
      <c r="AH851" s="473"/>
      <c r="AI851" s="473"/>
      <c r="AJ851" s="1164"/>
      <c r="AK851" s="473"/>
      <c r="AL851" s="473"/>
      <c r="AM851" s="1164"/>
      <c r="AN851" s="473"/>
      <c r="AO851" s="473"/>
      <c r="AP851" s="1164"/>
      <c r="AQ851" s="473"/>
      <c r="AR851" s="473"/>
      <c r="AS851" s="1236"/>
      <c r="AT851" s="473"/>
      <c r="AU851" s="473"/>
      <c r="AV851" s="1164"/>
      <c r="AW851" s="1164"/>
      <c r="AX851" s="1236"/>
      <c r="AY851" s="473"/>
      <c r="AZ851" s="1236"/>
      <c r="BA851" s="473"/>
      <c r="BB851" s="473"/>
      <c r="BC851" s="1164"/>
      <c r="BD851" s="20"/>
      <c r="BE851" s="473"/>
      <c r="BF851" s="610"/>
      <c r="BG851" s="610"/>
      <c r="BH851" s="610"/>
      <c r="BI851" s="610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</row>
    <row r="852" spans="1:148" s="22" customFormat="1" x14ac:dyDescent="0.25">
      <c r="A852" s="20"/>
      <c r="B852" s="16"/>
      <c r="C852" s="473"/>
      <c r="D852" s="473"/>
      <c r="E852" s="1164"/>
      <c r="F852" s="473"/>
      <c r="G852" s="473"/>
      <c r="H852" s="1164"/>
      <c r="I852" s="473"/>
      <c r="J852" s="473"/>
      <c r="K852" s="1164"/>
      <c r="L852" s="473"/>
      <c r="M852" s="473"/>
      <c r="N852" s="1164"/>
      <c r="O852" s="473"/>
      <c r="P852" s="473"/>
      <c r="Q852" s="1164"/>
      <c r="R852" s="473"/>
      <c r="S852" s="473"/>
      <c r="T852" s="1164"/>
      <c r="U852" s="1164"/>
      <c r="V852" s="473"/>
      <c r="W852" s="473"/>
      <c r="X852" s="1164"/>
      <c r="Y852" s="473"/>
      <c r="Z852" s="473"/>
      <c r="AA852" s="1164"/>
      <c r="AB852" s="473"/>
      <c r="AC852" s="1164"/>
      <c r="AD852" s="473"/>
      <c r="AE852" s="1164"/>
      <c r="AF852" s="473"/>
      <c r="AG852" s="1164"/>
      <c r="AH852" s="473"/>
      <c r="AI852" s="473"/>
      <c r="AJ852" s="1164"/>
      <c r="AK852" s="473"/>
      <c r="AL852" s="473"/>
      <c r="AM852" s="1164"/>
      <c r="AN852" s="473"/>
      <c r="AO852" s="473"/>
      <c r="AP852" s="1164"/>
      <c r="AQ852" s="473"/>
      <c r="AR852" s="473"/>
      <c r="AS852" s="1236"/>
      <c r="AT852" s="473"/>
      <c r="AU852" s="473"/>
      <c r="AV852" s="1164"/>
      <c r="AW852" s="1164"/>
      <c r="AX852" s="1236"/>
      <c r="AY852" s="473"/>
      <c r="AZ852" s="1236"/>
      <c r="BA852" s="473"/>
      <c r="BB852" s="473"/>
      <c r="BC852" s="1164"/>
      <c r="BD852" s="20"/>
      <c r="BE852" s="473"/>
      <c r="BF852" s="610"/>
      <c r="BG852" s="610"/>
      <c r="BH852" s="610"/>
      <c r="BI852" s="610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</row>
    <row r="853" spans="1:148" s="22" customFormat="1" x14ac:dyDescent="0.25">
      <c r="A853" s="20"/>
      <c r="B853" s="16"/>
      <c r="C853" s="473"/>
      <c r="D853" s="473"/>
      <c r="E853" s="1164"/>
      <c r="F853" s="473"/>
      <c r="G853" s="473"/>
      <c r="H853" s="1164"/>
      <c r="I853" s="473"/>
      <c r="J853" s="473"/>
      <c r="K853" s="1164"/>
      <c r="L853" s="473"/>
      <c r="M853" s="473"/>
      <c r="N853" s="1164"/>
      <c r="O853" s="473"/>
      <c r="P853" s="473"/>
      <c r="Q853" s="1164"/>
      <c r="R853" s="473"/>
      <c r="S853" s="473"/>
      <c r="T853" s="1164"/>
      <c r="U853" s="1164"/>
      <c r="V853" s="473"/>
      <c r="W853" s="473"/>
      <c r="X853" s="1164"/>
      <c r="Y853" s="473"/>
      <c r="Z853" s="473"/>
      <c r="AA853" s="1164"/>
      <c r="AB853" s="473"/>
      <c r="AC853" s="1164"/>
      <c r="AD853" s="473"/>
      <c r="AE853" s="1164"/>
      <c r="AF853" s="473"/>
      <c r="AG853" s="1164"/>
      <c r="AH853" s="473"/>
      <c r="AI853" s="473"/>
      <c r="AJ853" s="1164"/>
      <c r="AK853" s="473"/>
      <c r="AL853" s="473"/>
      <c r="AM853" s="1164"/>
      <c r="AN853" s="473"/>
      <c r="AO853" s="473"/>
      <c r="AP853" s="1164"/>
      <c r="AQ853" s="473"/>
      <c r="AR853" s="473"/>
      <c r="AS853" s="1236"/>
      <c r="AT853" s="473"/>
      <c r="AU853" s="473"/>
      <c r="AV853" s="1164"/>
      <c r="AW853" s="1164"/>
      <c r="AX853" s="1236"/>
      <c r="AY853" s="473"/>
      <c r="AZ853" s="1236"/>
      <c r="BA853" s="473"/>
      <c r="BB853" s="473"/>
      <c r="BC853" s="1164"/>
      <c r="BD853" s="20"/>
      <c r="BE853" s="473"/>
      <c r="BF853" s="610"/>
      <c r="BG853" s="610"/>
      <c r="BH853" s="610"/>
      <c r="BI853" s="610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</row>
    <row r="854" spans="1:148" s="22" customFormat="1" x14ac:dyDescent="0.25">
      <c r="A854" s="20"/>
      <c r="B854" s="16"/>
      <c r="C854" s="473"/>
      <c r="D854" s="473"/>
      <c r="E854" s="1164"/>
      <c r="F854" s="473"/>
      <c r="G854" s="473"/>
      <c r="H854" s="1164"/>
      <c r="I854" s="473"/>
      <c r="J854" s="473"/>
      <c r="K854" s="1164"/>
      <c r="L854" s="473"/>
      <c r="M854" s="473"/>
      <c r="N854" s="1164"/>
      <c r="O854" s="473"/>
      <c r="P854" s="473"/>
      <c r="Q854" s="1164"/>
      <c r="R854" s="473"/>
      <c r="S854" s="473"/>
      <c r="T854" s="1164"/>
      <c r="U854" s="1164"/>
      <c r="V854" s="473"/>
      <c r="W854" s="473"/>
      <c r="X854" s="1164"/>
      <c r="Y854" s="473"/>
      <c r="Z854" s="473"/>
      <c r="AA854" s="1164"/>
      <c r="AB854" s="473"/>
      <c r="AC854" s="1164"/>
      <c r="AD854" s="473"/>
      <c r="AE854" s="1164"/>
      <c r="AF854" s="473"/>
      <c r="AG854" s="1164"/>
      <c r="AH854" s="473"/>
      <c r="AI854" s="473"/>
      <c r="AJ854" s="1164"/>
      <c r="AK854" s="473"/>
      <c r="AL854" s="473"/>
      <c r="AM854" s="1164"/>
      <c r="AN854" s="473"/>
      <c r="AO854" s="473"/>
      <c r="AP854" s="1164"/>
      <c r="AQ854" s="473"/>
      <c r="AR854" s="473"/>
      <c r="AS854" s="1236"/>
      <c r="AT854" s="473"/>
      <c r="AU854" s="473"/>
      <c r="AV854" s="1164"/>
      <c r="AW854" s="1164"/>
      <c r="AX854" s="1236"/>
      <c r="AY854" s="473"/>
      <c r="AZ854" s="1236"/>
      <c r="BA854" s="473"/>
      <c r="BB854" s="473"/>
      <c r="BC854" s="1164"/>
      <c r="BD854" s="20"/>
      <c r="BE854" s="473"/>
      <c r="BF854" s="610"/>
      <c r="BG854" s="610"/>
      <c r="BH854" s="610"/>
      <c r="BI854" s="610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</row>
    <row r="855" spans="1:148" s="22" customFormat="1" x14ac:dyDescent="0.25">
      <c r="A855" s="20"/>
      <c r="B855" s="16"/>
      <c r="C855" s="473"/>
      <c r="D855" s="473"/>
      <c r="E855" s="1164"/>
      <c r="F855" s="473"/>
      <c r="G855" s="473"/>
      <c r="H855" s="1164"/>
      <c r="I855" s="473"/>
      <c r="J855" s="473"/>
      <c r="K855" s="1164"/>
      <c r="L855" s="473"/>
      <c r="M855" s="473"/>
      <c r="N855" s="1164"/>
      <c r="O855" s="473"/>
      <c r="P855" s="473"/>
      <c r="Q855" s="1164"/>
      <c r="R855" s="473"/>
      <c r="S855" s="473"/>
      <c r="T855" s="1164"/>
      <c r="U855" s="1164"/>
      <c r="V855" s="473"/>
      <c r="W855" s="473"/>
      <c r="X855" s="1164"/>
      <c r="Y855" s="473"/>
      <c r="Z855" s="473"/>
      <c r="AA855" s="1164"/>
      <c r="AB855" s="473"/>
      <c r="AC855" s="1164"/>
      <c r="AD855" s="473"/>
      <c r="AE855" s="1164"/>
      <c r="AF855" s="473"/>
      <c r="AG855" s="1164"/>
      <c r="AH855" s="473"/>
      <c r="AI855" s="473"/>
      <c r="AJ855" s="1164"/>
      <c r="AK855" s="473"/>
      <c r="AL855" s="473"/>
      <c r="AM855" s="1164"/>
      <c r="AN855" s="473"/>
      <c r="AO855" s="473"/>
      <c r="AP855" s="1164"/>
      <c r="AQ855" s="473"/>
      <c r="AR855" s="473"/>
      <c r="AS855" s="1236"/>
      <c r="AT855" s="473"/>
      <c r="AU855" s="473"/>
      <c r="AV855" s="1164"/>
      <c r="AW855" s="1164"/>
      <c r="AX855" s="1236"/>
      <c r="AY855" s="473"/>
      <c r="AZ855" s="1236"/>
      <c r="BA855" s="473"/>
      <c r="BB855" s="473"/>
      <c r="BC855" s="1164"/>
      <c r="BD855" s="20"/>
      <c r="BE855" s="473"/>
      <c r="BF855" s="610"/>
      <c r="BG855" s="610"/>
      <c r="BH855" s="610"/>
      <c r="BI855" s="610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</row>
    <row r="856" spans="1:148" s="22" customFormat="1" x14ac:dyDescent="0.25">
      <c r="A856" s="20"/>
      <c r="B856" s="16"/>
      <c r="C856" s="473"/>
      <c r="D856" s="473"/>
      <c r="E856" s="1164"/>
      <c r="F856" s="473"/>
      <c r="G856" s="473"/>
      <c r="H856" s="1164"/>
      <c r="I856" s="473"/>
      <c r="J856" s="473"/>
      <c r="K856" s="1164"/>
      <c r="L856" s="473"/>
      <c r="M856" s="473"/>
      <c r="N856" s="1164"/>
      <c r="O856" s="473"/>
      <c r="P856" s="473"/>
      <c r="Q856" s="1164"/>
      <c r="R856" s="473"/>
      <c r="S856" s="473"/>
      <c r="T856" s="1164"/>
      <c r="U856" s="1164"/>
      <c r="V856" s="473"/>
      <c r="W856" s="473"/>
      <c r="X856" s="1164"/>
      <c r="Y856" s="473"/>
      <c r="Z856" s="473"/>
      <c r="AA856" s="1164"/>
      <c r="AB856" s="473"/>
      <c r="AC856" s="1164"/>
      <c r="AD856" s="473"/>
      <c r="AE856" s="1164"/>
      <c r="AF856" s="473"/>
      <c r="AG856" s="1164"/>
      <c r="AH856" s="473"/>
      <c r="AI856" s="473"/>
      <c r="AJ856" s="1164"/>
      <c r="AK856" s="473"/>
      <c r="AL856" s="473"/>
      <c r="AM856" s="1164"/>
      <c r="AN856" s="473"/>
      <c r="AO856" s="473"/>
      <c r="AP856" s="1164"/>
      <c r="AQ856" s="473"/>
      <c r="AR856" s="473"/>
      <c r="AS856" s="1236"/>
      <c r="AT856" s="473"/>
      <c r="AU856" s="473"/>
      <c r="AV856" s="1164"/>
      <c r="AW856" s="1164"/>
      <c r="AX856" s="1236"/>
      <c r="AY856" s="473"/>
      <c r="AZ856" s="1236"/>
      <c r="BA856" s="473"/>
      <c r="BB856" s="473"/>
      <c r="BC856" s="1164"/>
      <c r="BD856" s="20"/>
      <c r="BE856" s="473"/>
      <c r="BF856" s="610"/>
      <c r="BG856" s="610"/>
      <c r="BH856" s="610"/>
      <c r="BI856" s="610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</row>
    <row r="857" spans="1:148" s="22" customFormat="1" x14ac:dyDescent="0.25">
      <c r="A857" s="20"/>
      <c r="B857" s="16"/>
      <c r="C857" s="473"/>
      <c r="D857" s="473"/>
      <c r="E857" s="1164"/>
      <c r="F857" s="473"/>
      <c r="G857" s="473"/>
      <c r="H857" s="1164"/>
      <c r="I857" s="473"/>
      <c r="J857" s="473"/>
      <c r="K857" s="1164"/>
      <c r="L857" s="473"/>
      <c r="M857" s="473"/>
      <c r="N857" s="1164"/>
      <c r="O857" s="473"/>
      <c r="P857" s="473"/>
      <c r="Q857" s="1164"/>
      <c r="R857" s="473"/>
      <c r="S857" s="473"/>
      <c r="T857" s="1164"/>
      <c r="U857" s="1164"/>
      <c r="V857" s="473"/>
      <c r="W857" s="473"/>
      <c r="X857" s="1164"/>
      <c r="Y857" s="473"/>
      <c r="Z857" s="473"/>
      <c r="AA857" s="1164"/>
      <c r="AB857" s="473"/>
      <c r="AC857" s="1164"/>
      <c r="AD857" s="473"/>
      <c r="AE857" s="1164"/>
      <c r="AF857" s="473"/>
      <c r="AG857" s="1164"/>
      <c r="AH857" s="473"/>
      <c r="AI857" s="473"/>
      <c r="AJ857" s="1164"/>
      <c r="AK857" s="473"/>
      <c r="AL857" s="473"/>
      <c r="AM857" s="1164"/>
      <c r="AN857" s="473"/>
      <c r="AO857" s="473"/>
      <c r="AP857" s="1164"/>
      <c r="AQ857" s="473"/>
      <c r="AR857" s="473"/>
      <c r="AS857" s="1236"/>
      <c r="AT857" s="473"/>
      <c r="AU857" s="473"/>
      <c r="AV857" s="1164"/>
      <c r="AW857" s="1164"/>
      <c r="AX857" s="1236"/>
      <c r="AY857" s="473"/>
      <c r="AZ857" s="1236"/>
      <c r="BA857" s="473"/>
      <c r="BB857" s="473"/>
      <c r="BC857" s="1164"/>
      <c r="BD857" s="20"/>
      <c r="BE857" s="473"/>
      <c r="BF857" s="610"/>
      <c r="BG857" s="610"/>
      <c r="BH857" s="610"/>
      <c r="BI857" s="610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</row>
    <row r="858" spans="1:148" s="22" customFormat="1" x14ac:dyDescent="0.25">
      <c r="A858" s="20"/>
      <c r="B858" s="16"/>
      <c r="C858" s="473"/>
      <c r="D858" s="473"/>
      <c r="E858" s="1164"/>
      <c r="F858" s="473"/>
      <c r="G858" s="473"/>
      <c r="H858" s="1164"/>
      <c r="I858" s="473"/>
      <c r="J858" s="473"/>
      <c r="K858" s="1164"/>
      <c r="L858" s="473"/>
      <c r="M858" s="473"/>
      <c r="N858" s="1164"/>
      <c r="O858" s="473"/>
      <c r="P858" s="473"/>
      <c r="Q858" s="1164"/>
      <c r="R858" s="473"/>
      <c r="S858" s="473"/>
      <c r="T858" s="1164"/>
      <c r="U858" s="1164"/>
      <c r="V858" s="473"/>
      <c r="W858" s="473"/>
      <c r="X858" s="1164"/>
      <c r="Y858" s="473"/>
      <c r="Z858" s="473"/>
      <c r="AA858" s="1164"/>
      <c r="AB858" s="473"/>
      <c r="AC858" s="1164"/>
      <c r="AD858" s="473"/>
      <c r="AE858" s="1164"/>
      <c r="AF858" s="473"/>
      <c r="AG858" s="1164"/>
      <c r="AH858" s="473"/>
      <c r="AI858" s="473"/>
      <c r="AJ858" s="1164"/>
      <c r="AK858" s="473"/>
      <c r="AL858" s="473"/>
      <c r="AM858" s="1164"/>
      <c r="AN858" s="473"/>
      <c r="AO858" s="473"/>
      <c r="AP858" s="1164"/>
      <c r="AQ858" s="473"/>
      <c r="AR858" s="473"/>
      <c r="AS858" s="1236"/>
      <c r="AT858" s="473"/>
      <c r="AU858" s="473"/>
      <c r="AV858" s="1164"/>
      <c r="AW858" s="1164"/>
      <c r="AX858" s="1236"/>
      <c r="AY858" s="473"/>
      <c r="AZ858" s="1236"/>
      <c r="BA858" s="473"/>
      <c r="BB858" s="473"/>
      <c r="BC858" s="1164"/>
      <c r="BD858" s="20"/>
      <c r="BE858" s="473"/>
      <c r="BF858" s="610"/>
      <c r="BG858" s="610"/>
      <c r="BH858" s="610"/>
      <c r="BI858" s="610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</row>
    <row r="859" spans="1:148" s="22" customFormat="1" x14ac:dyDescent="0.25">
      <c r="A859" s="20"/>
      <c r="B859" s="16"/>
      <c r="C859" s="473"/>
      <c r="D859" s="473"/>
      <c r="E859" s="1164"/>
      <c r="F859" s="473"/>
      <c r="G859" s="473"/>
      <c r="H859" s="1164"/>
      <c r="I859" s="473"/>
      <c r="J859" s="473"/>
      <c r="K859" s="1164"/>
      <c r="L859" s="473"/>
      <c r="M859" s="473"/>
      <c r="N859" s="1164"/>
      <c r="O859" s="473"/>
      <c r="P859" s="473"/>
      <c r="Q859" s="1164"/>
      <c r="R859" s="473"/>
      <c r="S859" s="473"/>
      <c r="T859" s="1164"/>
      <c r="U859" s="1164"/>
      <c r="V859" s="473"/>
      <c r="W859" s="473"/>
      <c r="X859" s="1164"/>
      <c r="Y859" s="473"/>
      <c r="Z859" s="473"/>
      <c r="AA859" s="1164"/>
      <c r="AB859" s="473"/>
      <c r="AC859" s="1164"/>
      <c r="AD859" s="473"/>
      <c r="AE859" s="1164"/>
      <c r="AF859" s="473"/>
      <c r="AG859" s="1164"/>
      <c r="AH859" s="473"/>
      <c r="AI859" s="473"/>
      <c r="AJ859" s="1164"/>
      <c r="AK859" s="473"/>
      <c r="AL859" s="473"/>
      <c r="AM859" s="1164"/>
      <c r="AN859" s="473"/>
      <c r="AO859" s="473"/>
      <c r="AP859" s="1164"/>
      <c r="AQ859" s="473"/>
      <c r="AR859" s="473"/>
      <c r="AS859" s="1236"/>
      <c r="AT859" s="473"/>
      <c r="AU859" s="473"/>
      <c r="AV859" s="1164"/>
      <c r="AW859" s="1164"/>
      <c r="AX859" s="1236"/>
      <c r="AY859" s="473"/>
      <c r="AZ859" s="1236"/>
      <c r="BA859" s="473"/>
      <c r="BB859" s="473"/>
      <c r="BC859" s="1164"/>
      <c r="BD859" s="20"/>
      <c r="BE859" s="473"/>
      <c r="BF859" s="610"/>
      <c r="BG859" s="610"/>
      <c r="BH859" s="610"/>
      <c r="BI859" s="610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</row>
    <row r="860" spans="1:148" s="22" customFormat="1" x14ac:dyDescent="0.25">
      <c r="A860" s="20"/>
      <c r="B860" s="16"/>
      <c r="C860" s="473"/>
      <c r="D860" s="473"/>
      <c r="E860" s="1164"/>
      <c r="F860" s="473"/>
      <c r="G860" s="473"/>
      <c r="H860" s="1164"/>
      <c r="I860" s="473"/>
      <c r="J860" s="473"/>
      <c r="K860" s="1164"/>
      <c r="L860" s="473"/>
      <c r="M860" s="473"/>
      <c r="N860" s="1164"/>
      <c r="O860" s="473"/>
      <c r="P860" s="473"/>
      <c r="Q860" s="1164"/>
      <c r="R860" s="473"/>
      <c r="S860" s="473"/>
      <c r="T860" s="1164"/>
      <c r="U860" s="1164"/>
      <c r="V860" s="473"/>
      <c r="W860" s="473"/>
      <c r="X860" s="1164"/>
      <c r="Y860" s="473"/>
      <c r="Z860" s="473"/>
      <c r="AA860" s="1164"/>
      <c r="AB860" s="473"/>
      <c r="AC860" s="1164"/>
      <c r="AD860" s="473"/>
      <c r="AE860" s="1164"/>
      <c r="AF860" s="473"/>
      <c r="AG860" s="1164"/>
      <c r="AH860" s="473"/>
      <c r="AI860" s="473"/>
      <c r="AJ860" s="1164"/>
      <c r="AK860" s="473"/>
      <c r="AL860" s="473"/>
      <c r="AM860" s="1164"/>
      <c r="AN860" s="473"/>
      <c r="AO860" s="473"/>
      <c r="AP860" s="1164"/>
      <c r="AQ860" s="473"/>
      <c r="AR860" s="473"/>
      <c r="AS860" s="1236"/>
      <c r="AT860" s="473"/>
      <c r="AU860" s="473"/>
      <c r="AV860" s="1164"/>
      <c r="AW860" s="1164"/>
      <c r="AX860" s="1236"/>
      <c r="AY860" s="473"/>
      <c r="AZ860" s="1236"/>
      <c r="BA860" s="473"/>
      <c r="BB860" s="473"/>
      <c r="BC860" s="1164"/>
      <c r="BD860" s="20"/>
      <c r="BE860" s="473"/>
      <c r="BF860" s="610"/>
      <c r="BG860" s="610"/>
      <c r="BH860" s="610"/>
      <c r="BI860" s="610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</row>
    <row r="861" spans="1:148" s="22" customFormat="1" x14ac:dyDescent="0.25">
      <c r="A861" s="20"/>
      <c r="B861" s="16"/>
      <c r="C861" s="473"/>
      <c r="D861" s="473"/>
      <c r="E861" s="1164"/>
      <c r="F861" s="473"/>
      <c r="G861" s="473"/>
      <c r="H861" s="1164"/>
      <c r="I861" s="473"/>
      <c r="J861" s="473"/>
      <c r="K861" s="1164"/>
      <c r="L861" s="473"/>
      <c r="M861" s="473"/>
      <c r="N861" s="1164"/>
      <c r="O861" s="473"/>
      <c r="P861" s="473"/>
      <c r="Q861" s="1164"/>
      <c r="R861" s="473"/>
      <c r="S861" s="473"/>
      <c r="T861" s="1164"/>
      <c r="U861" s="1164"/>
      <c r="V861" s="473"/>
      <c r="W861" s="473"/>
      <c r="X861" s="1164"/>
      <c r="Y861" s="473"/>
      <c r="Z861" s="473"/>
      <c r="AA861" s="1164"/>
      <c r="AB861" s="473"/>
      <c r="AC861" s="1164"/>
      <c r="AD861" s="473"/>
      <c r="AE861" s="1164"/>
      <c r="AF861" s="473"/>
      <c r="AG861" s="1164"/>
      <c r="AH861" s="473"/>
      <c r="AI861" s="473"/>
      <c r="AJ861" s="1164"/>
      <c r="AK861" s="473"/>
      <c r="AL861" s="473"/>
      <c r="AM861" s="1164"/>
      <c r="AN861" s="473"/>
      <c r="AO861" s="473"/>
      <c r="AP861" s="1164"/>
      <c r="AQ861" s="473"/>
      <c r="AR861" s="473"/>
      <c r="AS861" s="1236"/>
      <c r="AT861" s="473"/>
      <c r="AU861" s="473"/>
      <c r="AV861" s="1164"/>
      <c r="AW861" s="1164"/>
      <c r="AX861" s="1236"/>
      <c r="AY861" s="473"/>
      <c r="AZ861" s="1236"/>
      <c r="BA861" s="473"/>
      <c r="BB861" s="473"/>
      <c r="BC861" s="1164"/>
      <c r="BD861" s="20"/>
      <c r="BE861" s="473"/>
      <c r="BF861" s="610"/>
      <c r="BG861" s="610"/>
      <c r="BH861" s="610"/>
      <c r="BI861" s="610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</row>
    <row r="862" spans="1:148" s="22" customFormat="1" x14ac:dyDescent="0.25">
      <c r="A862" s="20"/>
      <c r="B862" s="16"/>
      <c r="C862" s="473"/>
      <c r="D862" s="473"/>
      <c r="E862" s="1164"/>
      <c r="F862" s="473"/>
      <c r="G862" s="473"/>
      <c r="H862" s="1164"/>
      <c r="I862" s="473"/>
      <c r="J862" s="473"/>
      <c r="K862" s="1164"/>
      <c r="L862" s="473"/>
      <c r="M862" s="473"/>
      <c r="N862" s="1164"/>
      <c r="O862" s="473"/>
      <c r="P862" s="473"/>
      <c r="Q862" s="1164"/>
      <c r="R862" s="473"/>
      <c r="S862" s="473"/>
      <c r="T862" s="1164"/>
      <c r="U862" s="1164"/>
      <c r="V862" s="473"/>
      <c r="W862" s="473"/>
      <c r="X862" s="1164"/>
      <c r="Y862" s="473"/>
      <c r="Z862" s="473"/>
      <c r="AA862" s="1164"/>
      <c r="AB862" s="473"/>
      <c r="AC862" s="1164"/>
      <c r="AD862" s="473"/>
      <c r="AE862" s="1164"/>
      <c r="AF862" s="473"/>
      <c r="AG862" s="1164"/>
      <c r="AH862" s="473"/>
      <c r="AI862" s="473"/>
      <c r="AJ862" s="1164"/>
      <c r="AK862" s="473"/>
      <c r="AL862" s="473"/>
      <c r="AM862" s="1164"/>
      <c r="AN862" s="473"/>
      <c r="AO862" s="473"/>
      <c r="AP862" s="1164"/>
      <c r="AQ862" s="473"/>
      <c r="AR862" s="473"/>
      <c r="AS862" s="1236"/>
      <c r="AT862" s="473"/>
      <c r="AU862" s="473"/>
      <c r="AV862" s="1164"/>
      <c r="AW862" s="1164"/>
      <c r="AX862" s="1236"/>
      <c r="AY862" s="473"/>
      <c r="AZ862" s="1236"/>
      <c r="BA862" s="473"/>
      <c r="BB862" s="473"/>
      <c r="BC862" s="1164"/>
      <c r="BD862" s="20"/>
      <c r="BE862" s="473"/>
      <c r="BF862" s="610"/>
      <c r="BG862" s="610"/>
      <c r="BH862" s="610"/>
      <c r="BI862" s="610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</row>
    <row r="863" spans="1:148" s="22" customFormat="1" x14ac:dyDescent="0.25">
      <c r="A863" s="20"/>
      <c r="B863" s="16"/>
      <c r="C863" s="473"/>
      <c r="D863" s="473"/>
      <c r="E863" s="1164"/>
      <c r="F863" s="473"/>
      <c r="G863" s="473"/>
      <c r="H863" s="1164"/>
      <c r="I863" s="473"/>
      <c r="J863" s="473"/>
      <c r="K863" s="1164"/>
      <c r="L863" s="473"/>
      <c r="M863" s="473"/>
      <c r="N863" s="1164"/>
      <c r="O863" s="473"/>
      <c r="P863" s="473"/>
      <c r="Q863" s="1164"/>
      <c r="R863" s="473"/>
      <c r="S863" s="473"/>
      <c r="T863" s="1164"/>
      <c r="U863" s="1164"/>
      <c r="V863" s="473"/>
      <c r="W863" s="473"/>
      <c r="X863" s="1164"/>
      <c r="Y863" s="473"/>
      <c r="Z863" s="473"/>
      <c r="AA863" s="1164"/>
      <c r="AB863" s="473"/>
      <c r="AC863" s="1164"/>
      <c r="AD863" s="473"/>
      <c r="AE863" s="1164"/>
      <c r="AF863" s="473"/>
      <c r="AG863" s="1164"/>
      <c r="AH863" s="473"/>
      <c r="AI863" s="473"/>
      <c r="AJ863" s="1164"/>
      <c r="AK863" s="473"/>
      <c r="AL863" s="473"/>
      <c r="AM863" s="1164"/>
      <c r="AN863" s="473"/>
      <c r="AO863" s="473"/>
      <c r="AP863" s="1164"/>
      <c r="AQ863" s="473"/>
      <c r="AR863" s="473"/>
      <c r="AS863" s="1236"/>
      <c r="AT863" s="473"/>
      <c r="AU863" s="473"/>
      <c r="AV863" s="1164"/>
      <c r="AW863" s="1164"/>
      <c r="AX863" s="1236"/>
      <c r="AY863" s="473"/>
      <c r="AZ863" s="1236"/>
      <c r="BA863" s="473"/>
      <c r="BB863" s="473"/>
      <c r="BC863" s="1164"/>
      <c r="BD863" s="20"/>
      <c r="BE863" s="473"/>
      <c r="BF863" s="610"/>
      <c r="BG863" s="610"/>
      <c r="BH863" s="610"/>
      <c r="BI863" s="610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</row>
    <row r="864" spans="1:148" s="22" customFormat="1" x14ac:dyDescent="0.25">
      <c r="A864" s="20"/>
      <c r="B864" s="16"/>
      <c r="C864" s="473"/>
      <c r="D864" s="473"/>
      <c r="E864" s="1164"/>
      <c r="F864" s="473"/>
      <c r="G864" s="473"/>
      <c r="H864" s="1164"/>
      <c r="I864" s="473"/>
      <c r="J864" s="473"/>
      <c r="K864" s="1164"/>
      <c r="L864" s="473"/>
      <c r="M864" s="473"/>
      <c r="N864" s="1164"/>
      <c r="O864" s="473"/>
      <c r="P864" s="473"/>
      <c r="Q864" s="1164"/>
      <c r="R864" s="473"/>
      <c r="S864" s="473"/>
      <c r="T864" s="1164"/>
      <c r="U864" s="1164"/>
      <c r="V864" s="473"/>
      <c r="W864" s="473"/>
      <c r="X864" s="1164"/>
      <c r="Y864" s="473"/>
      <c r="Z864" s="473"/>
      <c r="AA864" s="1164"/>
      <c r="AB864" s="473"/>
      <c r="AC864" s="1164"/>
      <c r="AD864" s="473"/>
      <c r="AE864" s="1164"/>
      <c r="AF864" s="473"/>
      <c r="AG864" s="1164"/>
      <c r="AH864" s="473"/>
      <c r="AI864" s="473"/>
      <c r="AJ864" s="1164"/>
      <c r="AK864" s="473"/>
      <c r="AL864" s="473"/>
      <c r="AM864" s="1164"/>
      <c r="AN864" s="473"/>
      <c r="AO864" s="473"/>
      <c r="AP864" s="1164"/>
      <c r="AQ864" s="473"/>
      <c r="AR864" s="473"/>
      <c r="AS864" s="1236"/>
      <c r="AT864" s="473"/>
      <c r="AU864" s="473"/>
      <c r="AV864" s="1164"/>
      <c r="AW864" s="1164"/>
      <c r="AX864" s="1236"/>
      <c r="AY864" s="473"/>
      <c r="AZ864" s="1236"/>
      <c r="BA864" s="473"/>
      <c r="BB864" s="473"/>
      <c r="BC864" s="1164"/>
      <c r="BD864" s="20"/>
      <c r="BE864" s="473"/>
      <c r="BF864" s="610"/>
      <c r="BG864" s="610"/>
      <c r="BH864" s="610"/>
      <c r="BI864" s="610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</row>
    <row r="865" spans="1:148" s="22" customFormat="1" x14ac:dyDescent="0.25">
      <c r="A865" s="20"/>
      <c r="B865" s="16"/>
      <c r="C865" s="473"/>
      <c r="D865" s="473"/>
      <c r="E865" s="1164"/>
      <c r="F865" s="473"/>
      <c r="G865" s="473"/>
      <c r="H865" s="1164"/>
      <c r="I865" s="473"/>
      <c r="J865" s="473"/>
      <c r="K865" s="1164"/>
      <c r="L865" s="473"/>
      <c r="M865" s="473"/>
      <c r="N865" s="1164"/>
      <c r="O865" s="473"/>
      <c r="P865" s="473"/>
      <c r="Q865" s="1164"/>
      <c r="R865" s="473"/>
      <c r="S865" s="473"/>
      <c r="T865" s="1164"/>
      <c r="U865" s="1164"/>
      <c r="V865" s="473"/>
      <c r="W865" s="473"/>
      <c r="X865" s="1164"/>
      <c r="Y865" s="473"/>
      <c r="Z865" s="473"/>
      <c r="AA865" s="1164"/>
      <c r="AB865" s="473"/>
      <c r="AC865" s="1164"/>
      <c r="AD865" s="473"/>
      <c r="AE865" s="1164"/>
      <c r="AF865" s="473"/>
      <c r="AG865" s="1164"/>
      <c r="AH865" s="473"/>
      <c r="AI865" s="473"/>
      <c r="AJ865" s="1164"/>
      <c r="AK865" s="473"/>
      <c r="AL865" s="473"/>
      <c r="AM865" s="1164"/>
      <c r="AN865" s="473"/>
      <c r="AO865" s="473"/>
      <c r="AP865" s="1164"/>
      <c r="AQ865" s="473"/>
      <c r="AR865" s="473"/>
      <c r="AS865" s="1236"/>
      <c r="AT865" s="473"/>
      <c r="AU865" s="473"/>
      <c r="AV865" s="1164"/>
      <c r="AW865" s="1164"/>
      <c r="AX865" s="1236"/>
      <c r="AY865" s="473"/>
      <c r="AZ865" s="1236"/>
      <c r="BA865" s="473"/>
      <c r="BB865" s="473"/>
      <c r="BC865" s="1164"/>
      <c r="BD865" s="20"/>
      <c r="BE865" s="473"/>
      <c r="BF865" s="610"/>
      <c r="BG865" s="610"/>
      <c r="BH865" s="610"/>
      <c r="BI865" s="610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</row>
    <row r="866" spans="1:148" s="22" customFormat="1" x14ac:dyDescent="0.25">
      <c r="A866" s="20"/>
      <c r="B866" s="16"/>
      <c r="C866" s="473"/>
      <c r="D866" s="473"/>
      <c r="E866" s="1164"/>
      <c r="F866" s="473"/>
      <c r="G866" s="473"/>
      <c r="H866" s="1164"/>
      <c r="I866" s="473"/>
      <c r="J866" s="473"/>
      <c r="K866" s="1164"/>
      <c r="L866" s="473"/>
      <c r="M866" s="473"/>
      <c r="N866" s="1164"/>
      <c r="O866" s="473"/>
      <c r="P866" s="473"/>
      <c r="Q866" s="1164"/>
      <c r="R866" s="473"/>
      <c r="S866" s="473"/>
      <c r="T866" s="1164"/>
      <c r="U866" s="1164"/>
      <c r="V866" s="473"/>
      <c r="W866" s="473"/>
      <c r="X866" s="1164"/>
      <c r="Y866" s="473"/>
      <c r="Z866" s="473"/>
      <c r="AA866" s="1164"/>
      <c r="AB866" s="473"/>
      <c r="AC866" s="1164"/>
      <c r="AD866" s="473"/>
      <c r="AE866" s="1164"/>
      <c r="AF866" s="473"/>
      <c r="AG866" s="1164"/>
      <c r="AH866" s="473"/>
      <c r="AI866" s="473"/>
      <c r="AJ866" s="1164"/>
      <c r="AK866" s="473"/>
      <c r="AL866" s="473"/>
      <c r="AM866" s="1164"/>
      <c r="AN866" s="473"/>
      <c r="AO866" s="473"/>
      <c r="AP866" s="1164"/>
      <c r="AQ866" s="473"/>
      <c r="AR866" s="473"/>
      <c r="AS866" s="1236"/>
      <c r="AT866" s="473"/>
      <c r="AU866" s="473"/>
      <c r="AV866" s="1164"/>
      <c r="AW866" s="1164"/>
      <c r="AX866" s="1236"/>
      <c r="AY866" s="473"/>
      <c r="AZ866" s="1236"/>
      <c r="BA866" s="473"/>
      <c r="BB866" s="473"/>
      <c r="BC866" s="1164"/>
      <c r="BD866" s="20"/>
      <c r="BE866" s="473"/>
      <c r="BF866" s="610"/>
      <c r="BG866" s="610"/>
      <c r="BH866" s="610"/>
      <c r="BI866" s="610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</row>
    <row r="867" spans="1:148" s="22" customFormat="1" x14ac:dyDescent="0.25">
      <c r="A867" s="20"/>
      <c r="B867" s="16"/>
      <c r="C867" s="473"/>
      <c r="D867" s="473"/>
      <c r="E867" s="1164"/>
      <c r="F867" s="473"/>
      <c r="G867" s="473"/>
      <c r="H867" s="1164"/>
      <c r="I867" s="473"/>
      <c r="J867" s="473"/>
      <c r="K867" s="1164"/>
      <c r="L867" s="473"/>
      <c r="M867" s="473"/>
      <c r="N867" s="1164"/>
      <c r="O867" s="473"/>
      <c r="P867" s="473"/>
      <c r="Q867" s="1164"/>
      <c r="R867" s="473"/>
      <c r="S867" s="473"/>
      <c r="T867" s="1164"/>
      <c r="U867" s="1164"/>
      <c r="V867" s="473"/>
      <c r="W867" s="473"/>
      <c r="X867" s="1164"/>
      <c r="Y867" s="473"/>
      <c r="Z867" s="473"/>
      <c r="AA867" s="1164"/>
      <c r="AB867" s="473"/>
      <c r="AC867" s="1164"/>
      <c r="AD867" s="473"/>
      <c r="AE867" s="1164"/>
      <c r="AF867" s="473"/>
      <c r="AG867" s="1164"/>
      <c r="AH867" s="473"/>
      <c r="AI867" s="473"/>
      <c r="AJ867" s="1164"/>
      <c r="AK867" s="473"/>
      <c r="AL867" s="473"/>
      <c r="AM867" s="1164"/>
      <c r="AN867" s="473"/>
      <c r="AO867" s="473"/>
      <c r="AP867" s="1164"/>
      <c r="AQ867" s="473"/>
      <c r="AR867" s="473"/>
      <c r="AS867" s="1236"/>
      <c r="AT867" s="473"/>
      <c r="AU867" s="473"/>
      <c r="AV867" s="1164"/>
      <c r="AW867" s="1164"/>
      <c r="AX867" s="1236"/>
      <c r="AY867" s="473"/>
      <c r="AZ867" s="1236"/>
      <c r="BA867" s="473"/>
      <c r="BB867" s="473"/>
      <c r="BC867" s="1164"/>
      <c r="BD867" s="20"/>
      <c r="BE867" s="473"/>
      <c r="BF867" s="610"/>
      <c r="BG867" s="610"/>
      <c r="BH867" s="610"/>
      <c r="BI867" s="610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</row>
    <row r="868" spans="1:148" s="22" customFormat="1" x14ac:dyDescent="0.25">
      <c r="A868" s="20"/>
      <c r="B868" s="16"/>
      <c r="C868" s="473"/>
      <c r="D868" s="473"/>
      <c r="E868" s="1164"/>
      <c r="F868" s="473"/>
      <c r="G868" s="473"/>
      <c r="H868" s="1164"/>
      <c r="I868" s="473"/>
      <c r="J868" s="473"/>
      <c r="K868" s="1164"/>
      <c r="L868" s="473"/>
      <c r="M868" s="473"/>
      <c r="N868" s="1164"/>
      <c r="O868" s="473"/>
      <c r="P868" s="473"/>
      <c r="Q868" s="1164"/>
      <c r="R868" s="473"/>
      <c r="S868" s="473"/>
      <c r="T868" s="1164"/>
      <c r="U868" s="1164"/>
      <c r="V868" s="473"/>
      <c r="W868" s="473"/>
      <c r="X868" s="1164"/>
      <c r="Y868" s="473"/>
      <c r="Z868" s="473"/>
      <c r="AA868" s="1164"/>
      <c r="AB868" s="473"/>
      <c r="AC868" s="1164"/>
      <c r="AD868" s="473"/>
      <c r="AE868" s="1164"/>
      <c r="AF868" s="473"/>
      <c r="AG868" s="1164"/>
      <c r="AH868" s="473"/>
      <c r="AI868" s="473"/>
      <c r="AJ868" s="1164"/>
      <c r="AK868" s="473"/>
      <c r="AL868" s="473"/>
      <c r="AM868" s="1164"/>
      <c r="AN868" s="473"/>
      <c r="AO868" s="473"/>
      <c r="AP868" s="1164"/>
      <c r="AQ868" s="473"/>
      <c r="AR868" s="473"/>
      <c r="AS868" s="1236"/>
      <c r="AT868" s="473"/>
      <c r="AU868" s="473"/>
      <c r="AV868" s="1164"/>
      <c r="AW868" s="1164"/>
      <c r="AX868" s="1236"/>
      <c r="AY868" s="473"/>
      <c r="AZ868" s="1236"/>
      <c r="BA868" s="473"/>
      <c r="BB868" s="473"/>
      <c r="BC868" s="1164"/>
      <c r="BD868" s="20"/>
      <c r="BE868" s="473"/>
      <c r="BF868" s="610"/>
      <c r="BG868" s="610"/>
      <c r="BH868" s="610"/>
      <c r="BI868" s="610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</row>
    <row r="869" spans="1:148" s="22" customFormat="1" x14ac:dyDescent="0.25">
      <c r="A869" s="20"/>
      <c r="B869" s="16"/>
      <c r="C869" s="473"/>
      <c r="D869" s="473"/>
      <c r="E869" s="1164"/>
      <c r="F869" s="473"/>
      <c r="G869" s="473"/>
      <c r="H869" s="1164"/>
      <c r="I869" s="473"/>
      <c r="J869" s="473"/>
      <c r="K869" s="1164"/>
      <c r="L869" s="473"/>
      <c r="M869" s="473"/>
      <c r="N869" s="1164"/>
      <c r="O869" s="473"/>
      <c r="P869" s="473"/>
      <c r="Q869" s="1164"/>
      <c r="R869" s="473"/>
      <c r="S869" s="473"/>
      <c r="T869" s="1164"/>
      <c r="U869" s="1164"/>
      <c r="V869" s="473"/>
      <c r="W869" s="473"/>
      <c r="X869" s="1164"/>
      <c r="Y869" s="473"/>
      <c r="Z869" s="473"/>
      <c r="AA869" s="1164"/>
      <c r="AB869" s="473"/>
      <c r="AC869" s="1164"/>
      <c r="AD869" s="473"/>
      <c r="AE869" s="1164"/>
      <c r="AF869" s="473"/>
      <c r="AG869" s="1164"/>
      <c r="AH869" s="473"/>
      <c r="AI869" s="473"/>
      <c r="AJ869" s="1164"/>
      <c r="AK869" s="473"/>
      <c r="AL869" s="473"/>
      <c r="AM869" s="1164"/>
      <c r="AN869" s="473"/>
      <c r="AO869" s="473"/>
      <c r="AP869" s="1164"/>
      <c r="AQ869" s="473"/>
      <c r="AR869" s="473"/>
      <c r="AS869" s="1236"/>
      <c r="AT869" s="473"/>
      <c r="AU869" s="473"/>
      <c r="AV869" s="1164"/>
      <c r="AW869" s="1164"/>
      <c r="AX869" s="1236"/>
      <c r="AY869" s="473"/>
      <c r="AZ869" s="1236"/>
      <c r="BA869" s="473"/>
      <c r="BB869" s="473"/>
      <c r="BC869" s="1164"/>
      <c r="BD869" s="20"/>
      <c r="BE869" s="473"/>
      <c r="BF869" s="610"/>
      <c r="BG869" s="610"/>
      <c r="BH869" s="610"/>
      <c r="BI869" s="610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</row>
    <row r="870" spans="1:148" s="22" customFormat="1" x14ac:dyDescent="0.25">
      <c r="A870" s="20"/>
      <c r="B870" s="16"/>
      <c r="C870" s="473"/>
      <c r="D870" s="473"/>
      <c r="E870" s="1164"/>
      <c r="F870" s="473"/>
      <c r="G870" s="473"/>
      <c r="H870" s="1164"/>
      <c r="I870" s="473"/>
      <c r="J870" s="473"/>
      <c r="K870" s="1164"/>
      <c r="L870" s="473"/>
      <c r="M870" s="473"/>
      <c r="N870" s="1164"/>
      <c r="O870" s="473"/>
      <c r="P870" s="473"/>
      <c r="Q870" s="1164"/>
      <c r="R870" s="473"/>
      <c r="S870" s="473"/>
      <c r="T870" s="1164"/>
      <c r="U870" s="1164"/>
      <c r="V870" s="473"/>
      <c r="W870" s="473"/>
      <c r="X870" s="1164"/>
      <c r="Y870" s="473"/>
      <c r="Z870" s="473"/>
      <c r="AA870" s="1164"/>
      <c r="AB870" s="473"/>
      <c r="AC870" s="1164"/>
      <c r="AD870" s="473"/>
      <c r="AE870" s="1164"/>
      <c r="AF870" s="473"/>
      <c r="AG870" s="1164"/>
      <c r="AH870" s="473"/>
      <c r="AI870" s="473"/>
      <c r="AJ870" s="1164"/>
      <c r="AK870" s="473"/>
      <c r="AL870" s="473"/>
      <c r="AM870" s="1164"/>
      <c r="AN870" s="473"/>
      <c r="AO870" s="473"/>
      <c r="AP870" s="1164"/>
      <c r="AQ870" s="473"/>
      <c r="AR870" s="473"/>
      <c r="AS870" s="1236"/>
      <c r="AT870" s="473"/>
      <c r="AU870" s="473"/>
      <c r="AV870" s="1164"/>
      <c r="AW870" s="1164"/>
      <c r="AX870" s="1236"/>
      <c r="AY870" s="473"/>
      <c r="AZ870" s="1236"/>
      <c r="BA870" s="473"/>
      <c r="BB870" s="473"/>
      <c r="BC870" s="1164"/>
      <c r="BD870" s="20"/>
      <c r="BE870" s="473"/>
      <c r="BF870" s="610"/>
      <c r="BG870" s="610"/>
      <c r="BH870" s="610"/>
      <c r="BI870" s="610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</row>
    <row r="871" spans="1:148" s="22" customFormat="1" x14ac:dyDescent="0.25">
      <c r="A871" s="20"/>
      <c r="B871" s="16"/>
      <c r="C871" s="473"/>
      <c r="D871" s="473"/>
      <c r="E871" s="1164"/>
      <c r="F871" s="473"/>
      <c r="G871" s="473"/>
      <c r="H871" s="1164"/>
      <c r="I871" s="473"/>
      <c r="J871" s="473"/>
      <c r="K871" s="1164"/>
      <c r="L871" s="473"/>
      <c r="M871" s="473"/>
      <c r="N871" s="1164"/>
      <c r="O871" s="473"/>
      <c r="P871" s="473"/>
      <c r="Q871" s="1164"/>
      <c r="R871" s="473"/>
      <c r="S871" s="473"/>
      <c r="T871" s="1164"/>
      <c r="U871" s="1164"/>
      <c r="V871" s="473"/>
      <c r="W871" s="473"/>
      <c r="X871" s="1164"/>
      <c r="Y871" s="473"/>
      <c r="Z871" s="473"/>
      <c r="AA871" s="1164"/>
      <c r="AB871" s="473"/>
      <c r="AC871" s="1164"/>
      <c r="AD871" s="473"/>
      <c r="AE871" s="1164"/>
      <c r="AF871" s="473"/>
      <c r="AG871" s="1164"/>
      <c r="AH871" s="473"/>
      <c r="AI871" s="473"/>
      <c r="AJ871" s="1164"/>
      <c r="AK871" s="473"/>
      <c r="AL871" s="473"/>
      <c r="AM871" s="1164"/>
      <c r="AN871" s="473"/>
      <c r="AO871" s="473"/>
      <c r="AP871" s="1164"/>
      <c r="AQ871" s="473"/>
      <c r="AR871" s="473"/>
      <c r="AS871" s="1236"/>
      <c r="AT871" s="473"/>
      <c r="AU871" s="473"/>
      <c r="AV871" s="1164"/>
      <c r="AW871" s="1164"/>
      <c r="AX871" s="1236"/>
      <c r="AY871" s="473"/>
      <c r="AZ871" s="1236"/>
      <c r="BA871" s="473"/>
      <c r="BB871" s="473"/>
      <c r="BC871" s="1164"/>
      <c r="BD871" s="20"/>
      <c r="BE871" s="473"/>
      <c r="BF871" s="610"/>
      <c r="BG871" s="610"/>
      <c r="BH871" s="610"/>
      <c r="BI871" s="610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</row>
    <row r="872" spans="1:148" s="22" customFormat="1" x14ac:dyDescent="0.25">
      <c r="A872" s="20"/>
      <c r="B872" s="16"/>
      <c r="C872" s="473"/>
      <c r="D872" s="473"/>
      <c r="E872" s="1164"/>
      <c r="F872" s="473"/>
      <c r="G872" s="473"/>
      <c r="H872" s="1164"/>
      <c r="I872" s="473"/>
      <c r="J872" s="473"/>
      <c r="K872" s="1164"/>
      <c r="L872" s="473"/>
      <c r="M872" s="473"/>
      <c r="N872" s="1164"/>
      <c r="O872" s="473"/>
      <c r="P872" s="473"/>
      <c r="Q872" s="1164"/>
      <c r="R872" s="473"/>
      <c r="S872" s="473"/>
      <c r="T872" s="1164"/>
      <c r="U872" s="1164"/>
      <c r="V872" s="473"/>
      <c r="W872" s="473"/>
      <c r="X872" s="1164"/>
      <c r="Y872" s="473"/>
      <c r="Z872" s="473"/>
      <c r="AA872" s="1164"/>
      <c r="AB872" s="473"/>
      <c r="AC872" s="1164"/>
      <c r="AD872" s="473"/>
      <c r="AE872" s="1164"/>
      <c r="AF872" s="473"/>
      <c r="AG872" s="1164"/>
      <c r="AH872" s="473"/>
      <c r="AI872" s="473"/>
      <c r="AJ872" s="1164"/>
      <c r="AK872" s="473"/>
      <c r="AL872" s="473"/>
      <c r="AM872" s="1164"/>
      <c r="AN872" s="473"/>
      <c r="AO872" s="473"/>
      <c r="AP872" s="1164"/>
      <c r="AQ872" s="473"/>
      <c r="AR872" s="473"/>
      <c r="AS872" s="1236"/>
      <c r="AT872" s="473"/>
      <c r="AU872" s="473"/>
      <c r="AV872" s="1164"/>
      <c r="AW872" s="1164"/>
      <c r="AX872" s="1236"/>
      <c r="AY872" s="473"/>
      <c r="AZ872" s="1236"/>
      <c r="BA872" s="473"/>
      <c r="BB872" s="473"/>
      <c r="BC872" s="1164"/>
      <c r="BD872" s="20"/>
      <c r="BE872" s="473"/>
      <c r="BF872" s="610"/>
      <c r="BG872" s="610"/>
      <c r="BH872" s="610"/>
      <c r="BI872" s="610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</row>
    <row r="873" spans="1:148" s="22" customFormat="1" x14ac:dyDescent="0.25">
      <c r="A873" s="20"/>
      <c r="B873" s="16"/>
      <c r="C873" s="473"/>
      <c r="D873" s="473"/>
      <c r="E873" s="1164"/>
      <c r="F873" s="473"/>
      <c r="G873" s="473"/>
      <c r="H873" s="1164"/>
      <c r="I873" s="473"/>
      <c r="J873" s="473"/>
      <c r="K873" s="1164"/>
      <c r="L873" s="473"/>
      <c r="M873" s="473"/>
      <c r="N873" s="1164"/>
      <c r="O873" s="473"/>
      <c r="P873" s="473"/>
      <c r="Q873" s="1164"/>
      <c r="R873" s="473"/>
      <c r="S873" s="473"/>
      <c r="T873" s="1164"/>
      <c r="U873" s="1164"/>
      <c r="V873" s="473"/>
      <c r="W873" s="473"/>
      <c r="X873" s="1164"/>
      <c r="Y873" s="473"/>
      <c r="Z873" s="473"/>
      <c r="AA873" s="1164"/>
      <c r="AB873" s="473"/>
      <c r="AC873" s="1164"/>
      <c r="AD873" s="473"/>
      <c r="AE873" s="1164"/>
      <c r="AF873" s="473"/>
      <c r="AG873" s="1164"/>
      <c r="AH873" s="473"/>
      <c r="AI873" s="473"/>
      <c r="AJ873" s="1164"/>
      <c r="AK873" s="473"/>
      <c r="AL873" s="473"/>
      <c r="AM873" s="1164"/>
      <c r="AN873" s="473"/>
      <c r="AO873" s="473"/>
      <c r="AP873" s="1164"/>
      <c r="AQ873" s="473"/>
      <c r="AR873" s="473"/>
      <c r="AS873" s="1236"/>
      <c r="AT873" s="473"/>
      <c r="AU873" s="473"/>
      <c r="AV873" s="1164"/>
      <c r="AW873" s="1164"/>
      <c r="AX873" s="1236"/>
      <c r="AY873" s="473"/>
      <c r="AZ873" s="1236"/>
      <c r="BA873" s="473"/>
      <c r="BB873" s="473"/>
      <c r="BC873" s="1164"/>
      <c r="BD873" s="20"/>
      <c r="BE873" s="473"/>
      <c r="BF873" s="610"/>
      <c r="BG873" s="610"/>
      <c r="BH873" s="610"/>
      <c r="BI873" s="610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</row>
    <row r="874" spans="1:148" s="22" customFormat="1" x14ac:dyDescent="0.25">
      <c r="A874" s="20"/>
      <c r="B874" s="16"/>
      <c r="C874" s="473"/>
      <c r="D874" s="473"/>
      <c r="E874" s="1164"/>
      <c r="F874" s="473"/>
      <c r="G874" s="473"/>
      <c r="H874" s="1164"/>
      <c r="I874" s="473"/>
      <c r="J874" s="473"/>
      <c r="K874" s="1164"/>
      <c r="L874" s="473"/>
      <c r="M874" s="473"/>
      <c r="N874" s="1164"/>
      <c r="O874" s="473"/>
      <c r="P874" s="473"/>
      <c r="Q874" s="1164"/>
      <c r="R874" s="473"/>
      <c r="S874" s="473"/>
      <c r="T874" s="1164"/>
      <c r="U874" s="1164"/>
      <c r="V874" s="473"/>
      <c r="W874" s="473"/>
      <c r="X874" s="1164"/>
      <c r="Y874" s="473"/>
      <c r="Z874" s="473"/>
      <c r="AA874" s="1164"/>
      <c r="AB874" s="473"/>
      <c r="AC874" s="1164"/>
      <c r="AD874" s="473"/>
      <c r="AE874" s="1164"/>
      <c r="AF874" s="473"/>
      <c r="AG874" s="1164"/>
      <c r="AH874" s="473"/>
      <c r="AI874" s="473"/>
      <c r="AJ874" s="1164"/>
      <c r="AK874" s="473"/>
      <c r="AL874" s="473"/>
      <c r="AM874" s="1164"/>
      <c r="AN874" s="473"/>
      <c r="AO874" s="473"/>
      <c r="AP874" s="1164"/>
      <c r="AQ874" s="473"/>
      <c r="AR874" s="473"/>
      <c r="AS874" s="1236"/>
      <c r="AT874" s="473"/>
      <c r="AU874" s="473"/>
      <c r="AV874" s="1164"/>
      <c r="AW874" s="1164"/>
      <c r="AX874" s="1236"/>
      <c r="AY874" s="473"/>
      <c r="AZ874" s="1236"/>
      <c r="BA874" s="473"/>
      <c r="BB874" s="473"/>
      <c r="BC874" s="1164"/>
      <c r="BD874" s="20"/>
      <c r="BE874" s="473"/>
      <c r="BF874" s="610"/>
      <c r="BG874" s="610"/>
      <c r="BH874" s="610"/>
      <c r="BI874" s="610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</row>
    <row r="875" spans="1:148" s="22" customFormat="1" x14ac:dyDescent="0.25">
      <c r="A875" s="20"/>
      <c r="B875" s="16"/>
      <c r="C875" s="473"/>
      <c r="D875" s="473"/>
      <c r="E875" s="1164"/>
      <c r="F875" s="473"/>
      <c r="G875" s="473"/>
      <c r="H875" s="1164"/>
      <c r="I875" s="473"/>
      <c r="J875" s="473"/>
      <c r="K875" s="1164"/>
      <c r="L875" s="473"/>
      <c r="M875" s="473"/>
      <c r="N875" s="1164"/>
      <c r="O875" s="473"/>
      <c r="P875" s="473"/>
      <c r="Q875" s="1164"/>
      <c r="R875" s="473"/>
      <c r="S875" s="473"/>
      <c r="T875" s="1164"/>
      <c r="U875" s="1164"/>
      <c r="V875" s="473"/>
      <c r="W875" s="473"/>
      <c r="X875" s="1164"/>
      <c r="Y875" s="473"/>
      <c r="Z875" s="473"/>
      <c r="AA875" s="1164"/>
      <c r="AB875" s="473"/>
      <c r="AC875" s="1164"/>
      <c r="AD875" s="473"/>
      <c r="AE875" s="1164"/>
      <c r="AF875" s="473"/>
      <c r="AG875" s="1164"/>
      <c r="AH875" s="473"/>
      <c r="AI875" s="473"/>
      <c r="AJ875" s="1164"/>
      <c r="AK875" s="473"/>
      <c r="AL875" s="473"/>
      <c r="AM875" s="1164"/>
      <c r="AN875" s="473"/>
      <c r="AO875" s="473"/>
      <c r="AP875" s="1164"/>
      <c r="AQ875" s="473"/>
      <c r="AR875" s="473"/>
      <c r="AS875" s="1236"/>
      <c r="AT875" s="473"/>
      <c r="AU875" s="473"/>
      <c r="AV875" s="1164"/>
      <c r="AW875" s="1164"/>
      <c r="AX875" s="1236"/>
      <c r="AY875" s="473"/>
      <c r="AZ875" s="1236"/>
      <c r="BA875" s="473"/>
      <c r="BB875" s="473"/>
      <c r="BC875" s="1164"/>
      <c r="BD875" s="20"/>
      <c r="BE875" s="473"/>
      <c r="BF875" s="610"/>
      <c r="BG875" s="610"/>
      <c r="BH875" s="610"/>
      <c r="BI875" s="610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</row>
    <row r="876" spans="1:148" s="22" customFormat="1" x14ac:dyDescent="0.25">
      <c r="A876" s="20"/>
      <c r="B876" s="16"/>
      <c r="C876" s="473"/>
      <c r="D876" s="473"/>
      <c r="E876" s="1164"/>
      <c r="F876" s="473"/>
      <c r="G876" s="473"/>
      <c r="H876" s="1164"/>
      <c r="I876" s="473"/>
      <c r="J876" s="473"/>
      <c r="K876" s="1164"/>
      <c r="L876" s="473"/>
      <c r="M876" s="473"/>
      <c r="N876" s="1164"/>
      <c r="O876" s="473"/>
      <c r="P876" s="473"/>
      <c r="Q876" s="1164"/>
      <c r="R876" s="473"/>
      <c r="S876" s="473"/>
      <c r="T876" s="1164"/>
      <c r="U876" s="1164"/>
      <c r="V876" s="473"/>
      <c r="W876" s="473"/>
      <c r="X876" s="1164"/>
      <c r="Y876" s="473"/>
      <c r="Z876" s="473"/>
      <c r="AA876" s="1164"/>
      <c r="AB876" s="473"/>
      <c r="AC876" s="1164"/>
      <c r="AD876" s="473"/>
      <c r="AE876" s="1164"/>
      <c r="AF876" s="473"/>
      <c r="AG876" s="1164"/>
      <c r="AH876" s="473"/>
      <c r="AI876" s="473"/>
      <c r="AJ876" s="1164"/>
      <c r="AK876" s="473"/>
      <c r="AL876" s="473"/>
      <c r="AM876" s="1164"/>
      <c r="AN876" s="473"/>
      <c r="AO876" s="473"/>
      <c r="AP876" s="1164"/>
      <c r="AQ876" s="473"/>
      <c r="AR876" s="473"/>
      <c r="AS876" s="1236"/>
      <c r="AT876" s="473"/>
      <c r="AU876" s="473"/>
      <c r="AV876" s="1164"/>
      <c r="AW876" s="1164"/>
      <c r="AX876" s="1236"/>
      <c r="AY876" s="473"/>
      <c r="AZ876" s="1236"/>
      <c r="BA876" s="473"/>
      <c r="BB876" s="473"/>
      <c r="BC876" s="1164"/>
      <c r="BD876" s="20"/>
      <c r="BE876" s="473"/>
      <c r="BF876" s="610"/>
      <c r="BG876" s="610"/>
      <c r="BH876" s="610"/>
      <c r="BI876" s="610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</row>
    <row r="877" spans="1:148" s="22" customFormat="1" x14ac:dyDescent="0.25">
      <c r="A877" s="20"/>
      <c r="B877" s="16"/>
      <c r="C877" s="473"/>
      <c r="D877" s="473"/>
      <c r="E877" s="1164"/>
      <c r="F877" s="473"/>
      <c r="G877" s="473"/>
      <c r="H877" s="1164"/>
      <c r="I877" s="473"/>
      <c r="J877" s="473"/>
      <c r="K877" s="1164"/>
      <c r="L877" s="473"/>
      <c r="M877" s="473"/>
      <c r="N877" s="1164"/>
      <c r="O877" s="473"/>
      <c r="P877" s="473"/>
      <c r="Q877" s="1164"/>
      <c r="R877" s="473"/>
      <c r="S877" s="473"/>
      <c r="T877" s="1164"/>
      <c r="U877" s="1164"/>
      <c r="V877" s="473"/>
      <c r="W877" s="473"/>
      <c r="X877" s="1164"/>
      <c r="Y877" s="473"/>
      <c r="Z877" s="473"/>
      <c r="AA877" s="1164"/>
      <c r="AB877" s="473"/>
      <c r="AC877" s="1164"/>
      <c r="AD877" s="473"/>
      <c r="AE877" s="1164"/>
      <c r="AF877" s="473"/>
      <c r="AG877" s="1164"/>
      <c r="AH877" s="473"/>
      <c r="AI877" s="473"/>
      <c r="AJ877" s="1164"/>
      <c r="AK877" s="473"/>
      <c r="AL877" s="473"/>
      <c r="AM877" s="1164"/>
      <c r="AN877" s="473"/>
      <c r="AO877" s="473"/>
      <c r="AP877" s="1164"/>
      <c r="AQ877" s="473"/>
      <c r="AR877" s="473"/>
      <c r="AS877" s="1236"/>
      <c r="AT877" s="473"/>
      <c r="AU877" s="473"/>
      <c r="AV877" s="1164"/>
      <c r="AW877" s="1164"/>
      <c r="AX877" s="1236"/>
      <c r="AY877" s="473"/>
      <c r="AZ877" s="1236"/>
      <c r="BA877" s="473"/>
      <c r="BB877" s="473"/>
      <c r="BC877" s="1164"/>
      <c r="BD877" s="20"/>
      <c r="BE877" s="473"/>
      <c r="BF877" s="610"/>
      <c r="BG877" s="610"/>
      <c r="BH877" s="610"/>
      <c r="BI877" s="610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</row>
    <row r="878" spans="1:148" s="22" customFormat="1" x14ac:dyDescent="0.25">
      <c r="A878" s="20"/>
      <c r="B878" s="16"/>
      <c r="C878" s="473"/>
      <c r="D878" s="473"/>
      <c r="E878" s="1164"/>
      <c r="F878" s="473"/>
      <c r="G878" s="473"/>
      <c r="H878" s="1164"/>
      <c r="I878" s="473"/>
      <c r="J878" s="473"/>
      <c r="K878" s="1164"/>
      <c r="L878" s="473"/>
      <c r="M878" s="473"/>
      <c r="N878" s="1164"/>
      <c r="O878" s="473"/>
      <c r="P878" s="473"/>
      <c r="Q878" s="1164"/>
      <c r="R878" s="473"/>
      <c r="S878" s="473"/>
      <c r="T878" s="1164"/>
      <c r="U878" s="1164"/>
      <c r="V878" s="473"/>
      <c r="W878" s="473"/>
      <c r="X878" s="1164"/>
      <c r="Y878" s="473"/>
      <c r="Z878" s="473"/>
      <c r="AA878" s="1164"/>
      <c r="AB878" s="473"/>
      <c r="AC878" s="1164"/>
      <c r="AD878" s="473"/>
      <c r="AE878" s="1164"/>
      <c r="AF878" s="473"/>
      <c r="AG878" s="1164"/>
      <c r="AH878" s="473"/>
      <c r="AI878" s="473"/>
      <c r="AJ878" s="1164"/>
      <c r="AK878" s="473"/>
      <c r="AL878" s="473"/>
      <c r="AM878" s="1164"/>
      <c r="AN878" s="473"/>
      <c r="AO878" s="473"/>
      <c r="AP878" s="1164"/>
      <c r="AQ878" s="473"/>
      <c r="AR878" s="473"/>
      <c r="AS878" s="1236"/>
      <c r="AT878" s="473"/>
      <c r="AU878" s="473"/>
      <c r="AV878" s="1164"/>
      <c r="AW878" s="1164"/>
      <c r="AX878" s="1236"/>
      <c r="AY878" s="473"/>
      <c r="AZ878" s="1236"/>
      <c r="BA878" s="473"/>
      <c r="BB878" s="473"/>
      <c r="BC878" s="1164"/>
      <c r="BD878" s="20"/>
      <c r="BE878" s="473"/>
      <c r="BF878" s="610"/>
      <c r="BG878" s="610"/>
      <c r="BH878" s="610"/>
      <c r="BI878" s="610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</row>
    <row r="879" spans="1:148" s="22" customFormat="1" x14ac:dyDescent="0.25">
      <c r="A879" s="20"/>
      <c r="B879" s="16"/>
      <c r="C879" s="473"/>
      <c r="D879" s="473"/>
      <c r="E879" s="1164"/>
      <c r="F879" s="473"/>
      <c r="G879" s="473"/>
      <c r="H879" s="1164"/>
      <c r="I879" s="473"/>
      <c r="J879" s="473"/>
      <c r="K879" s="1164"/>
      <c r="L879" s="473"/>
      <c r="M879" s="473"/>
      <c r="N879" s="1164"/>
      <c r="O879" s="473"/>
      <c r="P879" s="473"/>
      <c r="Q879" s="1164"/>
      <c r="R879" s="473"/>
      <c r="S879" s="473"/>
      <c r="T879" s="1164"/>
      <c r="U879" s="1164"/>
      <c r="V879" s="473"/>
      <c r="W879" s="473"/>
      <c r="X879" s="1164"/>
      <c r="Y879" s="473"/>
      <c r="Z879" s="473"/>
      <c r="AA879" s="1164"/>
      <c r="AB879" s="473"/>
      <c r="AC879" s="1164"/>
      <c r="AD879" s="473"/>
      <c r="AE879" s="1164"/>
      <c r="AF879" s="473"/>
      <c r="AG879" s="1164"/>
      <c r="AH879" s="473"/>
      <c r="AI879" s="473"/>
      <c r="AJ879" s="1164"/>
      <c r="AK879" s="473"/>
      <c r="AL879" s="473"/>
      <c r="AM879" s="1164"/>
      <c r="AN879" s="473"/>
      <c r="AO879" s="473"/>
      <c r="AP879" s="1164"/>
      <c r="AQ879" s="473"/>
      <c r="AR879" s="473"/>
      <c r="AS879" s="1236"/>
      <c r="AT879" s="473"/>
      <c r="AU879" s="473"/>
      <c r="AV879" s="1164"/>
      <c r="AW879" s="1164"/>
      <c r="AX879" s="1236"/>
      <c r="AY879" s="473"/>
      <c r="AZ879" s="1236"/>
      <c r="BA879" s="473"/>
      <c r="BB879" s="473"/>
      <c r="BC879" s="1164"/>
      <c r="BD879" s="20"/>
      <c r="BE879" s="473"/>
      <c r="BF879" s="610"/>
      <c r="BG879" s="610"/>
      <c r="BH879" s="610"/>
      <c r="BI879" s="610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</row>
    <row r="880" spans="1:148" s="22" customFormat="1" x14ac:dyDescent="0.25">
      <c r="A880" s="20"/>
      <c r="B880" s="16"/>
      <c r="C880" s="473"/>
      <c r="D880" s="473"/>
      <c r="E880" s="1164"/>
      <c r="F880" s="473"/>
      <c r="G880" s="473"/>
      <c r="H880" s="1164"/>
      <c r="I880" s="473"/>
      <c r="J880" s="473"/>
      <c r="K880" s="1164"/>
      <c r="L880" s="473"/>
      <c r="M880" s="473"/>
      <c r="N880" s="1164"/>
      <c r="O880" s="473"/>
      <c r="P880" s="473"/>
      <c r="Q880" s="1164"/>
      <c r="R880" s="473"/>
      <c r="S880" s="473"/>
      <c r="T880" s="1164"/>
      <c r="U880" s="1164"/>
      <c r="V880" s="473"/>
      <c r="W880" s="473"/>
      <c r="X880" s="1164"/>
      <c r="Y880" s="473"/>
      <c r="Z880" s="473"/>
      <c r="AA880" s="1164"/>
      <c r="AB880" s="473"/>
      <c r="AC880" s="1164"/>
      <c r="AD880" s="473"/>
      <c r="AE880" s="1164"/>
      <c r="AF880" s="473"/>
      <c r="AG880" s="1164"/>
      <c r="AH880" s="473"/>
      <c r="AI880" s="473"/>
      <c r="AJ880" s="1164"/>
      <c r="AK880" s="473"/>
      <c r="AL880" s="473"/>
      <c r="AM880" s="1164"/>
      <c r="AN880" s="473"/>
      <c r="AO880" s="473"/>
      <c r="AP880" s="1164"/>
      <c r="AQ880" s="473"/>
      <c r="AR880" s="473"/>
      <c r="AS880" s="1236"/>
      <c r="AT880" s="473"/>
      <c r="AU880" s="473"/>
      <c r="AV880" s="1164"/>
      <c r="AW880" s="1164"/>
      <c r="AX880" s="1236"/>
      <c r="AY880" s="473"/>
      <c r="AZ880" s="1236"/>
      <c r="BA880" s="473"/>
      <c r="BB880" s="473"/>
      <c r="BC880" s="1164"/>
      <c r="BD880" s="20"/>
      <c r="BE880" s="473"/>
      <c r="BF880" s="610"/>
      <c r="BG880" s="610"/>
      <c r="BH880" s="610"/>
      <c r="BI880" s="610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</row>
    <row r="881" spans="1:148" s="22" customFormat="1" x14ac:dyDescent="0.25">
      <c r="A881" s="20"/>
      <c r="B881" s="16"/>
      <c r="C881" s="473"/>
      <c r="D881" s="473"/>
      <c r="E881" s="1164"/>
      <c r="F881" s="473"/>
      <c r="G881" s="473"/>
      <c r="H881" s="1164"/>
      <c r="I881" s="473"/>
      <c r="J881" s="473"/>
      <c r="K881" s="1164"/>
      <c r="L881" s="473"/>
      <c r="M881" s="473"/>
      <c r="N881" s="1164"/>
      <c r="O881" s="473"/>
      <c r="P881" s="473"/>
      <c r="Q881" s="1164"/>
      <c r="R881" s="473"/>
      <c r="S881" s="473"/>
      <c r="T881" s="1164"/>
      <c r="U881" s="1164"/>
      <c r="V881" s="473"/>
      <c r="W881" s="473"/>
      <c r="X881" s="1164"/>
      <c r="Y881" s="473"/>
      <c r="Z881" s="473"/>
      <c r="AA881" s="1164"/>
      <c r="AB881" s="473"/>
      <c r="AC881" s="1164"/>
      <c r="AD881" s="473"/>
      <c r="AE881" s="1164"/>
      <c r="AF881" s="473"/>
      <c r="AG881" s="1164"/>
      <c r="AH881" s="473"/>
      <c r="AI881" s="473"/>
      <c r="AJ881" s="1164"/>
      <c r="AK881" s="473"/>
      <c r="AL881" s="473"/>
      <c r="AM881" s="1164"/>
      <c r="AN881" s="473"/>
      <c r="AO881" s="473"/>
      <c r="AP881" s="1164"/>
      <c r="AQ881" s="473"/>
      <c r="AR881" s="473"/>
      <c r="AS881" s="1236"/>
      <c r="AT881" s="473"/>
      <c r="AU881" s="473"/>
      <c r="AV881" s="1164"/>
      <c r="AW881" s="1164"/>
      <c r="AX881" s="1236"/>
      <c r="AY881" s="473"/>
      <c r="AZ881" s="1236"/>
      <c r="BA881" s="473"/>
      <c r="BB881" s="473"/>
      <c r="BC881" s="1164"/>
      <c r="BD881" s="20"/>
      <c r="BE881" s="473"/>
      <c r="BF881" s="610"/>
      <c r="BG881" s="610"/>
      <c r="BH881" s="610"/>
      <c r="BI881" s="610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</row>
    <row r="882" spans="1:148" s="22" customFormat="1" x14ac:dyDescent="0.25">
      <c r="A882" s="20"/>
      <c r="B882" s="16"/>
      <c r="C882" s="473"/>
      <c r="D882" s="473"/>
      <c r="E882" s="1164"/>
      <c r="F882" s="473"/>
      <c r="G882" s="473"/>
      <c r="H882" s="1164"/>
      <c r="I882" s="473"/>
      <c r="J882" s="473"/>
      <c r="K882" s="1164"/>
      <c r="L882" s="473"/>
      <c r="M882" s="473"/>
      <c r="N882" s="1164"/>
      <c r="O882" s="473"/>
      <c r="P882" s="473"/>
      <c r="Q882" s="1164"/>
      <c r="R882" s="473"/>
      <c r="S882" s="473"/>
      <c r="T882" s="1164"/>
      <c r="U882" s="1164"/>
      <c r="V882" s="473"/>
      <c r="W882" s="473"/>
      <c r="X882" s="1164"/>
      <c r="Y882" s="473"/>
      <c r="Z882" s="473"/>
      <c r="AA882" s="1164"/>
      <c r="AB882" s="473"/>
      <c r="AC882" s="1164"/>
      <c r="AD882" s="473"/>
      <c r="AE882" s="1164"/>
      <c r="AF882" s="473"/>
      <c r="AG882" s="1164"/>
      <c r="AH882" s="473"/>
      <c r="AI882" s="473"/>
      <c r="AJ882" s="1164"/>
      <c r="AK882" s="473"/>
      <c r="AL882" s="473"/>
      <c r="AM882" s="1164"/>
      <c r="AN882" s="473"/>
      <c r="AO882" s="473"/>
      <c r="AP882" s="1164"/>
      <c r="AQ882" s="473"/>
      <c r="AR882" s="473"/>
      <c r="AS882" s="1236"/>
      <c r="AT882" s="473"/>
      <c r="AU882" s="473"/>
      <c r="AV882" s="1164"/>
      <c r="AW882" s="1164"/>
      <c r="AX882" s="1236"/>
      <c r="AY882" s="473"/>
      <c r="AZ882" s="1236"/>
      <c r="BA882" s="473"/>
      <c r="BB882" s="473"/>
      <c r="BC882" s="1164"/>
      <c r="BD882" s="20"/>
      <c r="BE882" s="473"/>
      <c r="BF882" s="610"/>
      <c r="BG882" s="610"/>
      <c r="BH882" s="610"/>
      <c r="BI882" s="610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</row>
    <row r="883" spans="1:148" s="22" customFormat="1" x14ac:dyDescent="0.25">
      <c r="A883" s="20"/>
      <c r="B883" s="16"/>
      <c r="C883" s="473"/>
      <c r="D883" s="473"/>
      <c r="E883" s="1164"/>
      <c r="F883" s="473"/>
      <c r="G883" s="473"/>
      <c r="H883" s="1164"/>
      <c r="I883" s="473"/>
      <c r="J883" s="473"/>
      <c r="K883" s="1164"/>
      <c r="L883" s="473"/>
      <c r="M883" s="473"/>
      <c r="N883" s="1164"/>
      <c r="O883" s="473"/>
      <c r="P883" s="473"/>
      <c r="Q883" s="1164"/>
      <c r="R883" s="473"/>
      <c r="S883" s="473"/>
      <c r="T883" s="1164"/>
      <c r="U883" s="1164"/>
      <c r="V883" s="473"/>
      <c r="W883" s="473"/>
      <c r="X883" s="1164"/>
      <c r="Y883" s="473"/>
      <c r="Z883" s="473"/>
      <c r="AA883" s="1164"/>
      <c r="AB883" s="473"/>
      <c r="AC883" s="1164"/>
      <c r="AD883" s="473"/>
      <c r="AE883" s="1164"/>
      <c r="AF883" s="473"/>
      <c r="AG883" s="1164"/>
      <c r="AH883" s="473"/>
      <c r="AI883" s="473"/>
      <c r="AJ883" s="1164"/>
      <c r="AK883" s="473"/>
      <c r="AL883" s="473"/>
      <c r="AM883" s="1164"/>
      <c r="AN883" s="473"/>
      <c r="AO883" s="473"/>
      <c r="AP883" s="1164"/>
      <c r="AQ883" s="473"/>
      <c r="AR883" s="473"/>
      <c r="AS883" s="1236"/>
      <c r="AT883" s="473"/>
      <c r="AU883" s="473"/>
      <c r="AV883" s="1164"/>
      <c r="AW883" s="1164"/>
      <c r="AX883" s="1236"/>
      <c r="AY883" s="473"/>
      <c r="AZ883" s="1236"/>
      <c r="BA883" s="473"/>
      <c r="BB883" s="473"/>
      <c r="BC883" s="1164"/>
      <c r="BD883" s="20"/>
      <c r="BE883" s="473"/>
      <c r="BF883" s="610"/>
      <c r="BG883" s="610"/>
      <c r="BH883" s="610"/>
      <c r="BI883" s="610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</row>
    <row r="884" spans="1:148" s="22" customFormat="1" x14ac:dyDescent="0.25">
      <c r="A884" s="20"/>
      <c r="B884" s="16"/>
      <c r="C884" s="473"/>
      <c r="D884" s="473"/>
      <c r="E884" s="1164"/>
      <c r="F884" s="473"/>
      <c r="G884" s="473"/>
      <c r="H884" s="1164"/>
      <c r="I884" s="473"/>
      <c r="J884" s="473"/>
      <c r="K884" s="1164"/>
      <c r="L884" s="473"/>
      <c r="M884" s="473"/>
      <c r="N884" s="1164"/>
      <c r="O884" s="473"/>
      <c r="P884" s="473"/>
      <c r="Q884" s="1164"/>
      <c r="R884" s="473"/>
      <c r="S884" s="473"/>
      <c r="T884" s="1164"/>
      <c r="U884" s="1164"/>
      <c r="V884" s="473"/>
      <c r="W884" s="473"/>
      <c r="X884" s="1164"/>
      <c r="Y884" s="473"/>
      <c r="Z884" s="473"/>
      <c r="AA884" s="1164"/>
      <c r="AB884" s="473"/>
      <c r="AC884" s="1164"/>
      <c r="AD884" s="473"/>
      <c r="AE884" s="1164"/>
      <c r="AF884" s="473"/>
      <c r="AG884" s="1164"/>
      <c r="AH884" s="473"/>
      <c r="AI884" s="473"/>
      <c r="AJ884" s="1164"/>
      <c r="AK884" s="473"/>
      <c r="AL884" s="473"/>
      <c r="AM884" s="1164"/>
      <c r="AN884" s="473"/>
      <c r="AO884" s="473"/>
      <c r="AP884" s="1164"/>
      <c r="AQ884" s="473"/>
      <c r="AR884" s="473"/>
      <c r="AS884" s="1236"/>
      <c r="AT884" s="473"/>
      <c r="AU884" s="473"/>
      <c r="AV884" s="1164"/>
      <c r="AW884" s="1164"/>
      <c r="AX884" s="1236"/>
      <c r="AY884" s="473"/>
      <c r="AZ884" s="1236"/>
      <c r="BA884" s="473"/>
      <c r="BB884" s="473"/>
      <c r="BC884" s="1164"/>
      <c r="BD884" s="20"/>
      <c r="BE884" s="473"/>
      <c r="BF884" s="610"/>
      <c r="BG884" s="610"/>
      <c r="BH884" s="610"/>
      <c r="BI884" s="610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</row>
    <row r="885" spans="1:148" s="22" customFormat="1" x14ac:dyDescent="0.25">
      <c r="A885" s="20"/>
      <c r="B885" s="16"/>
      <c r="C885" s="473"/>
      <c r="D885" s="473"/>
      <c r="E885" s="1164"/>
      <c r="F885" s="473"/>
      <c r="G885" s="473"/>
      <c r="H885" s="1164"/>
      <c r="I885" s="473"/>
      <c r="J885" s="473"/>
      <c r="K885" s="1164"/>
      <c r="L885" s="473"/>
      <c r="M885" s="473"/>
      <c r="N885" s="1164"/>
      <c r="O885" s="473"/>
      <c r="P885" s="473"/>
      <c r="Q885" s="1164"/>
      <c r="R885" s="473"/>
      <c r="S885" s="473"/>
      <c r="T885" s="1164"/>
      <c r="U885" s="1164"/>
      <c r="V885" s="473"/>
      <c r="W885" s="473"/>
      <c r="X885" s="1164"/>
      <c r="Y885" s="473"/>
      <c r="Z885" s="473"/>
      <c r="AA885" s="1164"/>
      <c r="AB885" s="473"/>
      <c r="AC885" s="1164"/>
      <c r="AD885" s="473"/>
      <c r="AE885" s="1164"/>
      <c r="AF885" s="473"/>
      <c r="AG885" s="1164"/>
      <c r="AH885" s="473"/>
      <c r="AI885" s="473"/>
      <c r="AJ885" s="1164"/>
      <c r="AK885" s="473"/>
      <c r="AL885" s="473"/>
      <c r="AM885" s="1164"/>
      <c r="AN885" s="473"/>
      <c r="AO885" s="473"/>
      <c r="AP885" s="1164"/>
      <c r="AQ885" s="473"/>
      <c r="AR885" s="473"/>
      <c r="AS885" s="1236"/>
      <c r="AT885" s="473"/>
      <c r="AU885" s="473"/>
      <c r="AV885" s="1164"/>
      <c r="AW885" s="1164"/>
      <c r="AX885" s="1236"/>
      <c r="AY885" s="473"/>
      <c r="AZ885" s="1236"/>
      <c r="BA885" s="473"/>
      <c r="BB885" s="473"/>
      <c r="BC885" s="1164"/>
      <c r="BD885" s="20"/>
      <c r="BE885" s="473"/>
      <c r="BF885" s="610"/>
      <c r="BG885" s="610"/>
      <c r="BH885" s="610"/>
      <c r="BI885" s="610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</row>
    <row r="886" spans="1:148" s="22" customFormat="1" x14ac:dyDescent="0.25">
      <c r="A886" s="20"/>
      <c r="B886" s="16"/>
      <c r="C886" s="473"/>
      <c r="D886" s="473"/>
      <c r="E886" s="1164"/>
      <c r="F886" s="473"/>
      <c r="G886" s="473"/>
      <c r="H886" s="1164"/>
      <c r="I886" s="473"/>
      <c r="J886" s="473"/>
      <c r="K886" s="1164"/>
      <c r="L886" s="473"/>
      <c r="M886" s="473"/>
      <c r="N886" s="1164"/>
      <c r="O886" s="473"/>
      <c r="P886" s="473"/>
      <c r="Q886" s="1164"/>
      <c r="R886" s="473"/>
      <c r="S886" s="473"/>
      <c r="T886" s="1164"/>
      <c r="U886" s="1164"/>
      <c r="V886" s="473"/>
      <c r="W886" s="473"/>
      <c r="X886" s="1164"/>
      <c r="Y886" s="473"/>
      <c r="Z886" s="473"/>
      <c r="AA886" s="1164"/>
      <c r="AB886" s="473"/>
      <c r="AC886" s="1164"/>
      <c r="AD886" s="473"/>
      <c r="AE886" s="1164"/>
      <c r="AF886" s="473"/>
      <c r="AG886" s="1164"/>
      <c r="AH886" s="473"/>
      <c r="AI886" s="473"/>
      <c r="AJ886" s="1164"/>
      <c r="AK886" s="473"/>
      <c r="AL886" s="473"/>
      <c r="AM886" s="1164"/>
      <c r="AN886" s="473"/>
      <c r="AO886" s="473"/>
      <c r="AP886" s="1164"/>
      <c r="AQ886" s="473"/>
      <c r="AR886" s="473"/>
      <c r="AS886" s="1236"/>
      <c r="AT886" s="473"/>
      <c r="AU886" s="473"/>
      <c r="AV886" s="1164"/>
      <c r="AW886" s="1164"/>
      <c r="AX886" s="1236"/>
      <c r="AY886" s="473"/>
      <c r="AZ886" s="1236"/>
      <c r="BA886" s="473"/>
      <c r="BB886" s="473"/>
      <c r="BC886" s="1164"/>
      <c r="BD886" s="20"/>
      <c r="BE886" s="473"/>
      <c r="BF886" s="610"/>
      <c r="BG886" s="610"/>
      <c r="BH886" s="610"/>
      <c r="BI886" s="610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</row>
    <row r="887" spans="1:148" s="22" customFormat="1" x14ac:dyDescent="0.25">
      <c r="A887" s="20"/>
      <c r="B887" s="16"/>
      <c r="C887" s="473"/>
      <c r="D887" s="473"/>
      <c r="E887" s="1164"/>
      <c r="F887" s="473"/>
      <c r="G887" s="473"/>
      <c r="H887" s="1164"/>
      <c r="I887" s="473"/>
      <c r="J887" s="473"/>
      <c r="K887" s="1164"/>
      <c r="L887" s="473"/>
      <c r="M887" s="473"/>
      <c r="N887" s="1164"/>
      <c r="O887" s="473"/>
      <c r="P887" s="473"/>
      <c r="Q887" s="1164"/>
      <c r="R887" s="473"/>
      <c r="S887" s="473"/>
      <c r="T887" s="1164"/>
      <c r="U887" s="1164"/>
      <c r="V887" s="473"/>
      <c r="W887" s="473"/>
      <c r="X887" s="1164"/>
      <c r="Y887" s="473"/>
      <c r="Z887" s="473"/>
      <c r="AA887" s="1164"/>
      <c r="AB887" s="473"/>
      <c r="AC887" s="1164"/>
      <c r="AD887" s="473"/>
      <c r="AE887" s="1164"/>
      <c r="AF887" s="473"/>
      <c r="AG887" s="1164"/>
      <c r="AH887" s="473"/>
      <c r="AI887" s="473"/>
      <c r="AJ887" s="1164"/>
      <c r="AK887" s="473"/>
      <c r="AL887" s="473"/>
      <c r="AM887" s="1164"/>
      <c r="AN887" s="473"/>
      <c r="AO887" s="473"/>
      <c r="AP887" s="1164"/>
      <c r="AQ887" s="473"/>
      <c r="AR887" s="473"/>
      <c r="AS887" s="1236"/>
      <c r="AT887" s="473"/>
      <c r="AU887" s="473"/>
      <c r="AV887" s="1164"/>
      <c r="AW887" s="1164"/>
      <c r="AX887" s="1236"/>
      <c r="AY887" s="473"/>
      <c r="AZ887" s="1236"/>
      <c r="BA887" s="473"/>
      <c r="BB887" s="473"/>
      <c r="BC887" s="1164"/>
      <c r="BD887" s="20"/>
      <c r="BE887" s="473"/>
      <c r="BF887" s="610"/>
      <c r="BG887" s="610"/>
      <c r="BH887" s="610"/>
      <c r="BI887" s="610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</row>
    <row r="888" spans="1:148" s="22" customFormat="1" x14ac:dyDescent="0.25">
      <c r="A888" s="20"/>
      <c r="B888" s="16"/>
      <c r="C888" s="473"/>
      <c r="D888" s="473"/>
      <c r="E888" s="1164"/>
      <c r="F888" s="473"/>
      <c r="G888" s="473"/>
      <c r="H888" s="1164"/>
      <c r="I888" s="473"/>
      <c r="J888" s="473"/>
      <c r="K888" s="1164"/>
      <c r="L888" s="473"/>
      <c r="M888" s="473"/>
      <c r="N888" s="1164"/>
      <c r="O888" s="473"/>
      <c r="P888" s="473"/>
      <c r="Q888" s="1164"/>
      <c r="R888" s="473"/>
      <c r="S888" s="473"/>
      <c r="T888" s="1164"/>
      <c r="U888" s="1164"/>
      <c r="V888" s="473"/>
      <c r="W888" s="473"/>
      <c r="X888" s="1164"/>
      <c r="Y888" s="473"/>
      <c r="Z888" s="473"/>
      <c r="AA888" s="1164"/>
      <c r="AB888" s="473"/>
      <c r="AC888" s="1164"/>
      <c r="AD888" s="473"/>
      <c r="AE888" s="1164"/>
      <c r="AF888" s="473"/>
      <c r="AG888" s="1164"/>
      <c r="AH888" s="473"/>
      <c r="AI888" s="473"/>
      <c r="AJ888" s="1164"/>
      <c r="AK888" s="473"/>
      <c r="AL888" s="473"/>
      <c r="AM888" s="1164"/>
      <c r="AN888" s="473"/>
      <c r="AO888" s="473"/>
      <c r="AP888" s="1164"/>
      <c r="AQ888" s="473"/>
      <c r="AR888" s="473"/>
      <c r="AS888" s="1236"/>
      <c r="AT888" s="473"/>
      <c r="AU888" s="473"/>
      <c r="AV888" s="1164"/>
      <c r="AW888" s="1164"/>
      <c r="AX888" s="1236"/>
      <c r="AY888" s="473"/>
      <c r="AZ888" s="1236"/>
      <c r="BA888" s="473"/>
      <c r="BB888" s="473"/>
      <c r="BC888" s="1164"/>
      <c r="BD888" s="20"/>
      <c r="BE888" s="473"/>
      <c r="BF888" s="610"/>
      <c r="BG888" s="610"/>
      <c r="BH888" s="610"/>
      <c r="BI888" s="610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</row>
    <row r="889" spans="1:148" s="22" customFormat="1" x14ac:dyDescent="0.25">
      <c r="A889" s="20"/>
      <c r="B889" s="16"/>
      <c r="C889" s="473"/>
      <c r="D889" s="473"/>
      <c r="E889" s="1164"/>
      <c r="F889" s="473"/>
      <c r="G889" s="473"/>
      <c r="H889" s="1164"/>
      <c r="I889" s="473"/>
      <c r="J889" s="473"/>
      <c r="K889" s="1164"/>
      <c r="L889" s="473"/>
      <c r="M889" s="473"/>
      <c r="N889" s="1164"/>
      <c r="O889" s="473"/>
      <c r="P889" s="473"/>
      <c r="Q889" s="1164"/>
      <c r="R889" s="473"/>
      <c r="S889" s="473"/>
      <c r="T889" s="1164"/>
      <c r="U889" s="1164"/>
      <c r="V889" s="473"/>
      <c r="W889" s="473"/>
      <c r="X889" s="1164"/>
      <c r="Y889" s="473"/>
      <c r="Z889" s="473"/>
      <c r="AA889" s="1164"/>
      <c r="AB889" s="473"/>
      <c r="AC889" s="1164"/>
      <c r="AD889" s="473"/>
      <c r="AE889" s="1164"/>
      <c r="AF889" s="473"/>
      <c r="AG889" s="1164"/>
      <c r="AH889" s="473"/>
      <c r="AI889" s="473"/>
      <c r="AJ889" s="1164"/>
      <c r="AK889" s="473"/>
      <c r="AL889" s="473"/>
      <c r="AM889" s="1164"/>
      <c r="AN889" s="473"/>
      <c r="AO889" s="473"/>
      <c r="AP889" s="1164"/>
      <c r="AQ889" s="473"/>
      <c r="AR889" s="473"/>
      <c r="AS889" s="1236"/>
      <c r="AT889" s="473"/>
      <c r="AU889" s="473"/>
      <c r="AV889" s="1164"/>
      <c r="AW889" s="1164"/>
      <c r="AX889" s="1236"/>
      <c r="AY889" s="473"/>
      <c r="AZ889" s="1236"/>
      <c r="BA889" s="473"/>
      <c r="BB889" s="473"/>
      <c r="BC889" s="1164"/>
      <c r="BD889" s="20"/>
      <c r="BE889" s="473"/>
      <c r="BF889" s="610"/>
      <c r="BG889" s="610"/>
      <c r="BH889" s="610"/>
      <c r="BI889" s="610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</row>
    <row r="890" spans="1:148" s="22" customFormat="1" x14ac:dyDescent="0.25">
      <c r="A890" s="20"/>
      <c r="B890" s="16"/>
      <c r="C890" s="473"/>
      <c r="D890" s="473"/>
      <c r="E890" s="1164"/>
      <c r="F890" s="473"/>
      <c r="G890" s="473"/>
      <c r="H890" s="1164"/>
      <c r="I890" s="473"/>
      <c r="J890" s="473"/>
      <c r="K890" s="1164"/>
      <c r="L890" s="473"/>
      <c r="M890" s="473"/>
      <c r="N890" s="1164"/>
      <c r="O890" s="473"/>
      <c r="P890" s="473"/>
      <c r="Q890" s="1164"/>
      <c r="R890" s="473"/>
      <c r="S890" s="473"/>
      <c r="T890" s="1164"/>
      <c r="U890" s="1164"/>
      <c r="V890" s="473"/>
      <c r="W890" s="473"/>
      <c r="X890" s="1164"/>
      <c r="Y890" s="473"/>
      <c r="Z890" s="473"/>
      <c r="AA890" s="1164"/>
      <c r="AB890" s="473"/>
      <c r="AC890" s="1164"/>
      <c r="AD890" s="473"/>
      <c r="AE890" s="1164"/>
      <c r="AF890" s="473"/>
      <c r="AG890" s="1164"/>
      <c r="AH890" s="473"/>
      <c r="AI890" s="473"/>
      <c r="AJ890" s="1164"/>
      <c r="AK890" s="473"/>
      <c r="AL890" s="473"/>
      <c r="AM890" s="1164"/>
      <c r="AN890" s="473"/>
      <c r="AO890" s="473"/>
      <c r="AP890" s="1164"/>
      <c r="AQ890" s="473"/>
      <c r="AR890" s="473"/>
      <c r="AS890" s="1236"/>
      <c r="AT890" s="473"/>
      <c r="AU890" s="473"/>
      <c r="AV890" s="1164"/>
      <c r="AW890" s="1164"/>
      <c r="AX890" s="1236"/>
      <c r="AY890" s="473"/>
      <c r="AZ890" s="1236"/>
      <c r="BA890" s="473"/>
      <c r="BB890" s="473"/>
      <c r="BC890" s="1164"/>
      <c r="BD890" s="20"/>
      <c r="BE890" s="473"/>
      <c r="BF890" s="610"/>
      <c r="BG890" s="610"/>
      <c r="BH890" s="610"/>
      <c r="BI890" s="610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</row>
    <row r="891" spans="1:148" s="22" customFormat="1" x14ac:dyDescent="0.25">
      <c r="A891" s="20"/>
      <c r="B891" s="16"/>
      <c r="C891" s="473"/>
      <c r="D891" s="473"/>
      <c r="E891" s="1164"/>
      <c r="F891" s="473"/>
      <c r="G891" s="473"/>
      <c r="H891" s="1164"/>
      <c r="I891" s="473"/>
      <c r="J891" s="473"/>
      <c r="K891" s="1164"/>
      <c r="L891" s="473"/>
      <c r="M891" s="473"/>
      <c r="N891" s="1164"/>
      <c r="O891" s="473"/>
      <c r="P891" s="473"/>
      <c r="Q891" s="1164"/>
      <c r="R891" s="473"/>
      <c r="S891" s="473"/>
      <c r="T891" s="1164"/>
      <c r="U891" s="1164"/>
      <c r="V891" s="473"/>
      <c r="W891" s="473"/>
      <c r="X891" s="1164"/>
      <c r="Y891" s="473"/>
      <c r="Z891" s="473"/>
      <c r="AA891" s="1164"/>
      <c r="AB891" s="473"/>
      <c r="AC891" s="1164"/>
      <c r="AD891" s="473"/>
      <c r="AE891" s="1164"/>
      <c r="AF891" s="473"/>
      <c r="AG891" s="1164"/>
      <c r="AH891" s="473"/>
      <c r="AI891" s="473"/>
      <c r="AJ891" s="1164"/>
      <c r="AK891" s="473"/>
      <c r="AL891" s="473"/>
      <c r="AM891" s="1164"/>
      <c r="AN891" s="473"/>
      <c r="AO891" s="473"/>
      <c r="AP891" s="1164"/>
      <c r="AQ891" s="473"/>
      <c r="AR891" s="473"/>
      <c r="AS891" s="1236"/>
      <c r="AT891" s="473"/>
      <c r="AU891" s="473"/>
      <c r="AV891" s="1164"/>
      <c r="AW891" s="1164"/>
      <c r="AX891" s="1236"/>
      <c r="AY891" s="473"/>
      <c r="AZ891" s="1236"/>
      <c r="BA891" s="473"/>
      <c r="BB891" s="473"/>
      <c r="BC891" s="1164"/>
      <c r="BD891" s="20"/>
      <c r="BE891" s="473"/>
      <c r="BF891" s="610"/>
      <c r="BG891" s="610"/>
      <c r="BH891" s="610"/>
      <c r="BI891" s="610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</row>
    <row r="892" spans="1:148" s="22" customFormat="1" x14ac:dyDescent="0.25">
      <c r="A892" s="20"/>
      <c r="B892" s="16"/>
      <c r="C892" s="473"/>
      <c r="D892" s="473"/>
      <c r="E892" s="1164"/>
      <c r="F892" s="473"/>
      <c r="G892" s="473"/>
      <c r="H892" s="1164"/>
      <c r="I892" s="473"/>
      <c r="J892" s="473"/>
      <c r="K892" s="1164"/>
      <c r="L892" s="473"/>
      <c r="M892" s="473"/>
      <c r="N892" s="1164"/>
      <c r="O892" s="473"/>
      <c r="P892" s="473"/>
      <c r="Q892" s="1164"/>
      <c r="R892" s="473"/>
      <c r="S892" s="473"/>
      <c r="T892" s="1164"/>
      <c r="U892" s="1164"/>
      <c r="V892" s="473"/>
      <c r="W892" s="473"/>
      <c r="X892" s="1164"/>
      <c r="Y892" s="473"/>
      <c r="Z892" s="473"/>
      <c r="AA892" s="1164"/>
      <c r="AB892" s="473"/>
      <c r="AC892" s="1164"/>
      <c r="AD892" s="473"/>
      <c r="AE892" s="1164"/>
      <c r="AF892" s="473"/>
      <c r="AG892" s="1164"/>
      <c r="AH892" s="473"/>
      <c r="AI892" s="473"/>
      <c r="AJ892" s="1164"/>
      <c r="AK892" s="473"/>
      <c r="AL892" s="473"/>
      <c r="AM892" s="1164"/>
      <c r="AN892" s="473"/>
      <c r="AO892" s="473"/>
      <c r="AP892" s="1164"/>
      <c r="AQ892" s="473"/>
      <c r="AR892" s="473"/>
      <c r="AS892" s="1236"/>
      <c r="AT892" s="473"/>
      <c r="AU892" s="473"/>
      <c r="AV892" s="1164"/>
      <c r="AW892" s="1164"/>
      <c r="AX892" s="1236"/>
      <c r="AY892" s="473"/>
      <c r="AZ892" s="1236"/>
      <c r="BA892" s="473"/>
      <c r="BB892" s="473"/>
      <c r="BC892" s="1164"/>
      <c r="BD892" s="20"/>
      <c r="BE892" s="473"/>
      <c r="BF892" s="610"/>
      <c r="BG892" s="610"/>
      <c r="BH892" s="610"/>
      <c r="BI892" s="610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</row>
    <row r="893" spans="1:148" s="22" customFormat="1" x14ac:dyDescent="0.25">
      <c r="A893" s="20"/>
      <c r="B893" s="16"/>
      <c r="C893" s="473"/>
      <c r="D893" s="473"/>
      <c r="E893" s="1164"/>
      <c r="F893" s="473"/>
      <c r="G893" s="473"/>
      <c r="H893" s="1164"/>
      <c r="I893" s="473"/>
      <c r="J893" s="473"/>
      <c r="K893" s="1164"/>
      <c r="L893" s="473"/>
      <c r="M893" s="473"/>
      <c r="N893" s="1164"/>
      <c r="O893" s="473"/>
      <c r="P893" s="473"/>
      <c r="Q893" s="1164"/>
      <c r="R893" s="473"/>
      <c r="S893" s="473"/>
      <c r="T893" s="1164"/>
      <c r="U893" s="1164"/>
      <c r="V893" s="473"/>
      <c r="W893" s="473"/>
      <c r="X893" s="1164"/>
      <c r="Y893" s="473"/>
      <c r="Z893" s="473"/>
      <c r="AA893" s="1164"/>
      <c r="AB893" s="473"/>
      <c r="AC893" s="1164"/>
      <c r="AD893" s="473"/>
      <c r="AE893" s="1164"/>
      <c r="AF893" s="473"/>
      <c r="AG893" s="1164"/>
      <c r="AH893" s="473"/>
      <c r="AI893" s="473"/>
      <c r="AJ893" s="1164"/>
      <c r="AK893" s="473"/>
      <c r="AL893" s="473"/>
      <c r="AM893" s="1164"/>
      <c r="AN893" s="473"/>
      <c r="AO893" s="473"/>
      <c r="AP893" s="1164"/>
      <c r="AQ893" s="473"/>
      <c r="AR893" s="473"/>
      <c r="AS893" s="1236"/>
      <c r="AT893" s="473"/>
      <c r="AU893" s="473"/>
      <c r="AV893" s="1164"/>
      <c r="AW893" s="1164"/>
      <c r="AX893" s="1236"/>
      <c r="AY893" s="473"/>
      <c r="AZ893" s="1236"/>
      <c r="BA893" s="473"/>
      <c r="BB893" s="473"/>
      <c r="BC893" s="1164"/>
      <c r="BD893" s="20"/>
      <c r="BE893" s="473"/>
      <c r="BF893" s="610"/>
      <c r="BG893" s="610"/>
      <c r="BH893" s="610"/>
      <c r="BI893" s="610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</row>
    <row r="894" spans="1:148" s="22" customFormat="1" x14ac:dyDescent="0.25">
      <c r="A894" s="20"/>
      <c r="B894" s="16"/>
      <c r="C894" s="473"/>
      <c r="D894" s="473"/>
      <c r="E894" s="1164"/>
      <c r="F894" s="473"/>
      <c r="G894" s="473"/>
      <c r="H894" s="1164"/>
      <c r="I894" s="473"/>
      <c r="J894" s="473"/>
      <c r="K894" s="1164"/>
      <c r="L894" s="473"/>
      <c r="M894" s="473"/>
      <c r="N894" s="1164"/>
      <c r="O894" s="473"/>
      <c r="P894" s="473"/>
      <c r="Q894" s="1164"/>
      <c r="R894" s="473"/>
      <c r="S894" s="473"/>
      <c r="T894" s="1164"/>
      <c r="U894" s="1164"/>
      <c r="V894" s="473"/>
      <c r="W894" s="473"/>
      <c r="X894" s="1164"/>
      <c r="Y894" s="473"/>
      <c r="Z894" s="473"/>
      <c r="AA894" s="1164"/>
      <c r="AB894" s="473"/>
      <c r="AC894" s="1164"/>
      <c r="AD894" s="473"/>
      <c r="AE894" s="1164"/>
      <c r="AF894" s="473"/>
      <c r="AG894" s="1164"/>
      <c r="AH894" s="473"/>
      <c r="AI894" s="473"/>
      <c r="AJ894" s="1164"/>
      <c r="AK894" s="473"/>
      <c r="AL894" s="473"/>
      <c r="AM894" s="1164"/>
      <c r="AN894" s="473"/>
      <c r="AO894" s="473"/>
      <c r="AP894" s="1164"/>
      <c r="AQ894" s="473"/>
      <c r="AR894" s="473"/>
      <c r="AS894" s="1236"/>
      <c r="AT894" s="473"/>
      <c r="AU894" s="473"/>
      <c r="AV894" s="1164"/>
      <c r="AW894" s="1164"/>
      <c r="AX894" s="1236"/>
      <c r="AY894" s="473"/>
      <c r="AZ894" s="1236"/>
      <c r="BA894" s="473"/>
      <c r="BB894" s="473"/>
      <c r="BC894" s="1164"/>
      <c r="BD894" s="20"/>
      <c r="BE894" s="473"/>
      <c r="BF894" s="610"/>
      <c r="BG894" s="610"/>
      <c r="BH894" s="610"/>
      <c r="BI894" s="610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</row>
    <row r="895" spans="1:148" s="22" customFormat="1" x14ac:dyDescent="0.25">
      <c r="A895" s="20"/>
      <c r="B895" s="16"/>
      <c r="C895" s="473"/>
      <c r="D895" s="473"/>
      <c r="E895" s="1164"/>
      <c r="F895" s="473"/>
      <c r="G895" s="473"/>
      <c r="H895" s="1164"/>
      <c r="I895" s="473"/>
      <c r="J895" s="473"/>
      <c r="K895" s="1164"/>
      <c r="L895" s="473"/>
      <c r="M895" s="473"/>
      <c r="N895" s="1164"/>
      <c r="O895" s="473"/>
      <c r="P895" s="473"/>
      <c r="Q895" s="1164"/>
      <c r="R895" s="473"/>
      <c r="S895" s="473"/>
      <c r="T895" s="1164"/>
      <c r="U895" s="1164"/>
      <c r="V895" s="473"/>
      <c r="W895" s="473"/>
      <c r="X895" s="1164"/>
      <c r="Y895" s="473"/>
      <c r="Z895" s="473"/>
      <c r="AA895" s="1164"/>
      <c r="AB895" s="473"/>
      <c r="AC895" s="1164"/>
      <c r="AD895" s="473"/>
      <c r="AE895" s="1164"/>
      <c r="AF895" s="473"/>
      <c r="AG895" s="1164"/>
      <c r="AH895" s="473"/>
      <c r="AI895" s="473"/>
      <c r="AJ895" s="1164"/>
      <c r="AK895" s="473"/>
      <c r="AL895" s="473"/>
      <c r="AM895" s="1164"/>
      <c r="AN895" s="473"/>
      <c r="AO895" s="473"/>
      <c r="AP895" s="1164"/>
      <c r="AQ895" s="473"/>
      <c r="AR895" s="473"/>
      <c r="AS895" s="1236"/>
      <c r="AT895" s="473"/>
      <c r="AU895" s="473"/>
      <c r="AV895" s="1164"/>
      <c r="AW895" s="1164"/>
      <c r="AX895" s="1236"/>
      <c r="AY895" s="473"/>
      <c r="AZ895" s="1236"/>
      <c r="BA895" s="473"/>
      <c r="BB895" s="473"/>
      <c r="BC895" s="1164"/>
      <c r="BD895" s="20"/>
      <c r="BE895" s="473"/>
      <c r="BF895" s="610"/>
      <c r="BG895" s="610"/>
      <c r="BH895" s="610"/>
      <c r="BI895" s="610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</row>
    <row r="896" spans="1:148" s="22" customFormat="1" x14ac:dyDescent="0.25">
      <c r="A896" s="20"/>
      <c r="B896" s="16"/>
      <c r="C896" s="473"/>
      <c r="D896" s="473"/>
      <c r="E896" s="1164"/>
      <c r="F896" s="473"/>
      <c r="G896" s="473"/>
      <c r="H896" s="1164"/>
      <c r="I896" s="473"/>
      <c r="J896" s="473"/>
      <c r="K896" s="1164"/>
      <c r="L896" s="473"/>
      <c r="M896" s="473"/>
      <c r="N896" s="1164"/>
      <c r="O896" s="473"/>
      <c r="P896" s="473"/>
      <c r="Q896" s="1164"/>
      <c r="R896" s="473"/>
      <c r="S896" s="473"/>
      <c r="T896" s="1164"/>
      <c r="U896" s="1164"/>
      <c r="V896" s="473"/>
      <c r="W896" s="473"/>
      <c r="X896" s="1164"/>
      <c r="Y896" s="473"/>
      <c r="Z896" s="473"/>
      <c r="AA896" s="1164"/>
      <c r="AB896" s="473"/>
      <c r="AC896" s="1164"/>
      <c r="AD896" s="473"/>
      <c r="AE896" s="1164"/>
      <c r="AF896" s="473"/>
      <c r="AG896" s="1164"/>
      <c r="AH896" s="473"/>
      <c r="AI896" s="473"/>
      <c r="AJ896" s="1164"/>
      <c r="AK896" s="473"/>
      <c r="AL896" s="473"/>
      <c r="AM896" s="1164"/>
      <c r="AN896" s="473"/>
      <c r="AO896" s="473"/>
      <c r="AP896" s="1164"/>
      <c r="AQ896" s="473"/>
      <c r="AR896" s="473"/>
      <c r="AS896" s="1236"/>
      <c r="AT896" s="473"/>
      <c r="AU896" s="473"/>
      <c r="AV896" s="1164"/>
      <c r="AW896" s="1164"/>
      <c r="AX896" s="1236"/>
      <c r="AY896" s="473"/>
      <c r="AZ896" s="1236"/>
      <c r="BA896" s="473"/>
      <c r="BB896" s="473"/>
      <c r="BC896" s="1164"/>
      <c r="BD896" s="20"/>
      <c r="BE896" s="473"/>
      <c r="BF896" s="610"/>
      <c r="BG896" s="610"/>
      <c r="BH896" s="610"/>
      <c r="BI896" s="610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</row>
    <row r="897" spans="1:148" s="22" customFormat="1" x14ac:dyDescent="0.25">
      <c r="A897" s="20"/>
      <c r="B897" s="16"/>
      <c r="C897" s="473"/>
      <c r="D897" s="473"/>
      <c r="E897" s="1164"/>
      <c r="F897" s="473"/>
      <c r="G897" s="473"/>
      <c r="H897" s="1164"/>
      <c r="I897" s="473"/>
      <c r="J897" s="473"/>
      <c r="K897" s="1164"/>
      <c r="L897" s="473"/>
      <c r="M897" s="473"/>
      <c r="N897" s="1164"/>
      <c r="O897" s="473"/>
      <c r="P897" s="473"/>
      <c r="Q897" s="1164"/>
      <c r="R897" s="473"/>
      <c r="S897" s="473"/>
      <c r="T897" s="1164"/>
      <c r="U897" s="1164"/>
      <c r="V897" s="473"/>
      <c r="W897" s="473"/>
      <c r="X897" s="1164"/>
      <c r="Y897" s="473"/>
      <c r="Z897" s="473"/>
      <c r="AA897" s="1164"/>
      <c r="AB897" s="473"/>
      <c r="AC897" s="1164"/>
      <c r="AD897" s="473"/>
      <c r="AE897" s="1164"/>
      <c r="AF897" s="473"/>
      <c r="AG897" s="1164"/>
      <c r="AH897" s="473"/>
      <c r="AI897" s="473"/>
      <c r="AJ897" s="1164"/>
      <c r="AK897" s="473"/>
      <c r="AL897" s="473"/>
      <c r="AM897" s="1164"/>
      <c r="AN897" s="473"/>
      <c r="AO897" s="473"/>
      <c r="AP897" s="1164"/>
      <c r="AQ897" s="473"/>
      <c r="AR897" s="473"/>
      <c r="AS897" s="1236"/>
      <c r="AT897" s="473"/>
      <c r="AU897" s="473"/>
      <c r="AV897" s="1164"/>
      <c r="AW897" s="1164"/>
      <c r="AX897" s="1236"/>
      <c r="AY897" s="473"/>
      <c r="AZ897" s="1236"/>
      <c r="BA897" s="473"/>
      <c r="BB897" s="473"/>
      <c r="BC897" s="1164"/>
      <c r="BD897" s="20"/>
      <c r="BE897" s="473"/>
      <c r="BF897" s="610"/>
      <c r="BG897" s="610"/>
      <c r="BH897" s="610"/>
      <c r="BI897" s="610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</row>
    <row r="898" spans="1:148" s="22" customFormat="1" x14ac:dyDescent="0.25">
      <c r="A898" s="20"/>
      <c r="B898" s="16"/>
      <c r="C898" s="473"/>
      <c r="D898" s="473"/>
      <c r="E898" s="1164"/>
      <c r="F898" s="473"/>
      <c r="G898" s="473"/>
      <c r="H898" s="1164"/>
      <c r="I898" s="473"/>
      <c r="J898" s="473"/>
      <c r="K898" s="1164"/>
      <c r="L898" s="473"/>
      <c r="M898" s="473"/>
      <c r="N898" s="1164"/>
      <c r="O898" s="473"/>
      <c r="P898" s="473"/>
      <c r="Q898" s="1164"/>
      <c r="R898" s="473"/>
      <c r="S898" s="473"/>
      <c r="T898" s="1164"/>
      <c r="U898" s="1164"/>
      <c r="V898" s="473"/>
      <c r="W898" s="473"/>
      <c r="X898" s="1164"/>
      <c r="Y898" s="473"/>
      <c r="Z898" s="473"/>
      <c r="AA898" s="1164"/>
      <c r="AB898" s="473"/>
      <c r="AC898" s="1164"/>
      <c r="AD898" s="473"/>
      <c r="AE898" s="1164"/>
      <c r="AF898" s="473"/>
      <c r="AG898" s="1164"/>
      <c r="AH898" s="473"/>
      <c r="AI898" s="473"/>
      <c r="AJ898" s="1164"/>
      <c r="AK898" s="473"/>
      <c r="AL898" s="473"/>
      <c r="AM898" s="1164"/>
      <c r="AN898" s="473"/>
      <c r="AO898" s="473"/>
      <c r="AP898" s="1164"/>
      <c r="AQ898" s="473"/>
      <c r="AR898" s="473"/>
      <c r="AS898" s="1236"/>
      <c r="AT898" s="473"/>
      <c r="AU898" s="473"/>
      <c r="AV898" s="1164"/>
      <c r="AW898" s="1164"/>
      <c r="AX898" s="1236"/>
      <c r="AY898" s="473"/>
      <c r="AZ898" s="1236"/>
      <c r="BA898" s="473"/>
      <c r="BB898" s="473"/>
      <c r="BC898" s="1164"/>
      <c r="BD898" s="20"/>
      <c r="BE898" s="473"/>
      <c r="BF898" s="610"/>
      <c r="BG898" s="610"/>
      <c r="BH898" s="610"/>
      <c r="BI898" s="610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</row>
    <row r="899" spans="1:148" s="22" customFormat="1" x14ac:dyDescent="0.25">
      <c r="A899" s="20"/>
      <c r="B899" s="16"/>
      <c r="C899" s="473"/>
      <c r="D899" s="473"/>
      <c r="E899" s="1164"/>
      <c r="F899" s="473"/>
      <c r="G899" s="473"/>
      <c r="H899" s="1164"/>
      <c r="I899" s="473"/>
      <c r="J899" s="473"/>
      <c r="K899" s="1164"/>
      <c r="L899" s="473"/>
      <c r="M899" s="473"/>
      <c r="N899" s="1164"/>
      <c r="O899" s="473"/>
      <c r="P899" s="473"/>
      <c r="Q899" s="1164"/>
      <c r="R899" s="473"/>
      <c r="S899" s="473"/>
      <c r="T899" s="1164"/>
      <c r="U899" s="1164"/>
      <c r="V899" s="473"/>
      <c r="W899" s="473"/>
      <c r="X899" s="1164"/>
      <c r="Y899" s="473"/>
      <c r="Z899" s="473"/>
      <c r="AA899" s="1164"/>
      <c r="AB899" s="473"/>
      <c r="AC899" s="1164"/>
      <c r="AD899" s="473"/>
      <c r="AE899" s="1164"/>
      <c r="AF899" s="473"/>
      <c r="AG899" s="1164"/>
      <c r="AH899" s="473"/>
      <c r="AI899" s="473"/>
      <c r="AJ899" s="1164"/>
      <c r="AK899" s="473"/>
      <c r="AL899" s="473"/>
      <c r="AM899" s="1164"/>
      <c r="AN899" s="473"/>
      <c r="AO899" s="473"/>
      <c r="AP899" s="1164"/>
      <c r="AQ899" s="473"/>
      <c r="AR899" s="473"/>
      <c r="AS899" s="1236"/>
      <c r="AT899" s="473"/>
      <c r="AU899" s="473"/>
      <c r="AV899" s="1164"/>
      <c r="AW899" s="1164"/>
      <c r="AX899" s="1236"/>
      <c r="AY899" s="473"/>
      <c r="AZ899" s="1236"/>
      <c r="BA899" s="473"/>
      <c r="BB899" s="473"/>
      <c r="BC899" s="1164"/>
      <c r="BD899" s="20"/>
      <c r="BE899" s="473"/>
      <c r="BF899" s="610"/>
      <c r="BG899" s="610"/>
      <c r="BH899" s="610"/>
      <c r="BI899" s="610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</row>
    <row r="900" spans="1:148" s="22" customFormat="1" x14ac:dyDescent="0.25">
      <c r="A900" s="20"/>
      <c r="B900" s="16"/>
      <c r="C900" s="473"/>
      <c r="D900" s="473"/>
      <c r="E900" s="1164"/>
      <c r="F900" s="473"/>
      <c r="G900" s="473"/>
      <c r="H900" s="1164"/>
      <c r="I900" s="473"/>
      <c r="J900" s="473"/>
      <c r="K900" s="1164"/>
      <c r="L900" s="473"/>
      <c r="M900" s="473"/>
      <c r="N900" s="1164"/>
      <c r="O900" s="473"/>
      <c r="P900" s="473"/>
      <c r="Q900" s="1164"/>
      <c r="R900" s="473"/>
      <c r="S900" s="473"/>
      <c r="T900" s="1164"/>
      <c r="U900" s="1164"/>
      <c r="V900" s="473"/>
      <c r="W900" s="473"/>
      <c r="X900" s="1164"/>
      <c r="Y900" s="473"/>
      <c r="Z900" s="473"/>
      <c r="AA900" s="1164"/>
      <c r="AB900" s="473"/>
      <c r="AC900" s="1164"/>
      <c r="AD900" s="473"/>
      <c r="AE900" s="1164"/>
      <c r="AF900" s="473"/>
      <c r="AG900" s="1164"/>
      <c r="AH900" s="473"/>
      <c r="AI900" s="473"/>
      <c r="AJ900" s="1164"/>
      <c r="AK900" s="473"/>
      <c r="AL900" s="473"/>
      <c r="AM900" s="1164"/>
      <c r="AN900" s="473"/>
      <c r="AO900" s="473"/>
      <c r="AP900" s="1164"/>
      <c r="AQ900" s="473"/>
      <c r="AR900" s="473"/>
      <c r="AS900" s="1236"/>
      <c r="AT900" s="473"/>
      <c r="AU900" s="473"/>
      <c r="AV900" s="1164"/>
      <c r="AW900" s="1164"/>
      <c r="AX900" s="1236"/>
      <c r="AY900" s="473"/>
      <c r="AZ900" s="1236"/>
      <c r="BA900" s="473"/>
      <c r="BB900" s="473"/>
      <c r="BC900" s="1164"/>
      <c r="BD900" s="20"/>
      <c r="BE900" s="473"/>
      <c r="BF900" s="610"/>
      <c r="BG900" s="610"/>
      <c r="BH900" s="610"/>
      <c r="BI900" s="610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</row>
    <row r="901" spans="1:148" s="22" customFormat="1" x14ac:dyDescent="0.25">
      <c r="A901" s="20"/>
      <c r="B901" s="16"/>
      <c r="C901" s="473"/>
      <c r="D901" s="473"/>
      <c r="E901" s="1164"/>
      <c r="F901" s="473"/>
      <c r="G901" s="473"/>
      <c r="H901" s="1164"/>
      <c r="I901" s="473"/>
      <c r="J901" s="473"/>
      <c r="K901" s="1164"/>
      <c r="L901" s="473"/>
      <c r="M901" s="473"/>
      <c r="N901" s="1164"/>
      <c r="O901" s="473"/>
      <c r="P901" s="473"/>
      <c r="Q901" s="1164"/>
      <c r="R901" s="473"/>
      <c r="S901" s="473"/>
      <c r="T901" s="1164"/>
      <c r="U901" s="1164"/>
      <c r="V901" s="473"/>
      <c r="W901" s="473"/>
      <c r="X901" s="1164"/>
      <c r="Y901" s="473"/>
      <c r="Z901" s="473"/>
      <c r="AA901" s="1164"/>
      <c r="AB901" s="473"/>
      <c r="AC901" s="1164"/>
      <c r="AD901" s="473"/>
      <c r="AE901" s="1164"/>
      <c r="AF901" s="473"/>
      <c r="AG901" s="1164"/>
      <c r="AH901" s="473"/>
      <c r="AI901" s="473"/>
      <c r="AJ901" s="1164"/>
      <c r="AK901" s="473"/>
      <c r="AL901" s="473"/>
      <c r="AM901" s="1164"/>
      <c r="AN901" s="473"/>
      <c r="AO901" s="473"/>
      <c r="AP901" s="1164"/>
      <c r="AQ901" s="473"/>
      <c r="AR901" s="473"/>
      <c r="AS901" s="1236"/>
      <c r="AT901" s="473"/>
      <c r="AU901" s="473"/>
      <c r="AV901" s="1164"/>
      <c r="AW901" s="1164"/>
      <c r="AX901" s="1236"/>
      <c r="AY901" s="473"/>
      <c r="AZ901" s="1236"/>
      <c r="BA901" s="473"/>
      <c r="BB901" s="473"/>
      <c r="BC901" s="1164"/>
      <c r="BD901" s="20"/>
      <c r="BE901" s="473"/>
      <c r="BF901" s="610"/>
      <c r="BG901" s="610"/>
      <c r="BH901" s="610"/>
      <c r="BI901" s="610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</row>
    <row r="902" spans="1:148" s="22" customFormat="1" x14ac:dyDescent="0.25">
      <c r="A902" s="20"/>
      <c r="B902" s="16"/>
      <c r="C902" s="473"/>
      <c r="D902" s="473"/>
      <c r="E902" s="1164"/>
      <c r="F902" s="473"/>
      <c r="G902" s="473"/>
      <c r="H902" s="1164"/>
      <c r="I902" s="473"/>
      <c r="J902" s="473"/>
      <c r="K902" s="1164"/>
      <c r="L902" s="473"/>
      <c r="M902" s="473"/>
      <c r="N902" s="1164"/>
      <c r="O902" s="473"/>
      <c r="P902" s="473"/>
      <c r="Q902" s="1164"/>
      <c r="R902" s="473"/>
      <c r="S902" s="473"/>
      <c r="T902" s="1164"/>
      <c r="U902" s="1164"/>
      <c r="V902" s="473"/>
      <c r="W902" s="473"/>
      <c r="X902" s="1164"/>
      <c r="Y902" s="473"/>
      <c r="Z902" s="473"/>
      <c r="AA902" s="1164"/>
      <c r="AB902" s="473"/>
      <c r="AC902" s="1164"/>
      <c r="AD902" s="473"/>
      <c r="AE902" s="1164"/>
      <c r="AF902" s="473"/>
      <c r="AG902" s="1164"/>
      <c r="AH902" s="473"/>
      <c r="AI902" s="473"/>
      <c r="AJ902" s="1164"/>
      <c r="AK902" s="473"/>
      <c r="AL902" s="473"/>
      <c r="AM902" s="1164"/>
      <c r="AN902" s="473"/>
      <c r="AO902" s="473"/>
      <c r="AP902" s="1164"/>
      <c r="AQ902" s="473"/>
      <c r="AR902" s="473"/>
      <c r="AS902" s="1236"/>
      <c r="AT902" s="473"/>
      <c r="AU902" s="473"/>
      <c r="AV902" s="1164"/>
      <c r="AW902" s="1164"/>
      <c r="AX902" s="1236"/>
      <c r="AY902" s="473"/>
      <c r="AZ902" s="1236"/>
      <c r="BA902" s="473"/>
      <c r="BB902" s="473"/>
      <c r="BC902" s="1164"/>
      <c r="BD902" s="20"/>
      <c r="BE902" s="473"/>
      <c r="BF902" s="610"/>
      <c r="BG902" s="610"/>
      <c r="BH902" s="610"/>
      <c r="BI902" s="610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</row>
    <row r="903" spans="1:148" s="22" customFormat="1" x14ac:dyDescent="0.25">
      <c r="A903" s="20"/>
      <c r="B903" s="16"/>
      <c r="C903" s="473"/>
      <c r="D903" s="473"/>
      <c r="E903" s="1164"/>
      <c r="F903" s="473"/>
      <c r="G903" s="473"/>
      <c r="H903" s="1164"/>
      <c r="I903" s="473"/>
      <c r="J903" s="473"/>
      <c r="K903" s="1164"/>
      <c r="L903" s="473"/>
      <c r="M903" s="473"/>
      <c r="N903" s="1164"/>
      <c r="O903" s="473"/>
      <c r="P903" s="473"/>
      <c r="Q903" s="1164"/>
      <c r="R903" s="473"/>
      <c r="S903" s="473"/>
      <c r="T903" s="1164"/>
      <c r="U903" s="1164"/>
      <c r="V903" s="473"/>
      <c r="W903" s="473"/>
      <c r="X903" s="1164"/>
      <c r="Y903" s="473"/>
      <c r="Z903" s="473"/>
      <c r="AA903" s="1164"/>
      <c r="AB903" s="473"/>
      <c r="AC903" s="1164"/>
      <c r="AD903" s="473"/>
      <c r="AE903" s="1164"/>
      <c r="AF903" s="473"/>
      <c r="AG903" s="1164"/>
      <c r="AH903" s="473"/>
      <c r="AI903" s="473"/>
      <c r="AJ903" s="1164"/>
      <c r="AK903" s="473"/>
      <c r="AL903" s="473"/>
      <c r="AM903" s="1164"/>
      <c r="AN903" s="473"/>
      <c r="AO903" s="473"/>
      <c r="AP903" s="1164"/>
      <c r="AQ903" s="473"/>
      <c r="AR903" s="473"/>
      <c r="AS903" s="1236"/>
      <c r="AT903" s="473"/>
      <c r="AU903" s="473"/>
      <c r="AV903" s="1164"/>
      <c r="AW903" s="1164"/>
      <c r="AX903" s="1236"/>
      <c r="AY903" s="473"/>
      <c r="AZ903" s="1236"/>
      <c r="BA903" s="473"/>
      <c r="BB903" s="473"/>
      <c r="BC903" s="1164"/>
      <c r="BD903" s="20"/>
      <c r="BE903" s="473"/>
      <c r="BF903" s="610"/>
      <c r="BG903" s="610"/>
      <c r="BH903" s="610"/>
      <c r="BI903" s="610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</row>
    <row r="904" spans="1:148" s="22" customFormat="1" x14ac:dyDescent="0.25">
      <c r="A904" s="20"/>
      <c r="B904" s="16"/>
      <c r="C904" s="473"/>
      <c r="D904" s="473"/>
      <c r="E904" s="1164"/>
      <c r="F904" s="473"/>
      <c r="G904" s="473"/>
      <c r="H904" s="1164"/>
      <c r="I904" s="473"/>
      <c r="J904" s="473"/>
      <c r="K904" s="1164"/>
      <c r="L904" s="473"/>
      <c r="M904" s="473"/>
      <c r="N904" s="1164"/>
      <c r="O904" s="473"/>
      <c r="P904" s="473"/>
      <c r="Q904" s="1164"/>
      <c r="R904" s="473"/>
      <c r="S904" s="473"/>
      <c r="T904" s="1164"/>
      <c r="U904" s="1164"/>
      <c r="V904" s="473"/>
      <c r="W904" s="473"/>
      <c r="X904" s="1164"/>
      <c r="Y904" s="473"/>
      <c r="Z904" s="473"/>
      <c r="AA904" s="1164"/>
      <c r="AB904" s="473"/>
      <c r="AC904" s="1164"/>
      <c r="AD904" s="473"/>
      <c r="AE904" s="1164"/>
      <c r="AF904" s="473"/>
      <c r="AG904" s="1164"/>
      <c r="AH904" s="473"/>
      <c r="AI904" s="473"/>
      <c r="AJ904" s="1164"/>
      <c r="AK904" s="473"/>
      <c r="AL904" s="473"/>
      <c r="AM904" s="1164"/>
      <c r="AN904" s="473"/>
      <c r="AO904" s="473"/>
      <c r="AP904" s="1164"/>
      <c r="AQ904" s="473"/>
      <c r="AR904" s="473"/>
      <c r="AS904" s="1236"/>
      <c r="AT904" s="473"/>
      <c r="AU904" s="473"/>
      <c r="AV904" s="1164"/>
      <c r="AW904" s="1164"/>
      <c r="AX904" s="1236"/>
      <c r="AY904" s="473"/>
      <c r="AZ904" s="1236"/>
      <c r="BA904" s="473"/>
      <c r="BB904" s="473"/>
      <c r="BC904" s="1164"/>
      <c r="BD904" s="20"/>
      <c r="BE904" s="473"/>
      <c r="BF904" s="610"/>
      <c r="BG904" s="610"/>
      <c r="BH904" s="610"/>
      <c r="BI904" s="610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</row>
    <row r="905" spans="1:148" s="22" customFormat="1" x14ac:dyDescent="0.25">
      <c r="A905" s="20"/>
      <c r="B905" s="16"/>
      <c r="C905" s="473"/>
      <c r="D905" s="473"/>
      <c r="E905" s="1164"/>
      <c r="F905" s="473"/>
      <c r="G905" s="473"/>
      <c r="H905" s="1164"/>
      <c r="I905" s="473"/>
      <c r="J905" s="473"/>
      <c r="K905" s="1164"/>
      <c r="L905" s="473"/>
      <c r="M905" s="473"/>
      <c r="N905" s="1164"/>
      <c r="O905" s="473"/>
      <c r="P905" s="473"/>
      <c r="Q905" s="1164"/>
      <c r="R905" s="473"/>
      <c r="S905" s="473"/>
      <c r="T905" s="1164"/>
      <c r="U905" s="1164"/>
      <c r="V905" s="473"/>
      <c r="W905" s="473"/>
      <c r="X905" s="1164"/>
      <c r="Y905" s="473"/>
      <c r="Z905" s="473"/>
      <c r="AA905" s="1164"/>
      <c r="AB905" s="473"/>
      <c r="AC905" s="1164"/>
      <c r="AD905" s="473"/>
      <c r="AE905" s="1164"/>
      <c r="AF905" s="473"/>
      <c r="AG905" s="1164"/>
      <c r="AH905" s="473"/>
      <c r="AI905" s="473"/>
      <c r="AJ905" s="1164"/>
      <c r="AK905" s="473"/>
      <c r="AL905" s="473"/>
      <c r="AM905" s="1164"/>
      <c r="AN905" s="473"/>
      <c r="AO905" s="473"/>
      <c r="AP905" s="1164"/>
      <c r="AQ905" s="473"/>
      <c r="AR905" s="473"/>
      <c r="AS905" s="1236"/>
      <c r="AT905" s="473"/>
      <c r="AU905" s="473"/>
      <c r="AV905" s="1164"/>
      <c r="AW905" s="1164"/>
      <c r="AX905" s="1236"/>
      <c r="AY905" s="473"/>
      <c r="AZ905" s="1236"/>
      <c r="BA905" s="473"/>
      <c r="BB905" s="473"/>
      <c r="BC905" s="1164"/>
      <c r="BD905" s="20"/>
      <c r="BE905" s="473"/>
      <c r="BF905" s="610"/>
      <c r="BG905" s="610"/>
      <c r="BH905" s="610"/>
      <c r="BI905" s="610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</row>
    <row r="906" spans="1:148" s="22" customFormat="1" x14ac:dyDescent="0.25">
      <c r="A906" s="20"/>
      <c r="B906" s="16"/>
      <c r="C906" s="473"/>
      <c r="D906" s="473"/>
      <c r="E906" s="1164"/>
      <c r="F906" s="473"/>
      <c r="G906" s="473"/>
      <c r="H906" s="1164"/>
      <c r="I906" s="473"/>
      <c r="J906" s="473"/>
      <c r="K906" s="1164"/>
      <c r="L906" s="473"/>
      <c r="M906" s="473"/>
      <c r="N906" s="1164"/>
      <c r="O906" s="473"/>
      <c r="P906" s="473"/>
      <c r="Q906" s="1164"/>
      <c r="R906" s="473"/>
      <c r="S906" s="473"/>
      <c r="T906" s="1164"/>
      <c r="U906" s="1164"/>
      <c r="V906" s="473"/>
      <c r="W906" s="473"/>
      <c r="X906" s="1164"/>
      <c r="Y906" s="473"/>
      <c r="Z906" s="473"/>
      <c r="AA906" s="1164"/>
      <c r="AB906" s="473"/>
      <c r="AC906" s="1164"/>
      <c r="AD906" s="473"/>
      <c r="AE906" s="1164"/>
      <c r="AF906" s="473"/>
      <c r="AG906" s="1164"/>
      <c r="AH906" s="473"/>
      <c r="AI906" s="473"/>
      <c r="AJ906" s="1164"/>
      <c r="AK906" s="473"/>
      <c r="AL906" s="473"/>
      <c r="AM906" s="1164"/>
      <c r="AN906" s="473"/>
      <c r="AO906" s="473"/>
      <c r="AP906" s="1164"/>
      <c r="AQ906" s="473"/>
      <c r="AR906" s="473"/>
      <c r="AS906" s="1236"/>
      <c r="AT906" s="473"/>
      <c r="AU906" s="473"/>
      <c r="AV906" s="1164"/>
      <c r="AW906" s="1164"/>
      <c r="AX906" s="1236"/>
      <c r="AY906" s="473"/>
      <c r="AZ906" s="1236"/>
      <c r="BA906" s="473"/>
      <c r="BB906" s="473"/>
      <c r="BC906" s="1164"/>
      <c r="BD906" s="20"/>
      <c r="BE906" s="473"/>
      <c r="BF906" s="610"/>
      <c r="BG906" s="610"/>
      <c r="BH906" s="610"/>
      <c r="BI906" s="610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</row>
    <row r="907" spans="1:148" s="22" customFormat="1" x14ac:dyDescent="0.25">
      <c r="A907" s="20"/>
      <c r="B907" s="16"/>
      <c r="C907" s="473"/>
      <c r="D907" s="473"/>
      <c r="E907" s="1164"/>
      <c r="F907" s="473"/>
      <c r="G907" s="473"/>
      <c r="H907" s="1164"/>
      <c r="I907" s="473"/>
      <c r="J907" s="473"/>
      <c r="K907" s="1164"/>
      <c r="L907" s="473"/>
      <c r="M907" s="473"/>
      <c r="N907" s="1164"/>
      <c r="O907" s="473"/>
      <c r="P907" s="473"/>
      <c r="Q907" s="1164"/>
      <c r="R907" s="473"/>
      <c r="S907" s="473"/>
      <c r="T907" s="1164"/>
      <c r="U907" s="1164"/>
      <c r="V907" s="473"/>
      <c r="W907" s="473"/>
      <c r="X907" s="1164"/>
      <c r="Y907" s="473"/>
      <c r="Z907" s="473"/>
      <c r="AA907" s="1164"/>
      <c r="AB907" s="473"/>
      <c r="AC907" s="1164"/>
      <c r="AD907" s="473"/>
      <c r="AE907" s="1164"/>
      <c r="AF907" s="473"/>
      <c r="AG907" s="1164"/>
      <c r="AH907" s="473"/>
      <c r="AI907" s="473"/>
      <c r="AJ907" s="1164"/>
      <c r="AK907" s="473"/>
      <c r="AL907" s="473"/>
      <c r="AM907" s="1164"/>
      <c r="AN907" s="473"/>
      <c r="AO907" s="473"/>
      <c r="AP907" s="1164"/>
      <c r="AQ907" s="473"/>
      <c r="AR907" s="473"/>
      <c r="AS907" s="1236"/>
      <c r="AT907" s="473"/>
      <c r="AU907" s="473"/>
      <c r="AV907" s="1164"/>
      <c r="AW907" s="1164"/>
      <c r="AX907" s="1236"/>
      <c r="AY907" s="473"/>
      <c r="AZ907" s="1236"/>
      <c r="BA907" s="473"/>
      <c r="BB907" s="473"/>
      <c r="BC907" s="1164"/>
      <c r="BD907" s="20"/>
      <c r="BE907" s="473"/>
      <c r="BF907" s="610"/>
      <c r="BG907" s="610"/>
      <c r="BH907" s="610"/>
      <c r="BI907" s="610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</row>
    <row r="908" spans="1:148" s="22" customFormat="1" x14ac:dyDescent="0.25">
      <c r="A908" s="20"/>
      <c r="B908" s="16"/>
      <c r="C908" s="473"/>
      <c r="D908" s="473"/>
      <c r="E908" s="1164"/>
      <c r="F908" s="473"/>
      <c r="G908" s="473"/>
      <c r="H908" s="1164"/>
      <c r="I908" s="473"/>
      <c r="J908" s="473"/>
      <c r="K908" s="1164"/>
      <c r="L908" s="473"/>
      <c r="M908" s="473"/>
      <c r="N908" s="1164"/>
      <c r="O908" s="473"/>
      <c r="P908" s="473"/>
      <c r="Q908" s="1164"/>
      <c r="R908" s="473"/>
      <c r="S908" s="473"/>
      <c r="T908" s="1164"/>
      <c r="U908" s="1164"/>
      <c r="V908" s="473"/>
      <c r="W908" s="473"/>
      <c r="X908" s="1164"/>
      <c r="Y908" s="473"/>
      <c r="Z908" s="473"/>
      <c r="AA908" s="1164"/>
      <c r="AB908" s="473"/>
      <c r="AC908" s="1164"/>
      <c r="AD908" s="473"/>
      <c r="AE908" s="1164"/>
      <c r="AF908" s="473"/>
      <c r="AG908" s="1164"/>
      <c r="AH908" s="473"/>
      <c r="AI908" s="473"/>
      <c r="AJ908" s="1164"/>
      <c r="AK908" s="473"/>
      <c r="AL908" s="473"/>
      <c r="AM908" s="1164"/>
      <c r="AN908" s="473"/>
      <c r="AO908" s="473"/>
      <c r="AP908" s="1164"/>
      <c r="AQ908" s="473"/>
      <c r="AR908" s="473"/>
      <c r="AS908" s="1236"/>
      <c r="AT908" s="473"/>
      <c r="AU908" s="473"/>
      <c r="AV908" s="1164"/>
      <c r="AW908" s="1164"/>
      <c r="AX908" s="1236"/>
      <c r="AY908" s="473"/>
      <c r="AZ908" s="1236"/>
      <c r="BA908" s="473"/>
      <c r="BB908" s="473"/>
      <c r="BC908" s="1164"/>
      <c r="BD908" s="20"/>
      <c r="BE908" s="473"/>
      <c r="BF908" s="610"/>
      <c r="BG908" s="610"/>
      <c r="BH908" s="610"/>
      <c r="BI908" s="610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</row>
    <row r="909" spans="1:148" s="22" customFormat="1" x14ac:dyDescent="0.25">
      <c r="A909" s="20"/>
      <c r="B909" s="16"/>
      <c r="C909" s="473"/>
      <c r="D909" s="473"/>
      <c r="E909" s="1164"/>
      <c r="F909" s="473"/>
      <c r="G909" s="473"/>
      <c r="H909" s="1164"/>
      <c r="I909" s="473"/>
      <c r="J909" s="473"/>
      <c r="K909" s="1164"/>
      <c r="L909" s="473"/>
      <c r="M909" s="473"/>
      <c r="N909" s="1164"/>
      <c r="O909" s="473"/>
      <c r="P909" s="473"/>
      <c r="Q909" s="1164"/>
      <c r="R909" s="473"/>
      <c r="S909" s="473"/>
      <c r="T909" s="1164"/>
      <c r="U909" s="1164"/>
      <c r="V909" s="473"/>
      <c r="W909" s="473"/>
      <c r="X909" s="1164"/>
      <c r="Y909" s="473"/>
      <c r="Z909" s="473"/>
      <c r="AA909" s="1164"/>
      <c r="AB909" s="473"/>
      <c r="AC909" s="1164"/>
      <c r="AD909" s="473"/>
      <c r="AE909" s="1164"/>
      <c r="AF909" s="473"/>
      <c r="AG909" s="1164"/>
      <c r="AH909" s="473"/>
      <c r="AI909" s="473"/>
      <c r="AJ909" s="1164"/>
      <c r="AK909" s="473"/>
      <c r="AL909" s="473"/>
      <c r="AM909" s="1164"/>
      <c r="AN909" s="473"/>
      <c r="AO909" s="473"/>
      <c r="AP909" s="1164"/>
      <c r="AQ909" s="473"/>
      <c r="AR909" s="473"/>
      <c r="AS909" s="1236"/>
      <c r="AT909" s="473"/>
      <c r="AU909" s="473"/>
      <c r="AV909" s="1164"/>
      <c r="AW909" s="1164"/>
      <c r="AX909" s="1236"/>
      <c r="AY909" s="473"/>
      <c r="AZ909" s="1236"/>
      <c r="BA909" s="473"/>
      <c r="BB909" s="473"/>
      <c r="BC909" s="1164"/>
      <c r="BD909" s="20"/>
      <c r="BE909" s="473"/>
      <c r="BF909" s="610"/>
      <c r="BG909" s="610"/>
      <c r="BH909" s="610"/>
      <c r="BI909" s="610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</row>
    <row r="910" spans="1:148" s="22" customFormat="1" x14ac:dyDescent="0.25">
      <c r="A910" s="20"/>
      <c r="B910" s="16"/>
      <c r="C910" s="473"/>
      <c r="D910" s="473"/>
      <c r="E910" s="1164"/>
      <c r="F910" s="473"/>
      <c r="G910" s="473"/>
      <c r="H910" s="1164"/>
      <c r="I910" s="473"/>
      <c r="J910" s="473"/>
      <c r="K910" s="1164"/>
      <c r="L910" s="473"/>
      <c r="M910" s="473"/>
      <c r="N910" s="1164"/>
      <c r="O910" s="473"/>
      <c r="P910" s="473"/>
      <c r="Q910" s="1164"/>
      <c r="R910" s="473"/>
      <c r="S910" s="473"/>
      <c r="T910" s="1164"/>
      <c r="U910" s="1164"/>
      <c r="V910" s="473"/>
      <c r="W910" s="473"/>
      <c r="X910" s="1164"/>
      <c r="Y910" s="473"/>
      <c r="Z910" s="473"/>
      <c r="AA910" s="1164"/>
      <c r="AB910" s="473"/>
      <c r="AC910" s="1164"/>
      <c r="AD910" s="473"/>
      <c r="AE910" s="1164"/>
      <c r="AF910" s="473"/>
      <c r="AG910" s="1164"/>
      <c r="AH910" s="473"/>
      <c r="AI910" s="473"/>
      <c r="AJ910" s="1164"/>
      <c r="AK910" s="473"/>
      <c r="AL910" s="473"/>
      <c r="AM910" s="1164"/>
      <c r="AN910" s="473"/>
      <c r="AO910" s="473"/>
      <c r="AP910" s="1164"/>
      <c r="AQ910" s="473"/>
      <c r="AR910" s="473"/>
      <c r="AS910" s="1236"/>
      <c r="AT910" s="473"/>
      <c r="AU910" s="473"/>
      <c r="AV910" s="1164"/>
      <c r="AW910" s="1164"/>
      <c r="AX910" s="1236"/>
      <c r="AY910" s="473"/>
      <c r="AZ910" s="1236"/>
      <c r="BA910" s="473"/>
      <c r="BB910" s="473"/>
      <c r="BC910" s="1164"/>
      <c r="BD910" s="20"/>
      <c r="BE910" s="473"/>
      <c r="BF910" s="610"/>
      <c r="BG910" s="610"/>
      <c r="BH910" s="610"/>
      <c r="BI910" s="610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</row>
    <row r="911" spans="1:148" s="22" customFormat="1" x14ac:dyDescent="0.25">
      <c r="A911" s="20"/>
      <c r="B911" s="16"/>
      <c r="C911" s="473"/>
      <c r="D911" s="473"/>
      <c r="E911" s="1164"/>
      <c r="F911" s="473"/>
      <c r="G911" s="473"/>
      <c r="H911" s="1164"/>
      <c r="I911" s="473"/>
      <c r="J911" s="473"/>
      <c r="K911" s="1164"/>
      <c r="L911" s="473"/>
      <c r="M911" s="473"/>
      <c r="N911" s="1164"/>
      <c r="O911" s="473"/>
      <c r="P911" s="473"/>
      <c r="Q911" s="1164"/>
      <c r="R911" s="473"/>
      <c r="S911" s="473"/>
      <c r="T911" s="1164"/>
      <c r="U911" s="1164"/>
      <c r="V911" s="473"/>
      <c r="W911" s="473"/>
      <c r="X911" s="1164"/>
      <c r="Y911" s="473"/>
      <c r="Z911" s="473"/>
      <c r="AA911" s="1164"/>
      <c r="AB911" s="473"/>
      <c r="AC911" s="1164"/>
      <c r="AD911" s="473"/>
      <c r="AE911" s="1164"/>
      <c r="AF911" s="473"/>
      <c r="AG911" s="1164"/>
      <c r="AH911" s="473"/>
      <c r="AI911" s="473"/>
      <c r="AJ911" s="1164"/>
      <c r="AK911" s="473"/>
      <c r="AL911" s="473"/>
      <c r="AM911" s="1164"/>
      <c r="AN911" s="473"/>
      <c r="AO911" s="473"/>
      <c r="AP911" s="1164"/>
      <c r="AQ911" s="473"/>
      <c r="AR911" s="473"/>
      <c r="AS911" s="1236"/>
      <c r="AT911" s="473"/>
      <c r="AU911" s="473"/>
      <c r="AV911" s="1164"/>
      <c r="AW911" s="1164"/>
      <c r="AX911" s="1236"/>
      <c r="AY911" s="473"/>
      <c r="AZ911" s="1236"/>
      <c r="BA911" s="473"/>
      <c r="BB911" s="473"/>
      <c r="BC911" s="1164"/>
      <c r="BD911" s="20"/>
      <c r="BE911" s="473"/>
      <c r="BF911" s="610"/>
      <c r="BG911" s="610"/>
      <c r="BH911" s="610"/>
      <c r="BI911" s="610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</row>
    <row r="912" spans="1:148" s="22" customFormat="1" x14ac:dyDescent="0.25">
      <c r="A912" s="20"/>
      <c r="B912" s="16"/>
      <c r="C912" s="473"/>
      <c r="D912" s="473"/>
      <c r="E912" s="1164"/>
      <c r="F912" s="473"/>
      <c r="G912" s="473"/>
      <c r="H912" s="1164"/>
      <c r="I912" s="473"/>
      <c r="J912" s="473"/>
      <c r="K912" s="1164"/>
      <c r="L912" s="473"/>
      <c r="M912" s="473"/>
      <c r="N912" s="1164"/>
      <c r="O912" s="473"/>
      <c r="P912" s="473"/>
      <c r="Q912" s="1164"/>
      <c r="R912" s="473"/>
      <c r="S912" s="473"/>
      <c r="T912" s="1164"/>
      <c r="U912" s="1164"/>
      <c r="V912" s="473"/>
      <c r="W912" s="473"/>
      <c r="X912" s="1164"/>
      <c r="Y912" s="473"/>
      <c r="Z912" s="473"/>
      <c r="AA912" s="1164"/>
      <c r="AB912" s="473"/>
      <c r="AC912" s="1164"/>
      <c r="AD912" s="473"/>
      <c r="AE912" s="1164"/>
      <c r="AF912" s="473"/>
      <c r="AG912" s="1164"/>
      <c r="AH912" s="473"/>
      <c r="AI912" s="473"/>
      <c r="AJ912" s="1164"/>
      <c r="AK912" s="473"/>
      <c r="AL912" s="473"/>
      <c r="AM912" s="1164"/>
      <c r="AN912" s="473"/>
      <c r="AO912" s="473"/>
      <c r="AP912" s="1164"/>
      <c r="AQ912" s="473"/>
      <c r="AR912" s="473"/>
      <c r="AS912" s="1236"/>
      <c r="AT912" s="473"/>
      <c r="AU912" s="473"/>
      <c r="AV912" s="1164"/>
      <c r="AW912" s="1164"/>
      <c r="AX912" s="1236"/>
      <c r="AY912" s="473"/>
      <c r="AZ912" s="1236"/>
      <c r="BA912" s="473"/>
      <c r="BB912" s="473"/>
      <c r="BC912" s="1164"/>
      <c r="BD912" s="20"/>
      <c r="BE912" s="473"/>
      <c r="BF912" s="610"/>
      <c r="BG912" s="610"/>
      <c r="BH912" s="610"/>
      <c r="BI912" s="610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</row>
    <row r="913" spans="1:148" s="22" customFormat="1" x14ac:dyDescent="0.25">
      <c r="A913" s="20"/>
      <c r="B913" s="16"/>
      <c r="C913" s="473"/>
      <c r="D913" s="473"/>
      <c r="E913" s="1164"/>
      <c r="F913" s="473"/>
      <c r="G913" s="473"/>
      <c r="H913" s="1164"/>
      <c r="I913" s="473"/>
      <c r="J913" s="473"/>
      <c r="K913" s="1164"/>
      <c r="L913" s="473"/>
      <c r="M913" s="473"/>
      <c r="N913" s="1164"/>
      <c r="O913" s="473"/>
      <c r="P913" s="473"/>
      <c r="Q913" s="1164"/>
      <c r="R913" s="473"/>
      <c r="S913" s="473"/>
      <c r="T913" s="1164"/>
      <c r="U913" s="1164"/>
      <c r="V913" s="473"/>
      <c r="W913" s="473"/>
      <c r="X913" s="1164"/>
      <c r="Y913" s="473"/>
      <c r="Z913" s="473"/>
      <c r="AA913" s="1164"/>
      <c r="AB913" s="473"/>
      <c r="AC913" s="1164"/>
      <c r="AD913" s="473"/>
      <c r="AE913" s="1164"/>
      <c r="AF913" s="473"/>
      <c r="AG913" s="1164"/>
      <c r="AH913" s="473"/>
      <c r="AI913" s="473"/>
      <c r="AJ913" s="1164"/>
      <c r="AK913" s="473"/>
      <c r="AL913" s="473"/>
      <c r="AM913" s="1164"/>
      <c r="AN913" s="473"/>
      <c r="AO913" s="473"/>
      <c r="AP913" s="1164"/>
      <c r="AQ913" s="473"/>
      <c r="AR913" s="473"/>
      <c r="AS913" s="1236"/>
      <c r="AT913" s="473"/>
      <c r="AU913" s="473"/>
      <c r="AV913" s="1164"/>
      <c r="AW913" s="1164"/>
      <c r="AX913" s="1236"/>
      <c r="AY913" s="473"/>
      <c r="AZ913" s="1236"/>
      <c r="BA913" s="473"/>
      <c r="BB913" s="473"/>
      <c r="BC913" s="1164"/>
      <c r="BD913" s="20"/>
      <c r="BE913" s="473"/>
      <c r="BF913" s="610"/>
      <c r="BG913" s="610"/>
      <c r="BH913" s="610"/>
      <c r="BI913" s="610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</row>
    <row r="914" spans="1:148" s="22" customFormat="1" x14ac:dyDescent="0.25">
      <c r="A914" s="20"/>
      <c r="B914" s="16"/>
      <c r="C914" s="473"/>
      <c r="D914" s="473"/>
      <c r="E914" s="1164"/>
      <c r="F914" s="473"/>
      <c r="G914" s="473"/>
      <c r="H914" s="1164"/>
      <c r="I914" s="473"/>
      <c r="J914" s="473"/>
      <c r="K914" s="1164"/>
      <c r="L914" s="473"/>
      <c r="M914" s="473"/>
      <c r="N914" s="1164"/>
      <c r="O914" s="473"/>
      <c r="P914" s="473"/>
      <c r="Q914" s="1164"/>
      <c r="R914" s="473"/>
      <c r="S914" s="473"/>
      <c r="T914" s="1164"/>
      <c r="U914" s="1164"/>
      <c r="V914" s="473"/>
      <c r="W914" s="473"/>
      <c r="X914" s="1164"/>
      <c r="Y914" s="473"/>
      <c r="Z914" s="473"/>
      <c r="AA914" s="1164"/>
      <c r="AB914" s="473"/>
      <c r="AC914" s="1164"/>
      <c r="AD914" s="473"/>
      <c r="AE914" s="1164"/>
      <c r="AF914" s="473"/>
      <c r="AG914" s="1164"/>
      <c r="AH914" s="473"/>
      <c r="AI914" s="473"/>
      <c r="AJ914" s="1164"/>
      <c r="AK914" s="473"/>
      <c r="AL914" s="473"/>
      <c r="AM914" s="1164"/>
      <c r="AN914" s="473"/>
      <c r="AO914" s="473"/>
      <c r="AP914" s="1164"/>
      <c r="AQ914" s="473"/>
      <c r="AR914" s="473"/>
      <c r="AS914" s="1236"/>
      <c r="AT914" s="473"/>
      <c r="AU914" s="473"/>
      <c r="AV914" s="1164"/>
      <c r="AW914" s="1164"/>
      <c r="AX914" s="1236"/>
      <c r="AY914" s="473"/>
      <c r="AZ914" s="1236"/>
      <c r="BA914" s="473"/>
      <c r="BB914" s="473"/>
      <c r="BC914" s="1164"/>
      <c r="BD914" s="20"/>
      <c r="BE914" s="473"/>
      <c r="BF914" s="610"/>
      <c r="BG914" s="610"/>
      <c r="BH914" s="610"/>
      <c r="BI914" s="610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</row>
    <row r="915" spans="1:148" s="22" customFormat="1" x14ac:dyDescent="0.25">
      <c r="A915" s="20"/>
      <c r="B915" s="16"/>
      <c r="C915" s="473"/>
      <c r="D915" s="473"/>
      <c r="E915" s="1164"/>
      <c r="F915" s="473"/>
      <c r="G915" s="473"/>
      <c r="H915" s="1164"/>
      <c r="I915" s="473"/>
      <c r="J915" s="473"/>
      <c r="K915" s="1164"/>
      <c r="L915" s="473"/>
      <c r="M915" s="473"/>
      <c r="N915" s="1164"/>
      <c r="O915" s="473"/>
      <c r="P915" s="473"/>
      <c r="Q915" s="1164"/>
      <c r="R915" s="473"/>
      <c r="S915" s="473"/>
      <c r="T915" s="1164"/>
      <c r="U915" s="1164"/>
      <c r="V915" s="473"/>
      <c r="W915" s="473"/>
      <c r="X915" s="1164"/>
      <c r="Y915" s="473"/>
      <c r="Z915" s="473"/>
      <c r="AA915" s="1164"/>
      <c r="AB915" s="473"/>
      <c r="AC915" s="1164"/>
      <c r="AD915" s="473"/>
      <c r="AE915" s="1164"/>
      <c r="AF915" s="473"/>
      <c r="AG915" s="1164"/>
      <c r="AH915" s="473"/>
      <c r="AI915" s="473"/>
      <c r="AJ915" s="1164"/>
      <c r="AK915" s="473"/>
      <c r="AL915" s="473"/>
      <c r="AM915" s="1164"/>
      <c r="AN915" s="473"/>
      <c r="AO915" s="473"/>
      <c r="AP915" s="1164"/>
      <c r="AQ915" s="473"/>
      <c r="AR915" s="473"/>
      <c r="AS915" s="1236"/>
      <c r="AT915" s="473"/>
      <c r="AU915" s="473"/>
      <c r="AV915" s="1164"/>
      <c r="AW915" s="1164"/>
      <c r="AX915" s="1236"/>
      <c r="AY915" s="473"/>
      <c r="AZ915" s="1236"/>
      <c r="BA915" s="473"/>
      <c r="BB915" s="473"/>
      <c r="BC915" s="1164"/>
      <c r="BD915" s="20"/>
      <c r="BE915" s="473"/>
      <c r="BF915" s="610"/>
      <c r="BG915" s="610"/>
      <c r="BH915" s="610"/>
      <c r="BI915" s="610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</row>
    <row r="916" spans="1:148" s="22" customFormat="1" x14ac:dyDescent="0.25">
      <c r="A916" s="20"/>
      <c r="B916" s="16"/>
      <c r="C916" s="473"/>
      <c r="D916" s="473"/>
      <c r="E916" s="1164"/>
      <c r="F916" s="473"/>
      <c r="G916" s="473"/>
      <c r="H916" s="1164"/>
      <c r="I916" s="473"/>
      <c r="J916" s="473"/>
      <c r="K916" s="1164"/>
      <c r="L916" s="473"/>
      <c r="M916" s="473"/>
      <c r="N916" s="1164"/>
      <c r="O916" s="473"/>
      <c r="P916" s="473"/>
      <c r="Q916" s="1164"/>
      <c r="R916" s="473"/>
      <c r="S916" s="473"/>
      <c r="T916" s="1164"/>
      <c r="U916" s="1164"/>
      <c r="V916" s="473"/>
      <c r="W916" s="473"/>
      <c r="X916" s="1164"/>
      <c r="Y916" s="473"/>
      <c r="Z916" s="473"/>
      <c r="AA916" s="1164"/>
      <c r="AB916" s="473"/>
      <c r="AC916" s="1164"/>
      <c r="AD916" s="473"/>
      <c r="AE916" s="1164"/>
      <c r="AF916" s="473"/>
      <c r="AG916" s="1164"/>
      <c r="AH916" s="473"/>
      <c r="AI916" s="473"/>
      <c r="AJ916" s="1164"/>
      <c r="AK916" s="473"/>
      <c r="AL916" s="473"/>
      <c r="AM916" s="1164"/>
      <c r="AN916" s="473"/>
      <c r="AO916" s="473"/>
      <c r="AP916" s="1164"/>
      <c r="AQ916" s="473"/>
      <c r="AR916" s="473"/>
      <c r="AS916" s="1236"/>
      <c r="AT916" s="473"/>
      <c r="AU916" s="473"/>
      <c r="AV916" s="1164"/>
      <c r="AW916" s="1164"/>
      <c r="AX916" s="1236"/>
      <c r="AY916" s="473"/>
      <c r="AZ916" s="1236"/>
      <c r="BA916" s="473"/>
      <c r="BB916" s="473"/>
      <c r="BC916" s="1164"/>
      <c r="BD916" s="20"/>
      <c r="BE916" s="473"/>
      <c r="BF916" s="610"/>
      <c r="BG916" s="610"/>
      <c r="BH916" s="610"/>
      <c r="BI916" s="610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</row>
    <row r="917" spans="1:148" s="22" customFormat="1" x14ac:dyDescent="0.25">
      <c r="A917" s="20"/>
      <c r="B917" s="16"/>
      <c r="C917" s="473"/>
      <c r="D917" s="473"/>
      <c r="E917" s="1164"/>
      <c r="F917" s="473"/>
      <c r="G917" s="473"/>
      <c r="H917" s="1164"/>
      <c r="I917" s="473"/>
      <c r="J917" s="473"/>
      <c r="K917" s="1164"/>
      <c r="L917" s="473"/>
      <c r="M917" s="473"/>
      <c r="N917" s="1164"/>
      <c r="O917" s="473"/>
      <c r="P917" s="473"/>
      <c r="Q917" s="1164"/>
      <c r="R917" s="473"/>
      <c r="S917" s="473"/>
      <c r="T917" s="1164"/>
      <c r="U917" s="1164"/>
      <c r="V917" s="473"/>
      <c r="W917" s="473"/>
      <c r="X917" s="1164"/>
      <c r="Y917" s="473"/>
      <c r="Z917" s="473"/>
      <c r="AA917" s="1164"/>
      <c r="AB917" s="473"/>
      <c r="AC917" s="1164"/>
      <c r="AD917" s="473"/>
      <c r="AE917" s="1164"/>
      <c r="AF917" s="473"/>
      <c r="AG917" s="1164"/>
      <c r="AH917" s="473"/>
      <c r="AI917" s="473"/>
      <c r="AJ917" s="1164"/>
      <c r="AK917" s="473"/>
      <c r="AL917" s="473"/>
      <c r="AM917" s="1164"/>
      <c r="AN917" s="473"/>
      <c r="AO917" s="473"/>
      <c r="AP917" s="1164"/>
      <c r="AQ917" s="473"/>
      <c r="AR917" s="473"/>
      <c r="AS917" s="1236"/>
      <c r="AT917" s="473"/>
      <c r="AU917" s="473"/>
      <c r="AV917" s="1164"/>
      <c r="AW917" s="1164"/>
      <c r="AX917" s="1236"/>
      <c r="AY917" s="473"/>
      <c r="AZ917" s="1236"/>
      <c r="BA917" s="473"/>
      <c r="BB917" s="473"/>
      <c r="BC917" s="1164"/>
      <c r="BD917" s="20"/>
      <c r="BE917" s="473"/>
      <c r="BF917" s="610"/>
      <c r="BG917" s="610"/>
      <c r="BH917" s="610"/>
      <c r="BI917" s="610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</row>
    <row r="918" spans="1:148" s="22" customFormat="1" x14ac:dyDescent="0.25">
      <c r="A918" s="20"/>
      <c r="B918" s="16"/>
      <c r="C918" s="473"/>
      <c r="D918" s="473"/>
      <c r="E918" s="1164"/>
      <c r="F918" s="473"/>
      <c r="G918" s="473"/>
      <c r="H918" s="1164"/>
      <c r="I918" s="473"/>
      <c r="J918" s="473"/>
      <c r="K918" s="1164"/>
      <c r="L918" s="473"/>
      <c r="M918" s="473"/>
      <c r="N918" s="1164"/>
      <c r="O918" s="473"/>
      <c r="P918" s="473"/>
      <c r="Q918" s="1164"/>
      <c r="R918" s="473"/>
      <c r="S918" s="473"/>
      <c r="T918" s="1164"/>
      <c r="U918" s="1164"/>
      <c r="V918" s="473"/>
      <c r="W918" s="473"/>
      <c r="X918" s="1164"/>
      <c r="Y918" s="473"/>
      <c r="Z918" s="473"/>
      <c r="AA918" s="1164"/>
      <c r="AB918" s="473"/>
      <c r="AC918" s="1164"/>
      <c r="AD918" s="473"/>
      <c r="AE918" s="1164"/>
      <c r="AF918" s="473"/>
      <c r="AG918" s="1164"/>
      <c r="AH918" s="473"/>
      <c r="AI918" s="473"/>
      <c r="AJ918" s="1164"/>
      <c r="AK918" s="473"/>
      <c r="AL918" s="473"/>
      <c r="AM918" s="1164"/>
      <c r="AN918" s="473"/>
      <c r="AO918" s="473"/>
      <c r="AP918" s="1164"/>
      <c r="AQ918" s="473"/>
      <c r="AR918" s="473"/>
      <c r="AS918" s="1236"/>
      <c r="AT918" s="473"/>
      <c r="AU918" s="473"/>
      <c r="AV918" s="1164"/>
      <c r="AW918" s="1164"/>
      <c r="AX918" s="1236"/>
      <c r="AY918" s="473"/>
      <c r="AZ918" s="1236"/>
      <c r="BA918" s="473"/>
      <c r="BB918" s="473"/>
      <c r="BC918" s="1164"/>
      <c r="BD918" s="20"/>
      <c r="BE918" s="473"/>
      <c r="BF918" s="610"/>
      <c r="BG918" s="610"/>
      <c r="BH918" s="610"/>
      <c r="BI918" s="610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</row>
    <row r="919" spans="1:148" s="22" customFormat="1" x14ac:dyDescent="0.25">
      <c r="A919" s="20"/>
      <c r="B919" s="16"/>
      <c r="C919" s="473"/>
      <c r="D919" s="473"/>
      <c r="E919" s="1164"/>
      <c r="F919" s="473"/>
      <c r="G919" s="473"/>
      <c r="H919" s="1164"/>
      <c r="I919" s="473"/>
      <c r="J919" s="473"/>
      <c r="K919" s="1164"/>
      <c r="L919" s="473"/>
      <c r="M919" s="473"/>
      <c r="N919" s="1164"/>
      <c r="O919" s="473"/>
      <c r="P919" s="473"/>
      <c r="Q919" s="1164"/>
      <c r="R919" s="473"/>
      <c r="S919" s="473"/>
      <c r="T919" s="1164"/>
      <c r="U919" s="1164"/>
      <c r="V919" s="473"/>
      <c r="W919" s="473"/>
      <c r="X919" s="1164"/>
      <c r="Y919" s="473"/>
      <c r="Z919" s="473"/>
      <c r="AA919" s="1164"/>
      <c r="AB919" s="473"/>
      <c r="AC919" s="1164"/>
      <c r="AD919" s="473"/>
      <c r="AE919" s="1164"/>
      <c r="AF919" s="473"/>
      <c r="AG919" s="1164"/>
      <c r="AH919" s="473"/>
      <c r="AI919" s="473"/>
      <c r="AJ919" s="1164"/>
      <c r="AK919" s="473"/>
      <c r="AL919" s="473"/>
      <c r="AM919" s="1164"/>
      <c r="AN919" s="473"/>
      <c r="AO919" s="473"/>
      <c r="AP919" s="1164"/>
      <c r="AQ919" s="473"/>
      <c r="AR919" s="473"/>
      <c r="AS919" s="1236"/>
      <c r="AT919" s="473"/>
      <c r="AU919" s="473"/>
      <c r="AV919" s="1164"/>
      <c r="AW919" s="1164"/>
      <c r="AX919" s="1236"/>
      <c r="AY919" s="473"/>
      <c r="AZ919" s="1236"/>
      <c r="BA919" s="473"/>
      <c r="BB919" s="473"/>
      <c r="BC919" s="1164"/>
      <c r="BD919" s="20"/>
      <c r="BE919" s="473"/>
      <c r="BF919" s="610"/>
      <c r="BG919" s="610"/>
      <c r="BH919" s="610"/>
      <c r="BI919" s="610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</row>
    <row r="920" spans="1:148" s="22" customFormat="1" x14ac:dyDescent="0.25">
      <c r="A920" s="20"/>
      <c r="B920" s="16"/>
      <c r="C920" s="473"/>
      <c r="D920" s="473"/>
      <c r="E920" s="1164"/>
      <c r="F920" s="473"/>
      <c r="G920" s="473"/>
      <c r="H920" s="1164"/>
      <c r="I920" s="473"/>
      <c r="J920" s="473"/>
      <c r="K920" s="1164"/>
      <c r="L920" s="473"/>
      <c r="M920" s="473"/>
      <c r="N920" s="1164"/>
      <c r="O920" s="473"/>
      <c r="P920" s="473"/>
      <c r="Q920" s="1164"/>
      <c r="R920" s="473"/>
      <c r="S920" s="473"/>
      <c r="T920" s="1164"/>
      <c r="U920" s="1164"/>
      <c r="V920" s="473"/>
      <c r="W920" s="473"/>
      <c r="X920" s="1164"/>
      <c r="Y920" s="473"/>
      <c r="Z920" s="473"/>
      <c r="AA920" s="1164"/>
      <c r="AB920" s="473"/>
      <c r="AC920" s="1164"/>
      <c r="AD920" s="473"/>
      <c r="AE920" s="1164"/>
      <c r="AF920" s="473"/>
      <c r="AG920" s="1164"/>
      <c r="AH920" s="473"/>
      <c r="AI920" s="473"/>
      <c r="AJ920" s="1164"/>
      <c r="AK920" s="473"/>
      <c r="AL920" s="473"/>
      <c r="AM920" s="1164"/>
      <c r="AN920" s="473"/>
      <c r="AO920" s="473"/>
      <c r="AP920" s="1164"/>
      <c r="AQ920" s="473"/>
      <c r="AR920" s="473"/>
      <c r="AS920" s="1236"/>
      <c r="AT920" s="473"/>
      <c r="AU920" s="473"/>
      <c r="AV920" s="1164"/>
      <c r="AW920" s="1164"/>
      <c r="AX920" s="1236"/>
      <c r="AY920" s="473"/>
      <c r="AZ920" s="1236"/>
      <c r="BA920" s="473"/>
      <c r="BB920" s="473"/>
      <c r="BC920" s="1164"/>
      <c r="BD920" s="20"/>
      <c r="BE920" s="473"/>
      <c r="BF920" s="610"/>
      <c r="BG920" s="610"/>
      <c r="BH920" s="610"/>
      <c r="BI920" s="610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</row>
    <row r="921" spans="1:148" s="22" customFormat="1" x14ac:dyDescent="0.25">
      <c r="A921" s="20"/>
      <c r="B921" s="16"/>
      <c r="C921" s="473"/>
      <c r="D921" s="473"/>
      <c r="E921" s="1164"/>
      <c r="F921" s="473"/>
      <c r="G921" s="473"/>
      <c r="H921" s="1164"/>
      <c r="I921" s="473"/>
      <c r="J921" s="473"/>
      <c r="K921" s="1164"/>
      <c r="L921" s="473"/>
      <c r="M921" s="473"/>
      <c r="N921" s="1164"/>
      <c r="O921" s="473"/>
      <c r="P921" s="473"/>
      <c r="Q921" s="1164"/>
      <c r="R921" s="473"/>
      <c r="S921" s="473"/>
      <c r="T921" s="1164"/>
      <c r="U921" s="1164"/>
      <c r="V921" s="473"/>
      <c r="W921" s="473"/>
      <c r="X921" s="1164"/>
      <c r="Y921" s="473"/>
      <c r="Z921" s="473"/>
      <c r="AA921" s="1164"/>
      <c r="AB921" s="473"/>
      <c r="AC921" s="1164"/>
      <c r="AD921" s="473"/>
      <c r="AE921" s="1164"/>
      <c r="AF921" s="473"/>
      <c r="AG921" s="1164"/>
      <c r="AH921" s="473"/>
      <c r="AI921" s="473"/>
      <c r="AJ921" s="1164"/>
      <c r="AK921" s="473"/>
      <c r="AL921" s="473"/>
      <c r="AM921" s="1164"/>
      <c r="AN921" s="473"/>
      <c r="AO921" s="473"/>
      <c r="AP921" s="1164"/>
      <c r="AQ921" s="473"/>
      <c r="AR921" s="473"/>
      <c r="AS921" s="1236"/>
      <c r="AT921" s="473"/>
      <c r="AU921" s="473"/>
      <c r="AV921" s="1164"/>
      <c r="AW921" s="1164"/>
      <c r="AX921" s="1236"/>
      <c r="AY921" s="473"/>
      <c r="AZ921" s="1236"/>
      <c r="BA921" s="473"/>
      <c r="BB921" s="473"/>
      <c r="BC921" s="1164"/>
      <c r="BD921" s="20"/>
      <c r="BE921" s="473"/>
      <c r="BF921" s="610"/>
      <c r="BG921" s="610"/>
      <c r="BH921" s="610"/>
      <c r="BI921" s="610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</row>
    <row r="922" spans="1:148" s="22" customFormat="1" x14ac:dyDescent="0.25">
      <c r="A922" s="20"/>
      <c r="B922" s="16"/>
      <c r="C922" s="473"/>
      <c r="D922" s="473"/>
      <c r="E922" s="1164"/>
      <c r="F922" s="473"/>
      <c r="G922" s="473"/>
      <c r="H922" s="1164"/>
      <c r="I922" s="473"/>
      <c r="J922" s="473"/>
      <c r="K922" s="1164"/>
      <c r="L922" s="473"/>
      <c r="M922" s="473"/>
      <c r="N922" s="1164"/>
      <c r="O922" s="473"/>
      <c r="P922" s="473"/>
      <c r="Q922" s="1164"/>
      <c r="R922" s="473"/>
      <c r="S922" s="473"/>
      <c r="T922" s="1164"/>
      <c r="U922" s="1164"/>
      <c r="V922" s="473"/>
      <c r="W922" s="473"/>
      <c r="X922" s="1164"/>
      <c r="Y922" s="473"/>
      <c r="Z922" s="473"/>
      <c r="AA922" s="1164"/>
      <c r="AB922" s="473"/>
      <c r="AC922" s="1164"/>
      <c r="AD922" s="473"/>
      <c r="AE922" s="1164"/>
      <c r="AF922" s="473"/>
      <c r="AG922" s="1164"/>
      <c r="AH922" s="473"/>
      <c r="AI922" s="473"/>
      <c r="AJ922" s="1164"/>
      <c r="AK922" s="473"/>
      <c r="AL922" s="473"/>
      <c r="AM922" s="1164"/>
      <c r="AN922" s="473"/>
      <c r="AO922" s="473"/>
      <c r="AP922" s="1164"/>
      <c r="AQ922" s="473"/>
      <c r="AR922" s="473"/>
      <c r="AS922" s="1236"/>
      <c r="AT922" s="473"/>
      <c r="AU922" s="473"/>
      <c r="AV922" s="1164"/>
      <c r="AW922" s="1164"/>
      <c r="AX922" s="1236"/>
      <c r="AY922" s="473"/>
      <c r="AZ922" s="1236"/>
      <c r="BA922" s="473"/>
      <c r="BB922" s="473"/>
      <c r="BC922" s="1164"/>
      <c r="BD922" s="20"/>
      <c r="BE922" s="473"/>
      <c r="BF922" s="610"/>
      <c r="BG922" s="610"/>
      <c r="BH922" s="610"/>
      <c r="BI922" s="610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</row>
    <row r="923" spans="1:148" s="22" customFormat="1" x14ac:dyDescent="0.25">
      <c r="A923" s="20"/>
      <c r="B923" s="16"/>
      <c r="C923" s="473"/>
      <c r="D923" s="473"/>
      <c r="E923" s="1164"/>
      <c r="F923" s="473"/>
      <c r="G923" s="473"/>
      <c r="H923" s="1164"/>
      <c r="I923" s="473"/>
      <c r="J923" s="473"/>
      <c r="K923" s="1164"/>
      <c r="L923" s="473"/>
      <c r="M923" s="473"/>
      <c r="N923" s="1164"/>
      <c r="O923" s="473"/>
      <c r="P923" s="473"/>
      <c r="Q923" s="1164"/>
      <c r="R923" s="473"/>
      <c r="S923" s="473"/>
      <c r="T923" s="1164"/>
      <c r="U923" s="1164"/>
      <c r="V923" s="473"/>
      <c r="W923" s="473"/>
      <c r="X923" s="1164"/>
      <c r="Y923" s="473"/>
      <c r="Z923" s="473"/>
      <c r="AA923" s="1164"/>
      <c r="AB923" s="473"/>
      <c r="AC923" s="1164"/>
      <c r="AD923" s="473"/>
      <c r="AE923" s="1164"/>
      <c r="AF923" s="473"/>
      <c r="AG923" s="1164"/>
      <c r="AH923" s="473"/>
      <c r="AI923" s="473"/>
      <c r="AJ923" s="1164"/>
      <c r="AK923" s="473"/>
      <c r="AL923" s="473"/>
      <c r="AM923" s="1164"/>
      <c r="AN923" s="473"/>
      <c r="AO923" s="473"/>
      <c r="AP923" s="1164"/>
      <c r="AQ923" s="473"/>
      <c r="AR923" s="473"/>
      <c r="AS923" s="1236"/>
      <c r="AT923" s="473"/>
      <c r="AU923" s="473"/>
      <c r="AV923" s="1164"/>
      <c r="AW923" s="1164"/>
      <c r="AX923" s="1236"/>
      <c r="AY923" s="473"/>
      <c r="AZ923" s="1236"/>
      <c r="BA923" s="473"/>
      <c r="BB923" s="473"/>
      <c r="BC923" s="1164"/>
      <c r="BD923" s="20"/>
      <c r="BE923" s="473"/>
      <c r="BF923" s="610"/>
      <c r="BG923" s="610"/>
      <c r="BH923" s="610"/>
      <c r="BI923" s="610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</row>
    <row r="924" spans="1:148" s="22" customFormat="1" x14ac:dyDescent="0.25">
      <c r="A924" s="20"/>
      <c r="B924" s="16"/>
      <c r="C924" s="473"/>
      <c r="D924" s="473"/>
      <c r="E924" s="1164"/>
      <c r="F924" s="473"/>
      <c r="G924" s="473"/>
      <c r="H924" s="1164"/>
      <c r="I924" s="473"/>
      <c r="J924" s="473"/>
      <c r="K924" s="1164"/>
      <c r="L924" s="473"/>
      <c r="M924" s="473"/>
      <c r="N924" s="1164"/>
      <c r="O924" s="473"/>
      <c r="P924" s="473"/>
      <c r="Q924" s="1164"/>
      <c r="R924" s="473"/>
      <c r="S924" s="473"/>
      <c r="T924" s="1164"/>
      <c r="U924" s="1164"/>
      <c r="V924" s="473"/>
      <c r="W924" s="473"/>
      <c r="X924" s="1164"/>
      <c r="Y924" s="473"/>
      <c r="Z924" s="473"/>
      <c r="AA924" s="1164"/>
      <c r="AB924" s="473"/>
      <c r="AC924" s="1164"/>
      <c r="AD924" s="473"/>
      <c r="AE924" s="1164"/>
      <c r="AF924" s="473"/>
      <c r="AG924" s="1164"/>
      <c r="AH924" s="473"/>
      <c r="AI924" s="473"/>
      <c r="AJ924" s="1164"/>
      <c r="AK924" s="473"/>
      <c r="AL924" s="473"/>
      <c r="AM924" s="1164"/>
      <c r="AN924" s="473"/>
      <c r="AO924" s="473"/>
      <c r="AP924" s="1164"/>
      <c r="AQ924" s="473"/>
      <c r="AR924" s="473"/>
      <c r="AS924" s="1236"/>
      <c r="AT924" s="473"/>
      <c r="AU924" s="473"/>
      <c r="AV924" s="1164"/>
      <c r="AW924" s="1164"/>
      <c r="AX924" s="1236"/>
      <c r="AY924" s="473"/>
      <c r="AZ924" s="1236"/>
      <c r="BA924" s="473"/>
      <c r="BB924" s="473"/>
      <c r="BC924" s="1164"/>
      <c r="BD924" s="20"/>
      <c r="BE924" s="473"/>
      <c r="BF924" s="610"/>
      <c r="BG924" s="610"/>
      <c r="BH924" s="610"/>
      <c r="BI924" s="610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s="22" customFormat="1" x14ac:dyDescent="0.25">
      <c r="A925" s="20"/>
      <c r="B925" s="16"/>
      <c r="C925" s="473"/>
      <c r="D925" s="473"/>
      <c r="E925" s="1164"/>
      <c r="F925" s="473"/>
      <c r="G925" s="473"/>
      <c r="H925" s="1164"/>
      <c r="I925" s="473"/>
      <c r="J925" s="473"/>
      <c r="K925" s="1164"/>
      <c r="L925" s="473"/>
      <c r="M925" s="473"/>
      <c r="N925" s="1164"/>
      <c r="O925" s="473"/>
      <c r="P925" s="473"/>
      <c r="Q925" s="1164"/>
      <c r="R925" s="473"/>
      <c r="S925" s="473"/>
      <c r="T925" s="1164"/>
      <c r="U925" s="1164"/>
      <c r="V925" s="473"/>
      <c r="W925" s="473"/>
      <c r="X925" s="1164"/>
      <c r="Y925" s="473"/>
      <c r="Z925" s="473"/>
      <c r="AA925" s="1164"/>
      <c r="AB925" s="473"/>
      <c r="AC925" s="1164"/>
      <c r="AD925" s="473"/>
      <c r="AE925" s="1164"/>
      <c r="AF925" s="473"/>
      <c r="AG925" s="1164"/>
      <c r="AH925" s="473"/>
      <c r="AI925" s="473"/>
      <c r="AJ925" s="1164"/>
      <c r="AK925" s="473"/>
      <c r="AL925" s="473"/>
      <c r="AM925" s="1164"/>
      <c r="AN925" s="473"/>
      <c r="AO925" s="473"/>
      <c r="AP925" s="1164"/>
      <c r="AQ925" s="473"/>
      <c r="AR925" s="473"/>
      <c r="AS925" s="1236"/>
      <c r="AT925" s="473"/>
      <c r="AU925" s="473"/>
      <c r="AV925" s="1164"/>
      <c r="AW925" s="1164"/>
      <c r="AX925" s="1236"/>
      <c r="AY925" s="473"/>
      <c r="AZ925" s="1236"/>
      <c r="BA925" s="473"/>
      <c r="BB925" s="473"/>
      <c r="BC925" s="1164"/>
      <c r="BD925" s="20"/>
      <c r="BE925" s="473"/>
      <c r="BF925" s="610"/>
      <c r="BG925" s="610"/>
      <c r="BH925" s="610"/>
      <c r="BI925" s="610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</row>
    <row r="926" spans="1:148" s="22" customFormat="1" x14ac:dyDescent="0.25">
      <c r="A926" s="20"/>
      <c r="B926" s="16"/>
      <c r="C926" s="473"/>
      <c r="D926" s="473"/>
      <c r="E926" s="1164"/>
      <c r="F926" s="473"/>
      <c r="G926" s="473"/>
      <c r="H926" s="1164"/>
      <c r="I926" s="473"/>
      <c r="J926" s="473"/>
      <c r="K926" s="1164"/>
      <c r="L926" s="473"/>
      <c r="M926" s="473"/>
      <c r="N926" s="1164"/>
      <c r="O926" s="473"/>
      <c r="P926" s="473"/>
      <c r="Q926" s="1164"/>
      <c r="R926" s="473"/>
      <c r="S926" s="473"/>
      <c r="T926" s="1164"/>
      <c r="U926" s="1164"/>
      <c r="V926" s="473"/>
      <c r="W926" s="473"/>
      <c r="X926" s="1164"/>
      <c r="Y926" s="473"/>
      <c r="Z926" s="473"/>
      <c r="AA926" s="1164"/>
      <c r="AB926" s="473"/>
      <c r="AC926" s="1164"/>
      <c r="AD926" s="473"/>
      <c r="AE926" s="1164"/>
      <c r="AF926" s="473"/>
      <c r="AG926" s="1164"/>
      <c r="AH926" s="473"/>
      <c r="AI926" s="473"/>
      <c r="AJ926" s="1164"/>
      <c r="AK926" s="473"/>
      <c r="AL926" s="473"/>
      <c r="AM926" s="1164"/>
      <c r="AN926" s="473"/>
      <c r="AO926" s="473"/>
      <c r="AP926" s="1164"/>
      <c r="AQ926" s="473"/>
      <c r="AR926" s="473"/>
      <c r="AS926" s="1236"/>
      <c r="AT926" s="473"/>
      <c r="AU926" s="473"/>
      <c r="AV926" s="1164"/>
      <c r="AW926" s="1164"/>
      <c r="AX926" s="1236"/>
      <c r="AY926" s="473"/>
      <c r="AZ926" s="1236"/>
      <c r="BA926" s="473"/>
      <c r="BB926" s="473"/>
      <c r="BC926" s="1164"/>
      <c r="BD926" s="20"/>
      <c r="BE926" s="473"/>
      <c r="BF926" s="610"/>
      <c r="BG926" s="610"/>
      <c r="BH926" s="610"/>
      <c r="BI926" s="610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s="22" customFormat="1" x14ac:dyDescent="0.25">
      <c r="A927" s="20"/>
      <c r="B927" s="16"/>
      <c r="C927" s="473"/>
      <c r="D927" s="473"/>
      <c r="E927" s="1164"/>
      <c r="F927" s="473"/>
      <c r="G927" s="473"/>
      <c r="H927" s="1164"/>
      <c r="I927" s="473"/>
      <c r="J927" s="473"/>
      <c r="K927" s="1164"/>
      <c r="L927" s="473"/>
      <c r="M927" s="473"/>
      <c r="N927" s="1164"/>
      <c r="O927" s="473"/>
      <c r="P927" s="473"/>
      <c r="Q927" s="1164"/>
      <c r="R927" s="473"/>
      <c r="S927" s="473"/>
      <c r="T927" s="1164"/>
      <c r="U927" s="1164"/>
      <c r="V927" s="473"/>
      <c r="W927" s="473"/>
      <c r="X927" s="1164"/>
      <c r="Y927" s="473"/>
      <c r="Z927" s="473"/>
      <c r="AA927" s="1164"/>
      <c r="AB927" s="473"/>
      <c r="AC927" s="1164"/>
      <c r="AD927" s="473"/>
      <c r="AE927" s="1164"/>
      <c r="AF927" s="473"/>
      <c r="AG927" s="1164"/>
      <c r="AH927" s="473"/>
      <c r="AI927" s="473"/>
      <c r="AJ927" s="1164"/>
      <c r="AK927" s="473"/>
      <c r="AL927" s="473"/>
      <c r="AM927" s="1164"/>
      <c r="AN927" s="473"/>
      <c r="AO927" s="473"/>
      <c r="AP927" s="1164"/>
      <c r="AQ927" s="473"/>
      <c r="AR927" s="473"/>
      <c r="AS927" s="1236"/>
      <c r="AT927" s="473"/>
      <c r="AU927" s="473"/>
      <c r="AV927" s="1164"/>
      <c r="AW927" s="1164"/>
      <c r="AX927" s="1236"/>
      <c r="AY927" s="473"/>
      <c r="AZ927" s="1236"/>
      <c r="BA927" s="473"/>
      <c r="BB927" s="473"/>
      <c r="BC927" s="1164"/>
      <c r="BD927" s="20"/>
      <c r="BE927" s="473"/>
      <c r="BF927" s="610"/>
      <c r="BG927" s="610"/>
      <c r="BH927" s="610"/>
      <c r="BI927" s="610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</row>
    <row r="928" spans="1:148" s="22" customFormat="1" x14ac:dyDescent="0.25">
      <c r="A928" s="20"/>
      <c r="B928" s="16"/>
      <c r="C928" s="473"/>
      <c r="D928" s="473"/>
      <c r="E928" s="1164"/>
      <c r="F928" s="473"/>
      <c r="G928" s="473"/>
      <c r="H928" s="1164"/>
      <c r="I928" s="473"/>
      <c r="J928" s="473"/>
      <c r="K928" s="1164"/>
      <c r="L928" s="473"/>
      <c r="M928" s="473"/>
      <c r="N928" s="1164"/>
      <c r="O928" s="473"/>
      <c r="P928" s="473"/>
      <c r="Q928" s="1164"/>
      <c r="R928" s="473"/>
      <c r="S928" s="473"/>
      <c r="T928" s="1164"/>
      <c r="U928" s="1164"/>
      <c r="V928" s="473"/>
      <c r="W928" s="473"/>
      <c r="X928" s="1164"/>
      <c r="Y928" s="473"/>
      <c r="Z928" s="473"/>
      <c r="AA928" s="1164"/>
      <c r="AB928" s="473"/>
      <c r="AC928" s="1164"/>
      <c r="AD928" s="473"/>
      <c r="AE928" s="1164"/>
      <c r="AF928" s="473"/>
      <c r="AG928" s="1164"/>
      <c r="AH928" s="473"/>
      <c r="AI928" s="473"/>
      <c r="AJ928" s="1164"/>
      <c r="AK928" s="473"/>
      <c r="AL928" s="473"/>
      <c r="AM928" s="1164"/>
      <c r="AN928" s="473"/>
      <c r="AO928" s="473"/>
      <c r="AP928" s="1164"/>
      <c r="AQ928" s="473"/>
      <c r="AR928" s="473"/>
      <c r="AS928" s="1236"/>
      <c r="AT928" s="473"/>
      <c r="AU928" s="473"/>
      <c r="AV928" s="1164"/>
      <c r="AW928" s="1164"/>
      <c r="AX928" s="1236"/>
      <c r="AY928" s="473"/>
      <c r="AZ928" s="1236"/>
      <c r="BA928" s="473"/>
      <c r="BB928" s="473"/>
      <c r="BC928" s="1164"/>
      <c r="BD928" s="20"/>
      <c r="BE928" s="473"/>
      <c r="BF928" s="610"/>
      <c r="BG928" s="610"/>
      <c r="BH928" s="610"/>
      <c r="BI928" s="610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</row>
    <row r="929" spans="1:148" s="22" customFormat="1" x14ac:dyDescent="0.25">
      <c r="A929" s="20"/>
      <c r="B929" s="16"/>
      <c r="C929" s="473"/>
      <c r="D929" s="473"/>
      <c r="E929" s="1164"/>
      <c r="F929" s="473"/>
      <c r="G929" s="473"/>
      <c r="H929" s="1164"/>
      <c r="I929" s="473"/>
      <c r="J929" s="473"/>
      <c r="K929" s="1164"/>
      <c r="L929" s="473"/>
      <c r="M929" s="473"/>
      <c r="N929" s="1164"/>
      <c r="O929" s="473"/>
      <c r="P929" s="473"/>
      <c r="Q929" s="1164"/>
      <c r="R929" s="473"/>
      <c r="S929" s="473"/>
      <c r="T929" s="1164"/>
      <c r="U929" s="1164"/>
      <c r="V929" s="473"/>
      <c r="W929" s="473"/>
      <c r="X929" s="1164"/>
      <c r="Y929" s="473"/>
      <c r="Z929" s="473"/>
      <c r="AA929" s="1164"/>
      <c r="AB929" s="473"/>
      <c r="AC929" s="1164"/>
      <c r="AD929" s="473"/>
      <c r="AE929" s="1164"/>
      <c r="AF929" s="473"/>
      <c r="AG929" s="1164"/>
      <c r="AH929" s="473"/>
      <c r="AI929" s="473"/>
      <c r="AJ929" s="1164"/>
      <c r="AK929" s="473"/>
      <c r="AL929" s="473"/>
      <c r="AM929" s="1164"/>
      <c r="AN929" s="473"/>
      <c r="AO929" s="473"/>
      <c r="AP929" s="1164"/>
      <c r="AQ929" s="473"/>
      <c r="AR929" s="473"/>
      <c r="AS929" s="1236"/>
      <c r="AT929" s="473"/>
      <c r="AU929" s="473"/>
      <c r="AV929" s="1164"/>
      <c r="AW929" s="1164"/>
      <c r="AX929" s="1236"/>
      <c r="AY929" s="473"/>
      <c r="AZ929" s="1236"/>
      <c r="BA929" s="473"/>
      <c r="BB929" s="473"/>
      <c r="BC929" s="1164"/>
      <c r="BD929" s="20"/>
      <c r="BE929" s="473"/>
      <c r="BF929" s="610"/>
      <c r="BG929" s="610"/>
      <c r="BH929" s="610"/>
      <c r="BI929" s="610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</row>
    <row r="930" spans="1:148" s="22" customFormat="1" x14ac:dyDescent="0.25">
      <c r="A930" s="20"/>
      <c r="B930" s="16"/>
      <c r="C930" s="473"/>
      <c r="D930" s="473"/>
      <c r="E930" s="1164"/>
      <c r="F930" s="473"/>
      <c r="G930" s="473"/>
      <c r="H930" s="1164"/>
      <c r="I930" s="473"/>
      <c r="J930" s="473"/>
      <c r="K930" s="1164"/>
      <c r="L930" s="473"/>
      <c r="M930" s="473"/>
      <c r="N930" s="1164"/>
      <c r="O930" s="473"/>
      <c r="P930" s="473"/>
      <c r="Q930" s="1164"/>
      <c r="R930" s="473"/>
      <c r="S930" s="473"/>
      <c r="T930" s="1164"/>
      <c r="U930" s="1164"/>
      <c r="V930" s="473"/>
      <c r="W930" s="473"/>
      <c r="X930" s="1164"/>
      <c r="Y930" s="473"/>
      <c r="Z930" s="473"/>
      <c r="AA930" s="1164"/>
      <c r="AB930" s="473"/>
      <c r="AC930" s="1164"/>
      <c r="AD930" s="473"/>
      <c r="AE930" s="1164"/>
      <c r="AF930" s="473"/>
      <c r="AG930" s="1164"/>
      <c r="AH930" s="473"/>
      <c r="AI930" s="473"/>
      <c r="AJ930" s="1164"/>
      <c r="AK930" s="473"/>
      <c r="AL930" s="473"/>
      <c r="AM930" s="1164"/>
      <c r="AN930" s="473"/>
      <c r="AO930" s="473"/>
      <c r="AP930" s="1164"/>
      <c r="AQ930" s="473"/>
      <c r="AR930" s="473"/>
      <c r="AS930" s="1236"/>
      <c r="AT930" s="473"/>
      <c r="AU930" s="473"/>
      <c r="AV930" s="1164"/>
      <c r="AW930" s="1164"/>
      <c r="AX930" s="1236"/>
      <c r="AY930" s="473"/>
      <c r="AZ930" s="1236"/>
      <c r="BA930" s="473"/>
      <c r="BB930" s="473"/>
      <c r="BC930" s="1164"/>
      <c r="BD930" s="20"/>
      <c r="BE930" s="473"/>
      <c r="BF930" s="610"/>
      <c r="BG930" s="610"/>
      <c r="BH930" s="610"/>
      <c r="BI930" s="610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</row>
    <row r="931" spans="1:148" s="22" customFormat="1" x14ac:dyDescent="0.25">
      <c r="A931" s="20"/>
      <c r="B931" s="16"/>
      <c r="C931" s="473"/>
      <c r="D931" s="473"/>
      <c r="E931" s="1164"/>
      <c r="F931" s="473"/>
      <c r="G931" s="473"/>
      <c r="H931" s="1164"/>
      <c r="I931" s="473"/>
      <c r="J931" s="473"/>
      <c r="K931" s="1164"/>
      <c r="L931" s="473"/>
      <c r="M931" s="473"/>
      <c r="N931" s="1164"/>
      <c r="O931" s="473"/>
      <c r="P931" s="473"/>
      <c r="Q931" s="1164"/>
      <c r="R931" s="473"/>
      <c r="S931" s="473"/>
      <c r="T931" s="1164"/>
      <c r="U931" s="1164"/>
      <c r="V931" s="473"/>
      <c r="W931" s="473"/>
      <c r="X931" s="1164"/>
      <c r="Y931" s="473"/>
      <c r="Z931" s="473"/>
      <c r="AA931" s="1164"/>
      <c r="AB931" s="473"/>
      <c r="AC931" s="1164"/>
      <c r="AD931" s="473"/>
      <c r="AE931" s="1164"/>
      <c r="AF931" s="473"/>
      <c r="AG931" s="1164"/>
      <c r="AH931" s="473"/>
      <c r="AI931" s="473"/>
      <c r="AJ931" s="1164"/>
      <c r="AK931" s="473"/>
      <c r="AL931" s="473"/>
      <c r="AM931" s="1164"/>
      <c r="AN931" s="473"/>
      <c r="AO931" s="473"/>
      <c r="AP931" s="1164"/>
      <c r="AQ931" s="473"/>
      <c r="AR931" s="473"/>
      <c r="AS931" s="1236"/>
      <c r="AT931" s="473"/>
      <c r="AU931" s="473"/>
      <c r="AV931" s="1164"/>
      <c r="AW931" s="1164"/>
      <c r="AX931" s="1236"/>
      <c r="AY931" s="473"/>
      <c r="AZ931" s="1236"/>
      <c r="BA931" s="473"/>
      <c r="BB931" s="473"/>
      <c r="BC931" s="1164"/>
      <c r="BD931" s="20"/>
      <c r="BE931" s="473"/>
      <c r="BF931" s="610"/>
      <c r="BG931" s="610"/>
      <c r="BH931" s="610"/>
      <c r="BI931" s="610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</row>
    <row r="932" spans="1:148" s="22" customFormat="1" x14ac:dyDescent="0.25">
      <c r="A932" s="20"/>
      <c r="B932" s="16"/>
      <c r="C932" s="473"/>
      <c r="D932" s="473"/>
      <c r="E932" s="1164"/>
      <c r="F932" s="473"/>
      <c r="G932" s="473"/>
      <c r="H932" s="1164"/>
      <c r="I932" s="473"/>
      <c r="J932" s="473"/>
      <c r="K932" s="1164"/>
      <c r="L932" s="473"/>
      <c r="M932" s="473"/>
      <c r="N932" s="1164"/>
      <c r="O932" s="473"/>
      <c r="P932" s="473"/>
      <c r="Q932" s="1164"/>
      <c r="R932" s="473"/>
      <c r="S932" s="473"/>
      <c r="T932" s="1164"/>
      <c r="U932" s="1164"/>
      <c r="V932" s="473"/>
      <c r="W932" s="473"/>
      <c r="X932" s="1164"/>
      <c r="Y932" s="473"/>
      <c r="Z932" s="473"/>
      <c r="AA932" s="1164"/>
      <c r="AB932" s="473"/>
      <c r="AC932" s="1164"/>
      <c r="AD932" s="473"/>
      <c r="AE932" s="1164"/>
      <c r="AF932" s="473"/>
      <c r="AG932" s="1164"/>
      <c r="AH932" s="473"/>
      <c r="AI932" s="473"/>
      <c r="AJ932" s="1164"/>
      <c r="AK932" s="473"/>
      <c r="AL932" s="473"/>
      <c r="AM932" s="1164"/>
      <c r="AN932" s="473"/>
      <c r="AO932" s="473"/>
      <c r="AP932" s="1164"/>
      <c r="AQ932" s="473"/>
      <c r="AR932" s="473"/>
      <c r="AS932" s="1236"/>
      <c r="AT932" s="473"/>
      <c r="AU932" s="473"/>
      <c r="AV932" s="1164"/>
      <c r="AW932" s="1164"/>
      <c r="AX932" s="1236"/>
      <c r="AY932" s="473"/>
      <c r="AZ932" s="1236"/>
      <c r="BA932" s="473"/>
      <c r="BB932" s="473"/>
      <c r="BC932" s="1164"/>
      <c r="BD932" s="20"/>
      <c r="BE932" s="473"/>
      <c r="BF932" s="610"/>
      <c r="BG932" s="610"/>
      <c r="BH932" s="610"/>
      <c r="BI932" s="610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</row>
    <row r="933" spans="1:148" s="22" customFormat="1" x14ac:dyDescent="0.25">
      <c r="A933" s="20"/>
      <c r="B933" s="16"/>
      <c r="C933" s="473"/>
      <c r="D933" s="473"/>
      <c r="E933" s="1164"/>
      <c r="F933" s="473"/>
      <c r="G933" s="473"/>
      <c r="H933" s="1164"/>
      <c r="I933" s="473"/>
      <c r="J933" s="473"/>
      <c r="K933" s="1164"/>
      <c r="L933" s="473"/>
      <c r="M933" s="473"/>
      <c r="N933" s="1164"/>
      <c r="O933" s="473"/>
      <c r="P933" s="473"/>
      <c r="Q933" s="1164"/>
      <c r="R933" s="473"/>
      <c r="S933" s="473"/>
      <c r="T933" s="1164"/>
      <c r="U933" s="1164"/>
      <c r="V933" s="473"/>
      <c r="W933" s="473"/>
      <c r="X933" s="1164"/>
      <c r="Y933" s="473"/>
      <c r="Z933" s="473"/>
      <c r="AA933" s="1164"/>
      <c r="AB933" s="473"/>
      <c r="AC933" s="1164"/>
      <c r="AD933" s="473"/>
      <c r="AE933" s="1164"/>
      <c r="AF933" s="473"/>
      <c r="AG933" s="1164"/>
      <c r="AH933" s="473"/>
      <c r="AI933" s="473"/>
      <c r="AJ933" s="1164"/>
      <c r="AK933" s="473"/>
      <c r="AL933" s="473"/>
      <c r="AM933" s="1164"/>
      <c r="AN933" s="473"/>
      <c r="AO933" s="473"/>
      <c r="AP933" s="1164"/>
      <c r="AQ933" s="473"/>
      <c r="AR933" s="473"/>
      <c r="AS933" s="1236"/>
      <c r="AT933" s="473"/>
      <c r="AU933" s="473"/>
      <c r="AV933" s="1164"/>
      <c r="AW933" s="1164"/>
      <c r="AX933" s="1236"/>
      <c r="AY933" s="473"/>
      <c r="AZ933" s="1236"/>
      <c r="BA933" s="473"/>
      <c r="BB933" s="473"/>
      <c r="BC933" s="1164"/>
      <c r="BD933" s="20"/>
      <c r="BE933" s="473"/>
      <c r="BF933" s="610"/>
      <c r="BG933" s="610"/>
      <c r="BH933" s="610"/>
      <c r="BI933" s="610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</row>
    <row r="934" spans="1:148" s="22" customFormat="1" x14ac:dyDescent="0.25">
      <c r="A934" s="20"/>
      <c r="B934" s="16"/>
      <c r="C934" s="473"/>
      <c r="D934" s="473"/>
      <c r="E934" s="1164"/>
      <c r="F934" s="473"/>
      <c r="G934" s="473"/>
      <c r="H934" s="1164"/>
      <c r="I934" s="473"/>
      <c r="J934" s="473"/>
      <c r="K934" s="1164"/>
      <c r="L934" s="473"/>
      <c r="M934" s="473"/>
      <c r="N934" s="1164"/>
      <c r="O934" s="473"/>
      <c r="P934" s="473"/>
      <c r="Q934" s="1164"/>
      <c r="R934" s="473"/>
      <c r="S934" s="473"/>
      <c r="T934" s="1164"/>
      <c r="U934" s="1164"/>
      <c r="V934" s="473"/>
      <c r="W934" s="473"/>
      <c r="X934" s="1164"/>
      <c r="Y934" s="473"/>
      <c r="Z934" s="473"/>
      <c r="AA934" s="1164"/>
      <c r="AB934" s="473"/>
      <c r="AC934" s="1164"/>
      <c r="AD934" s="473"/>
      <c r="AE934" s="1164"/>
      <c r="AF934" s="473"/>
      <c r="AG934" s="1164"/>
      <c r="AH934" s="473"/>
      <c r="AI934" s="473"/>
      <c r="AJ934" s="1164"/>
      <c r="AK934" s="473"/>
      <c r="AL934" s="473"/>
      <c r="AM934" s="1164"/>
      <c r="AN934" s="473"/>
      <c r="AO934" s="473"/>
      <c r="AP934" s="1164"/>
      <c r="AQ934" s="473"/>
      <c r="AR934" s="473"/>
      <c r="AS934" s="1236"/>
      <c r="AT934" s="473"/>
      <c r="AU934" s="473"/>
      <c r="AV934" s="1164"/>
      <c r="AW934" s="1164"/>
      <c r="AX934" s="1236"/>
      <c r="AY934" s="473"/>
      <c r="AZ934" s="1236"/>
      <c r="BA934" s="473"/>
      <c r="BB934" s="473"/>
      <c r="BC934" s="1164"/>
      <c r="BD934" s="20"/>
      <c r="BE934" s="473"/>
      <c r="BF934" s="610"/>
      <c r="BG934" s="610"/>
      <c r="BH934" s="610"/>
      <c r="BI934" s="610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</row>
    <row r="935" spans="1:148" s="22" customFormat="1" x14ac:dyDescent="0.25">
      <c r="A935" s="20"/>
      <c r="B935" s="16"/>
      <c r="C935" s="473"/>
      <c r="D935" s="473"/>
      <c r="E935" s="1164"/>
      <c r="F935" s="473"/>
      <c r="G935" s="473"/>
      <c r="H935" s="1164"/>
      <c r="I935" s="473"/>
      <c r="J935" s="473"/>
      <c r="K935" s="1164"/>
      <c r="L935" s="473"/>
      <c r="M935" s="473"/>
      <c r="N935" s="1164"/>
      <c r="O935" s="473"/>
      <c r="P935" s="473"/>
      <c r="Q935" s="1164"/>
      <c r="R935" s="473"/>
      <c r="S935" s="473"/>
      <c r="T935" s="1164"/>
      <c r="U935" s="1164"/>
      <c r="V935" s="473"/>
      <c r="W935" s="473"/>
      <c r="X935" s="1164"/>
      <c r="Y935" s="473"/>
      <c r="Z935" s="473"/>
      <c r="AA935" s="1164"/>
      <c r="AB935" s="473"/>
      <c r="AC935" s="1164"/>
      <c r="AD935" s="473"/>
      <c r="AE935" s="1164"/>
      <c r="AF935" s="473"/>
      <c r="AG935" s="1164"/>
      <c r="AH935" s="473"/>
      <c r="AI935" s="473"/>
      <c r="AJ935" s="1164"/>
      <c r="AK935" s="473"/>
      <c r="AL935" s="473"/>
      <c r="AM935" s="1164"/>
      <c r="AN935" s="473"/>
      <c r="AO935" s="473"/>
      <c r="AP935" s="1164"/>
      <c r="AQ935" s="473"/>
      <c r="AR935" s="473"/>
      <c r="AS935" s="1236"/>
      <c r="AT935" s="473"/>
      <c r="AU935" s="473"/>
      <c r="AV935" s="1164"/>
      <c r="AW935" s="1164"/>
      <c r="AX935" s="1236"/>
      <c r="AY935" s="473"/>
      <c r="AZ935" s="1236"/>
      <c r="BA935" s="473"/>
      <c r="BB935" s="473"/>
      <c r="BC935" s="1164"/>
      <c r="BD935" s="20"/>
      <c r="BE935" s="473"/>
      <c r="BF935" s="610"/>
      <c r="BG935" s="610"/>
      <c r="BH935" s="610"/>
      <c r="BI935" s="610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</row>
    <row r="936" spans="1:148" s="22" customFormat="1" x14ac:dyDescent="0.25">
      <c r="A936" s="20"/>
      <c r="B936" s="16"/>
      <c r="C936" s="473"/>
      <c r="D936" s="473"/>
      <c r="E936" s="1164"/>
      <c r="F936" s="473"/>
      <c r="G936" s="473"/>
      <c r="H936" s="1164"/>
      <c r="I936" s="473"/>
      <c r="J936" s="473"/>
      <c r="K936" s="1164"/>
      <c r="L936" s="473"/>
      <c r="M936" s="473"/>
      <c r="N936" s="1164"/>
      <c r="O936" s="473"/>
      <c r="P936" s="473"/>
      <c r="Q936" s="1164"/>
      <c r="R936" s="473"/>
      <c r="S936" s="473"/>
      <c r="T936" s="1164"/>
      <c r="U936" s="1164"/>
      <c r="V936" s="473"/>
      <c r="W936" s="473"/>
      <c r="X936" s="1164"/>
      <c r="Y936" s="473"/>
      <c r="Z936" s="473"/>
      <c r="AA936" s="1164"/>
      <c r="AB936" s="473"/>
      <c r="AC936" s="1164"/>
      <c r="AD936" s="473"/>
      <c r="AE936" s="1164"/>
      <c r="AF936" s="473"/>
      <c r="AG936" s="1164"/>
      <c r="AH936" s="473"/>
      <c r="AI936" s="473"/>
      <c r="AJ936" s="1164"/>
      <c r="AK936" s="473"/>
      <c r="AL936" s="473"/>
      <c r="AM936" s="1164"/>
      <c r="AN936" s="473"/>
      <c r="AO936" s="473"/>
      <c r="AP936" s="1164"/>
      <c r="AQ936" s="473"/>
      <c r="AR936" s="473"/>
      <c r="AS936" s="1236"/>
      <c r="AT936" s="473"/>
      <c r="AU936" s="473"/>
      <c r="AV936" s="1164"/>
      <c r="AW936" s="1164"/>
      <c r="AX936" s="1236"/>
      <c r="AY936" s="473"/>
      <c r="AZ936" s="1236"/>
      <c r="BA936" s="473"/>
      <c r="BB936" s="473"/>
      <c r="BC936" s="1164"/>
      <c r="BD936" s="20"/>
      <c r="BE936" s="473"/>
      <c r="BF936" s="610"/>
      <c r="BG936" s="610"/>
      <c r="BH936" s="610"/>
      <c r="BI936" s="610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</row>
    <row r="937" spans="1:148" s="22" customFormat="1" x14ac:dyDescent="0.25">
      <c r="A937" s="20"/>
      <c r="B937" s="16"/>
      <c r="C937" s="473"/>
      <c r="D937" s="473"/>
      <c r="E937" s="1164"/>
      <c r="F937" s="473"/>
      <c r="G937" s="473"/>
      <c r="H937" s="1164"/>
      <c r="I937" s="473"/>
      <c r="J937" s="473"/>
      <c r="K937" s="1164"/>
      <c r="L937" s="473"/>
      <c r="M937" s="473"/>
      <c r="N937" s="1164"/>
      <c r="O937" s="473"/>
      <c r="P937" s="473"/>
      <c r="Q937" s="1164"/>
      <c r="R937" s="473"/>
      <c r="S937" s="473"/>
      <c r="T937" s="1164"/>
      <c r="U937" s="1164"/>
      <c r="V937" s="473"/>
      <c r="W937" s="473"/>
      <c r="X937" s="1164"/>
      <c r="Y937" s="473"/>
      <c r="Z937" s="473"/>
      <c r="AA937" s="1164"/>
      <c r="AB937" s="473"/>
      <c r="AC937" s="1164"/>
      <c r="AD937" s="473"/>
      <c r="AE937" s="1164"/>
      <c r="AF937" s="473"/>
      <c r="AG937" s="1164"/>
      <c r="AH937" s="473"/>
      <c r="AI937" s="473"/>
      <c r="AJ937" s="1164"/>
      <c r="AK937" s="473"/>
      <c r="AL937" s="473"/>
      <c r="AM937" s="1164"/>
      <c r="AN937" s="473"/>
      <c r="AO937" s="473"/>
      <c r="AP937" s="1164"/>
      <c r="AQ937" s="473"/>
      <c r="AR937" s="473"/>
      <c r="AS937" s="1236"/>
      <c r="AT937" s="473"/>
      <c r="AU937" s="473"/>
      <c r="AV937" s="1164"/>
      <c r="AW937" s="1164"/>
      <c r="AX937" s="1236"/>
      <c r="AY937" s="473"/>
      <c r="AZ937" s="1236"/>
      <c r="BA937" s="473"/>
      <c r="BB937" s="473"/>
      <c r="BC937" s="1164"/>
      <c r="BD937" s="20"/>
      <c r="BE937" s="473"/>
      <c r="BF937" s="610"/>
      <c r="BG937" s="610"/>
      <c r="BH937" s="610"/>
      <c r="BI937" s="610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</row>
    <row r="938" spans="1:148" s="22" customFormat="1" x14ac:dyDescent="0.25">
      <c r="A938" s="20"/>
      <c r="B938" s="16"/>
      <c r="C938" s="473"/>
      <c r="D938" s="473"/>
      <c r="E938" s="1164"/>
      <c r="F938" s="473"/>
      <c r="G938" s="473"/>
      <c r="H938" s="1164"/>
      <c r="I938" s="473"/>
      <c r="J938" s="473"/>
      <c r="K938" s="1164"/>
      <c r="L938" s="473"/>
      <c r="M938" s="473"/>
      <c r="N938" s="1164"/>
      <c r="O938" s="473"/>
      <c r="P938" s="473"/>
      <c r="Q938" s="1164"/>
      <c r="R938" s="473"/>
      <c r="S938" s="473"/>
      <c r="T938" s="1164"/>
      <c r="U938" s="1164"/>
      <c r="V938" s="473"/>
      <c r="W938" s="473"/>
      <c r="X938" s="1164"/>
      <c r="Y938" s="473"/>
      <c r="Z938" s="473"/>
      <c r="AA938" s="1164"/>
      <c r="AB938" s="473"/>
      <c r="AC938" s="1164"/>
      <c r="AD938" s="473"/>
      <c r="AE938" s="1164"/>
      <c r="AF938" s="473"/>
      <c r="AG938" s="1164"/>
      <c r="AH938" s="473"/>
      <c r="AI938" s="473"/>
      <c r="AJ938" s="1164"/>
      <c r="AK938" s="473"/>
      <c r="AL938" s="473"/>
      <c r="AM938" s="1164"/>
      <c r="AN938" s="473"/>
      <c r="AO938" s="473"/>
      <c r="AP938" s="1164"/>
      <c r="AQ938" s="473"/>
      <c r="AR938" s="473"/>
      <c r="AS938" s="1236"/>
      <c r="AT938" s="473"/>
      <c r="AU938" s="473"/>
      <c r="AV938" s="1164"/>
      <c r="AW938" s="1164"/>
      <c r="AX938" s="1236"/>
      <c r="AY938" s="473"/>
      <c r="AZ938" s="1236"/>
      <c r="BA938" s="473"/>
      <c r="BB938" s="473"/>
      <c r="BC938" s="1164"/>
      <c r="BD938" s="20"/>
      <c r="BE938" s="473"/>
      <c r="BF938" s="610"/>
      <c r="BG938" s="610"/>
      <c r="BH938" s="610"/>
      <c r="BI938" s="610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</row>
    <row r="939" spans="1:148" s="22" customFormat="1" x14ac:dyDescent="0.25">
      <c r="A939" s="20"/>
      <c r="B939" s="16"/>
      <c r="C939" s="473"/>
      <c r="D939" s="473"/>
      <c r="E939" s="1164"/>
      <c r="F939" s="473"/>
      <c r="G939" s="473"/>
      <c r="H939" s="1164"/>
      <c r="I939" s="473"/>
      <c r="J939" s="473"/>
      <c r="K939" s="1164"/>
      <c r="L939" s="473"/>
      <c r="M939" s="473"/>
      <c r="N939" s="1164"/>
      <c r="O939" s="473"/>
      <c r="P939" s="473"/>
      <c r="Q939" s="1164"/>
      <c r="R939" s="473"/>
      <c r="S939" s="473"/>
      <c r="T939" s="1164"/>
      <c r="U939" s="1164"/>
      <c r="V939" s="473"/>
      <c r="W939" s="473"/>
      <c r="X939" s="1164"/>
      <c r="Y939" s="473"/>
      <c r="Z939" s="473"/>
      <c r="AA939" s="1164"/>
      <c r="AB939" s="473"/>
      <c r="AC939" s="1164"/>
      <c r="AD939" s="473"/>
      <c r="AE939" s="1164"/>
      <c r="AF939" s="473"/>
      <c r="AG939" s="1164"/>
      <c r="AH939" s="473"/>
      <c r="AI939" s="473"/>
      <c r="AJ939" s="1164"/>
      <c r="AK939" s="473"/>
      <c r="AL939" s="473"/>
      <c r="AM939" s="1164"/>
      <c r="AN939" s="473"/>
      <c r="AO939" s="473"/>
      <c r="AP939" s="1164"/>
      <c r="AQ939" s="473"/>
      <c r="AR939" s="473"/>
      <c r="AS939" s="1236"/>
      <c r="AT939" s="473"/>
      <c r="AU939" s="473"/>
      <c r="AV939" s="1164"/>
      <c r="AW939" s="1164"/>
      <c r="AX939" s="1236"/>
      <c r="AY939" s="473"/>
      <c r="AZ939" s="1236"/>
      <c r="BA939" s="473"/>
      <c r="BB939" s="473"/>
      <c r="BC939" s="1164"/>
      <c r="BD939" s="20"/>
      <c r="BE939" s="473"/>
      <c r="BF939" s="610"/>
      <c r="BG939" s="610"/>
      <c r="BH939" s="610"/>
      <c r="BI939" s="610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</row>
    <row r="940" spans="1:148" s="22" customFormat="1" x14ac:dyDescent="0.25">
      <c r="A940" s="20"/>
      <c r="B940" s="16"/>
      <c r="C940" s="473"/>
      <c r="D940" s="473"/>
      <c r="E940" s="1164"/>
      <c r="F940" s="473"/>
      <c r="G940" s="473"/>
      <c r="H940" s="1164"/>
      <c r="I940" s="473"/>
      <c r="J940" s="473"/>
      <c r="K940" s="1164"/>
      <c r="L940" s="473"/>
      <c r="M940" s="473"/>
      <c r="N940" s="1164"/>
      <c r="O940" s="473"/>
      <c r="P940" s="473"/>
      <c r="Q940" s="1164"/>
      <c r="R940" s="473"/>
      <c r="S940" s="473"/>
      <c r="T940" s="1164"/>
      <c r="U940" s="1164"/>
      <c r="V940" s="473"/>
      <c r="W940" s="473"/>
      <c r="X940" s="1164"/>
      <c r="Y940" s="473"/>
      <c r="Z940" s="473"/>
      <c r="AA940" s="1164"/>
      <c r="AB940" s="473"/>
      <c r="AC940" s="1164"/>
      <c r="AD940" s="473"/>
      <c r="AE940" s="1164"/>
      <c r="AF940" s="473"/>
      <c r="AG940" s="1164"/>
      <c r="AH940" s="473"/>
      <c r="AI940" s="473"/>
      <c r="AJ940" s="1164"/>
      <c r="AK940" s="473"/>
      <c r="AL940" s="473"/>
      <c r="AM940" s="1164"/>
      <c r="AN940" s="473"/>
      <c r="AO940" s="473"/>
      <c r="AP940" s="1164"/>
      <c r="AQ940" s="473"/>
      <c r="AR940" s="473"/>
      <c r="AS940" s="1236"/>
      <c r="AT940" s="473"/>
      <c r="AU940" s="473"/>
      <c r="AV940" s="1164"/>
      <c r="AW940" s="1164"/>
      <c r="AX940" s="1236"/>
      <c r="AY940" s="473"/>
      <c r="AZ940" s="1236"/>
      <c r="BA940" s="473"/>
      <c r="BB940" s="473"/>
      <c r="BC940" s="1164"/>
      <c r="BD940" s="20"/>
      <c r="BE940" s="473"/>
      <c r="BF940" s="610"/>
      <c r="BG940" s="610"/>
      <c r="BH940" s="610"/>
      <c r="BI940" s="610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</row>
    <row r="941" spans="1:148" s="22" customFormat="1" x14ac:dyDescent="0.25">
      <c r="A941" s="20"/>
      <c r="B941" s="16"/>
      <c r="C941" s="473"/>
      <c r="D941" s="473"/>
      <c r="E941" s="1164"/>
      <c r="F941" s="473"/>
      <c r="G941" s="473"/>
      <c r="H941" s="1164"/>
      <c r="I941" s="473"/>
      <c r="J941" s="473"/>
      <c r="K941" s="1164"/>
      <c r="L941" s="473"/>
      <c r="M941" s="473"/>
      <c r="N941" s="1164"/>
      <c r="O941" s="473"/>
      <c r="P941" s="473"/>
      <c r="Q941" s="1164"/>
      <c r="R941" s="473"/>
      <c r="S941" s="473"/>
      <c r="T941" s="1164"/>
      <c r="U941" s="1164"/>
      <c r="V941" s="473"/>
      <c r="W941" s="473"/>
      <c r="X941" s="1164"/>
      <c r="Y941" s="473"/>
      <c r="Z941" s="473"/>
      <c r="AA941" s="1164"/>
      <c r="AB941" s="473"/>
      <c r="AC941" s="1164"/>
      <c r="AD941" s="473"/>
      <c r="AE941" s="1164"/>
      <c r="AF941" s="473"/>
      <c r="AG941" s="1164"/>
      <c r="AH941" s="473"/>
      <c r="AI941" s="473"/>
      <c r="AJ941" s="1164"/>
      <c r="AK941" s="473"/>
      <c r="AL941" s="473"/>
      <c r="AM941" s="1164"/>
      <c r="AN941" s="473"/>
      <c r="AO941" s="473"/>
      <c r="AP941" s="1164"/>
      <c r="AQ941" s="473"/>
      <c r="AR941" s="473"/>
      <c r="AS941" s="1236"/>
      <c r="AT941" s="473"/>
      <c r="AU941" s="473"/>
      <c r="AV941" s="1164"/>
      <c r="AW941" s="1164"/>
      <c r="AX941" s="1236"/>
      <c r="AY941" s="473"/>
      <c r="AZ941" s="1236"/>
      <c r="BA941" s="473"/>
      <c r="BB941" s="473"/>
      <c r="BC941" s="1164"/>
      <c r="BD941" s="20"/>
      <c r="BE941" s="473"/>
      <c r="BF941" s="610"/>
      <c r="BG941" s="610"/>
      <c r="BH941" s="610"/>
      <c r="BI941" s="610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</row>
    <row r="942" spans="1:148" s="22" customFormat="1" x14ac:dyDescent="0.25">
      <c r="A942" s="20"/>
      <c r="B942" s="16"/>
      <c r="C942" s="473"/>
      <c r="D942" s="473"/>
      <c r="E942" s="1164"/>
      <c r="F942" s="473"/>
      <c r="G942" s="473"/>
      <c r="H942" s="1164"/>
      <c r="I942" s="473"/>
      <c r="J942" s="473"/>
      <c r="K942" s="1164"/>
      <c r="L942" s="473"/>
      <c r="M942" s="473"/>
      <c r="N942" s="1164"/>
      <c r="O942" s="473"/>
      <c r="P942" s="473"/>
      <c r="Q942" s="1164"/>
      <c r="R942" s="473"/>
      <c r="S942" s="473"/>
      <c r="T942" s="1164"/>
      <c r="U942" s="1164"/>
      <c r="V942" s="473"/>
      <c r="W942" s="473"/>
      <c r="X942" s="1164"/>
      <c r="Y942" s="473"/>
      <c r="Z942" s="473"/>
      <c r="AA942" s="1164"/>
      <c r="AB942" s="473"/>
      <c r="AC942" s="1164"/>
      <c r="AD942" s="473"/>
      <c r="AE942" s="1164"/>
      <c r="AF942" s="473"/>
      <c r="AG942" s="1164"/>
      <c r="AH942" s="473"/>
      <c r="AI942" s="473"/>
      <c r="AJ942" s="1164"/>
      <c r="AK942" s="473"/>
      <c r="AL942" s="473"/>
      <c r="AM942" s="1164"/>
      <c r="AN942" s="473"/>
      <c r="AO942" s="473"/>
      <c r="AP942" s="1164"/>
      <c r="AQ942" s="473"/>
      <c r="AR942" s="473"/>
      <c r="AS942" s="1236"/>
      <c r="AT942" s="473"/>
      <c r="AU942" s="473"/>
      <c r="AV942" s="1164"/>
      <c r="AW942" s="1164"/>
      <c r="AX942" s="1236"/>
      <c r="AY942" s="473"/>
      <c r="AZ942" s="1236"/>
      <c r="BA942" s="473"/>
      <c r="BB942" s="473"/>
      <c r="BC942" s="1164"/>
      <c r="BD942" s="20"/>
      <c r="BE942" s="473"/>
      <c r="BF942" s="610"/>
      <c r="BG942" s="610"/>
      <c r="BH942" s="610"/>
      <c r="BI942" s="610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</row>
    <row r="943" spans="1:148" s="22" customFormat="1" x14ac:dyDescent="0.25">
      <c r="A943" s="20"/>
      <c r="B943" s="16"/>
      <c r="C943" s="473"/>
      <c r="D943" s="473"/>
      <c r="E943" s="1164"/>
      <c r="F943" s="473"/>
      <c r="G943" s="473"/>
      <c r="H943" s="1164"/>
      <c r="I943" s="473"/>
      <c r="J943" s="473"/>
      <c r="K943" s="1164"/>
      <c r="L943" s="473"/>
      <c r="M943" s="473"/>
      <c r="N943" s="1164"/>
      <c r="O943" s="473"/>
      <c r="P943" s="473"/>
      <c r="Q943" s="1164"/>
      <c r="R943" s="473"/>
      <c r="S943" s="473"/>
      <c r="T943" s="1164"/>
      <c r="U943" s="1164"/>
      <c r="V943" s="473"/>
      <c r="W943" s="473"/>
      <c r="X943" s="1164"/>
      <c r="Y943" s="473"/>
      <c r="Z943" s="473"/>
      <c r="AA943" s="1164"/>
      <c r="AB943" s="473"/>
      <c r="AC943" s="1164"/>
      <c r="AD943" s="473"/>
      <c r="AE943" s="1164"/>
      <c r="AF943" s="473"/>
      <c r="AG943" s="1164"/>
      <c r="AH943" s="473"/>
      <c r="AI943" s="473"/>
      <c r="AJ943" s="1164"/>
      <c r="AK943" s="473"/>
      <c r="AL943" s="473"/>
      <c r="AM943" s="1164"/>
      <c r="AN943" s="473"/>
      <c r="AO943" s="473"/>
      <c r="AP943" s="1164"/>
      <c r="AQ943" s="473"/>
      <c r="AR943" s="473"/>
      <c r="AS943" s="1236"/>
      <c r="AT943" s="473"/>
      <c r="AU943" s="473"/>
      <c r="AV943" s="1164"/>
      <c r="AW943" s="1164"/>
      <c r="AX943" s="1236"/>
      <c r="AY943" s="473"/>
      <c r="AZ943" s="1236"/>
      <c r="BA943" s="473"/>
      <c r="BB943" s="473"/>
      <c r="BC943" s="1164"/>
      <c r="BD943" s="20"/>
      <c r="BE943" s="473"/>
      <c r="BF943" s="610"/>
      <c r="BG943" s="610"/>
      <c r="BH943" s="610"/>
      <c r="BI943" s="610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</row>
    <row r="944" spans="1:148" s="22" customFormat="1" x14ac:dyDescent="0.25">
      <c r="A944" s="20"/>
      <c r="B944" s="16"/>
      <c r="C944" s="473"/>
      <c r="D944" s="473"/>
      <c r="E944" s="1164"/>
      <c r="F944" s="473"/>
      <c r="G944" s="473"/>
      <c r="H944" s="1164"/>
      <c r="I944" s="473"/>
      <c r="J944" s="473"/>
      <c r="K944" s="1164"/>
      <c r="L944" s="473"/>
      <c r="M944" s="473"/>
      <c r="N944" s="1164"/>
      <c r="O944" s="473"/>
      <c r="P944" s="473"/>
      <c r="Q944" s="1164"/>
      <c r="R944" s="473"/>
      <c r="S944" s="473"/>
      <c r="T944" s="1164"/>
      <c r="U944" s="1164"/>
      <c r="V944" s="473"/>
      <c r="W944" s="473"/>
      <c r="X944" s="1164"/>
      <c r="Y944" s="473"/>
      <c r="Z944" s="473"/>
      <c r="AA944" s="1164"/>
      <c r="AB944" s="473"/>
      <c r="AC944" s="1164"/>
      <c r="AD944" s="473"/>
      <c r="AE944" s="1164"/>
      <c r="AF944" s="473"/>
      <c r="AG944" s="1164"/>
      <c r="AH944" s="473"/>
      <c r="AI944" s="473"/>
      <c r="AJ944" s="1164"/>
      <c r="AK944" s="473"/>
      <c r="AL944" s="473"/>
      <c r="AM944" s="1164"/>
      <c r="AN944" s="473"/>
      <c r="AO944" s="473"/>
      <c r="AP944" s="1164"/>
      <c r="AQ944" s="473"/>
      <c r="AR944" s="473"/>
      <c r="AS944" s="1236"/>
      <c r="AT944" s="473"/>
      <c r="AU944" s="473"/>
      <c r="AV944" s="1164"/>
      <c r="AW944" s="1164"/>
      <c r="AX944" s="1236"/>
      <c r="AY944" s="473"/>
      <c r="AZ944" s="1236"/>
      <c r="BA944" s="473"/>
      <c r="BB944" s="473"/>
      <c r="BC944" s="1164"/>
      <c r="BD944" s="20"/>
      <c r="BE944" s="473"/>
      <c r="BF944" s="610"/>
      <c r="BG944" s="610"/>
      <c r="BH944" s="610"/>
      <c r="BI944" s="610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</row>
    <row r="945" spans="1:148" s="22" customFormat="1" x14ac:dyDescent="0.25">
      <c r="A945" s="20"/>
      <c r="B945" s="16"/>
      <c r="C945" s="473"/>
      <c r="D945" s="473"/>
      <c r="E945" s="1164"/>
      <c r="F945" s="473"/>
      <c r="G945" s="473"/>
      <c r="H945" s="1164"/>
      <c r="I945" s="473"/>
      <c r="J945" s="473"/>
      <c r="K945" s="1164"/>
      <c r="L945" s="473"/>
      <c r="M945" s="473"/>
      <c r="N945" s="1164"/>
      <c r="O945" s="473"/>
      <c r="P945" s="473"/>
      <c r="Q945" s="1164"/>
      <c r="R945" s="473"/>
      <c r="S945" s="473"/>
      <c r="T945" s="1164"/>
      <c r="U945" s="1164"/>
      <c r="V945" s="473"/>
      <c r="W945" s="473"/>
      <c r="X945" s="1164"/>
      <c r="Y945" s="473"/>
      <c r="Z945" s="473"/>
      <c r="AA945" s="1164"/>
      <c r="AB945" s="473"/>
      <c r="AC945" s="1164"/>
      <c r="AD945" s="473"/>
      <c r="AE945" s="1164"/>
      <c r="AF945" s="473"/>
      <c r="AG945" s="1164"/>
      <c r="AH945" s="473"/>
      <c r="AI945" s="473"/>
      <c r="AJ945" s="1164"/>
      <c r="AK945" s="473"/>
      <c r="AL945" s="473"/>
      <c r="AM945" s="1164"/>
      <c r="AN945" s="473"/>
      <c r="AO945" s="473"/>
      <c r="AP945" s="1164"/>
      <c r="AQ945" s="473"/>
      <c r="AR945" s="473"/>
      <c r="AS945" s="1236"/>
      <c r="AT945" s="473"/>
      <c r="AU945" s="473"/>
      <c r="AV945" s="1164"/>
      <c r="AW945" s="1164"/>
      <c r="AX945" s="1236"/>
      <c r="AY945" s="473"/>
      <c r="AZ945" s="1236"/>
      <c r="BA945" s="473"/>
      <c r="BB945" s="473"/>
      <c r="BC945" s="1164"/>
      <c r="BD945" s="20"/>
      <c r="BE945" s="473"/>
      <c r="BF945" s="610"/>
      <c r="BG945" s="610"/>
      <c r="BH945" s="610"/>
      <c r="BI945" s="610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</row>
    <row r="946" spans="1:148" s="22" customFormat="1" x14ac:dyDescent="0.25">
      <c r="A946" s="20"/>
      <c r="B946" s="16"/>
      <c r="C946" s="473"/>
      <c r="D946" s="473"/>
      <c r="E946" s="1164"/>
      <c r="F946" s="473"/>
      <c r="G946" s="473"/>
      <c r="H946" s="1164"/>
      <c r="I946" s="473"/>
      <c r="J946" s="473"/>
      <c r="K946" s="1164"/>
      <c r="L946" s="473"/>
      <c r="M946" s="473"/>
      <c r="N946" s="1164"/>
      <c r="O946" s="473"/>
      <c r="P946" s="473"/>
      <c r="Q946" s="1164"/>
      <c r="R946" s="473"/>
      <c r="S946" s="473"/>
      <c r="T946" s="1164"/>
      <c r="U946" s="1164"/>
      <c r="V946" s="473"/>
      <c r="W946" s="473"/>
      <c r="X946" s="1164"/>
      <c r="Y946" s="473"/>
      <c r="Z946" s="473"/>
      <c r="AA946" s="1164"/>
      <c r="AB946" s="473"/>
      <c r="AC946" s="1164"/>
      <c r="AD946" s="473"/>
      <c r="AE946" s="1164"/>
      <c r="AF946" s="473"/>
      <c r="AG946" s="1164"/>
      <c r="AH946" s="473"/>
      <c r="AI946" s="473"/>
      <c r="AJ946" s="1164"/>
      <c r="AK946" s="473"/>
      <c r="AL946" s="473"/>
      <c r="AM946" s="1164"/>
      <c r="AN946" s="473"/>
      <c r="AO946" s="473"/>
      <c r="AP946" s="1164"/>
      <c r="AQ946" s="473"/>
      <c r="AR946" s="473"/>
      <c r="AS946" s="1236"/>
      <c r="AT946" s="473"/>
      <c r="AU946" s="473"/>
      <c r="AV946" s="1164"/>
      <c r="AW946" s="1164"/>
      <c r="AX946" s="1236"/>
      <c r="AY946" s="473"/>
      <c r="AZ946" s="1236"/>
      <c r="BA946" s="473"/>
      <c r="BB946" s="473"/>
      <c r="BC946" s="1164"/>
      <c r="BD946" s="20"/>
      <c r="BE946" s="473"/>
      <c r="BF946" s="610"/>
      <c r="BG946" s="610"/>
      <c r="BH946" s="610"/>
      <c r="BI946" s="610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</row>
    <row r="947" spans="1:148" s="22" customFormat="1" x14ac:dyDescent="0.25">
      <c r="A947" s="20"/>
      <c r="B947" s="16"/>
      <c r="C947" s="473"/>
      <c r="D947" s="473"/>
      <c r="E947" s="1164"/>
      <c r="F947" s="473"/>
      <c r="G947" s="473"/>
      <c r="H947" s="1164"/>
      <c r="I947" s="473"/>
      <c r="J947" s="473"/>
      <c r="K947" s="1164"/>
      <c r="L947" s="473"/>
      <c r="M947" s="473"/>
      <c r="N947" s="1164"/>
      <c r="O947" s="473"/>
      <c r="P947" s="473"/>
      <c r="Q947" s="1164"/>
      <c r="R947" s="473"/>
      <c r="S947" s="473"/>
      <c r="T947" s="1164"/>
      <c r="U947" s="1164"/>
      <c r="V947" s="473"/>
      <c r="W947" s="473"/>
      <c r="X947" s="1164"/>
      <c r="Y947" s="473"/>
      <c r="Z947" s="473"/>
      <c r="AA947" s="1164"/>
      <c r="AB947" s="473"/>
      <c r="AC947" s="1164"/>
      <c r="AD947" s="473"/>
      <c r="AE947" s="1164"/>
      <c r="AF947" s="473"/>
      <c r="AG947" s="1164"/>
      <c r="AH947" s="473"/>
      <c r="AI947" s="473"/>
      <c r="AJ947" s="1164"/>
      <c r="AK947" s="473"/>
      <c r="AL947" s="473"/>
      <c r="AM947" s="1164"/>
      <c r="AN947" s="473"/>
      <c r="AO947" s="473"/>
      <c r="AP947" s="1164"/>
      <c r="AQ947" s="473"/>
      <c r="AR947" s="473"/>
      <c r="AS947" s="1236"/>
      <c r="AT947" s="473"/>
      <c r="AU947" s="473"/>
      <c r="AV947" s="1164"/>
      <c r="AW947" s="1164"/>
      <c r="AX947" s="1236"/>
      <c r="AY947" s="473"/>
      <c r="AZ947" s="1236"/>
      <c r="BA947" s="473"/>
      <c r="BB947" s="473"/>
      <c r="BC947" s="1164"/>
      <c r="BD947" s="20"/>
      <c r="BE947" s="473"/>
      <c r="BF947" s="610"/>
      <c r="BG947" s="610"/>
      <c r="BH947" s="610"/>
      <c r="BI947" s="610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</row>
    <row r="948" spans="1:148" s="22" customFormat="1" x14ac:dyDescent="0.25">
      <c r="A948" s="20"/>
      <c r="B948" s="16"/>
      <c r="C948" s="473"/>
      <c r="D948" s="473"/>
      <c r="E948" s="1164"/>
      <c r="F948" s="473"/>
      <c r="G948" s="473"/>
      <c r="H948" s="1164"/>
      <c r="I948" s="473"/>
      <c r="J948" s="473"/>
      <c r="K948" s="1164"/>
      <c r="L948" s="473"/>
      <c r="M948" s="473"/>
      <c r="N948" s="1164"/>
      <c r="O948" s="473"/>
      <c r="P948" s="473"/>
      <c r="Q948" s="1164"/>
      <c r="R948" s="473"/>
      <c r="S948" s="473"/>
      <c r="T948" s="1164"/>
      <c r="U948" s="1164"/>
      <c r="V948" s="473"/>
      <c r="W948" s="473"/>
      <c r="X948" s="1164"/>
      <c r="Y948" s="473"/>
      <c r="Z948" s="473"/>
      <c r="AA948" s="1164"/>
      <c r="AB948" s="473"/>
      <c r="AC948" s="1164"/>
      <c r="AD948" s="473"/>
      <c r="AE948" s="1164"/>
      <c r="AF948" s="473"/>
      <c r="AG948" s="1164"/>
      <c r="AH948" s="473"/>
      <c r="AI948" s="473"/>
      <c r="AJ948" s="1164"/>
      <c r="AK948" s="473"/>
      <c r="AL948" s="473"/>
      <c r="AM948" s="1164"/>
      <c r="AN948" s="473"/>
      <c r="AO948" s="473"/>
      <c r="AP948" s="1164"/>
      <c r="AQ948" s="473"/>
      <c r="AR948" s="473"/>
      <c r="AS948" s="1236"/>
      <c r="AT948" s="473"/>
      <c r="AU948" s="473"/>
      <c r="AV948" s="1164"/>
      <c r="AW948" s="1164"/>
      <c r="AX948" s="1236"/>
      <c r="AY948" s="473"/>
      <c r="AZ948" s="1236"/>
      <c r="BA948" s="473"/>
      <c r="BB948" s="473"/>
      <c r="BC948" s="1164"/>
      <c r="BD948" s="20"/>
      <c r="BE948" s="473"/>
      <c r="BF948" s="610"/>
      <c r="BG948" s="610"/>
      <c r="BH948" s="610"/>
      <c r="BI948" s="610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</row>
    <row r="949" spans="1:148" s="22" customFormat="1" x14ac:dyDescent="0.25">
      <c r="A949" s="20"/>
      <c r="B949" s="16"/>
      <c r="C949" s="473"/>
      <c r="D949" s="473"/>
      <c r="E949" s="1164"/>
      <c r="F949" s="473"/>
      <c r="G949" s="473"/>
      <c r="H949" s="1164"/>
      <c r="I949" s="473"/>
      <c r="J949" s="473"/>
      <c r="K949" s="1164"/>
      <c r="L949" s="473"/>
      <c r="M949" s="473"/>
      <c r="N949" s="1164"/>
      <c r="O949" s="473"/>
      <c r="P949" s="473"/>
      <c r="Q949" s="1164"/>
      <c r="R949" s="473"/>
      <c r="S949" s="473"/>
      <c r="T949" s="1164"/>
      <c r="U949" s="1164"/>
      <c r="V949" s="473"/>
      <c r="W949" s="473"/>
      <c r="X949" s="1164"/>
      <c r="Y949" s="473"/>
      <c r="Z949" s="473"/>
      <c r="AA949" s="1164"/>
      <c r="AB949" s="473"/>
      <c r="AC949" s="1164"/>
      <c r="AD949" s="473"/>
      <c r="AE949" s="1164"/>
      <c r="AF949" s="473"/>
      <c r="AG949" s="1164"/>
      <c r="AH949" s="473"/>
      <c r="AI949" s="473"/>
      <c r="AJ949" s="1164"/>
      <c r="AK949" s="473"/>
      <c r="AL949" s="473"/>
      <c r="AM949" s="1164"/>
      <c r="AN949" s="473"/>
      <c r="AO949" s="473"/>
      <c r="AP949" s="1164"/>
      <c r="AQ949" s="473"/>
      <c r="AR949" s="473"/>
      <c r="AS949" s="1236"/>
      <c r="AT949" s="473"/>
      <c r="AU949" s="473"/>
      <c r="AV949" s="1164"/>
      <c r="AW949" s="1164"/>
      <c r="AX949" s="1236"/>
      <c r="AY949" s="473"/>
      <c r="AZ949" s="1236"/>
      <c r="BA949" s="473"/>
      <c r="BB949" s="473"/>
      <c r="BC949" s="1164"/>
      <c r="BD949" s="20"/>
      <c r="BE949" s="473"/>
      <c r="BF949" s="610"/>
      <c r="BG949" s="610"/>
      <c r="BH949" s="610"/>
      <c r="BI949" s="610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</row>
    <row r="950" spans="1:148" s="22" customFormat="1" x14ac:dyDescent="0.25">
      <c r="A950" s="20"/>
      <c r="B950" s="16"/>
      <c r="C950" s="473"/>
      <c r="D950" s="473"/>
      <c r="E950" s="1164"/>
      <c r="F950" s="473"/>
      <c r="G950" s="473"/>
      <c r="H950" s="1164"/>
      <c r="I950" s="473"/>
      <c r="J950" s="473"/>
      <c r="K950" s="1164"/>
      <c r="L950" s="473"/>
      <c r="M950" s="473"/>
      <c r="N950" s="1164"/>
      <c r="O950" s="473"/>
      <c r="P950" s="473"/>
      <c r="Q950" s="1164"/>
      <c r="R950" s="473"/>
      <c r="S950" s="473"/>
      <c r="T950" s="1164"/>
      <c r="U950" s="1164"/>
      <c r="V950" s="473"/>
      <c r="W950" s="473"/>
      <c r="X950" s="1164"/>
      <c r="Y950" s="473"/>
      <c r="Z950" s="473"/>
      <c r="AA950" s="1164"/>
      <c r="AB950" s="473"/>
      <c r="AC950" s="1164"/>
      <c r="AD950" s="473"/>
      <c r="AE950" s="1164"/>
      <c r="AF950" s="473"/>
      <c r="AG950" s="1164"/>
      <c r="AH950" s="473"/>
      <c r="AI950" s="473"/>
      <c r="AJ950" s="1164"/>
      <c r="AK950" s="473"/>
      <c r="AL950" s="473"/>
      <c r="AM950" s="1164"/>
      <c r="AN950" s="473"/>
      <c r="AO950" s="473"/>
      <c r="AP950" s="1164"/>
      <c r="AQ950" s="473"/>
      <c r="AR950" s="473"/>
      <c r="AS950" s="1236"/>
      <c r="AT950" s="473"/>
      <c r="AU950" s="473"/>
      <c r="AV950" s="1164"/>
      <c r="AW950" s="1164"/>
      <c r="AX950" s="1236"/>
      <c r="AY950" s="473"/>
      <c r="AZ950" s="1236"/>
      <c r="BA950" s="473"/>
      <c r="BB950" s="473"/>
      <c r="BC950" s="1164"/>
      <c r="BD950" s="20"/>
      <c r="BE950" s="473"/>
      <c r="BF950" s="610"/>
      <c r="BG950" s="610"/>
      <c r="BH950" s="610"/>
      <c r="BI950" s="610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</row>
    <row r="951" spans="1:148" s="22" customFormat="1" x14ac:dyDescent="0.25">
      <c r="A951" s="20"/>
      <c r="B951" s="16"/>
      <c r="C951" s="473"/>
      <c r="D951" s="473"/>
      <c r="E951" s="1164"/>
      <c r="F951" s="473"/>
      <c r="G951" s="473"/>
      <c r="H951" s="1164"/>
      <c r="I951" s="473"/>
      <c r="J951" s="473"/>
      <c r="K951" s="1164"/>
      <c r="L951" s="473"/>
      <c r="M951" s="473"/>
      <c r="N951" s="1164"/>
      <c r="O951" s="473"/>
      <c r="P951" s="473"/>
      <c r="Q951" s="1164"/>
      <c r="R951" s="473"/>
      <c r="S951" s="473"/>
      <c r="T951" s="1164"/>
      <c r="U951" s="1164"/>
      <c r="V951" s="473"/>
      <c r="W951" s="473"/>
      <c r="X951" s="1164"/>
      <c r="Y951" s="473"/>
      <c r="Z951" s="473"/>
      <c r="AA951" s="1164"/>
      <c r="AB951" s="473"/>
      <c r="AC951" s="1164"/>
      <c r="AD951" s="473"/>
      <c r="AE951" s="1164"/>
      <c r="AF951" s="473"/>
      <c r="AG951" s="1164"/>
      <c r="AH951" s="473"/>
      <c r="AI951" s="473"/>
      <c r="AJ951" s="1164"/>
      <c r="AK951" s="473"/>
      <c r="AL951" s="473"/>
      <c r="AM951" s="1164"/>
      <c r="AN951" s="473"/>
      <c r="AO951" s="473"/>
      <c r="AP951" s="1164"/>
      <c r="AQ951" s="473"/>
      <c r="AR951" s="473"/>
      <c r="AS951" s="1236"/>
      <c r="AT951" s="473"/>
      <c r="AU951" s="473"/>
      <c r="AV951" s="1164"/>
      <c r="AW951" s="1164"/>
      <c r="AX951" s="1236"/>
      <c r="AY951" s="473"/>
      <c r="AZ951" s="1236"/>
      <c r="BA951" s="473"/>
      <c r="BB951" s="473"/>
      <c r="BC951" s="1164"/>
      <c r="BD951" s="20"/>
      <c r="BE951" s="473"/>
      <c r="BF951" s="610"/>
      <c r="BG951" s="610"/>
      <c r="BH951" s="610"/>
      <c r="BI951" s="610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</row>
    <row r="952" spans="1:148" s="22" customFormat="1" x14ac:dyDescent="0.25">
      <c r="A952" s="20"/>
      <c r="B952" s="16"/>
      <c r="C952" s="473"/>
      <c r="D952" s="473"/>
      <c r="E952" s="1164"/>
      <c r="F952" s="473"/>
      <c r="G952" s="473"/>
      <c r="H952" s="1164"/>
      <c r="I952" s="473"/>
      <c r="J952" s="473"/>
      <c r="K952" s="1164"/>
      <c r="L952" s="473"/>
      <c r="M952" s="473"/>
      <c r="N952" s="1164"/>
      <c r="O952" s="473"/>
      <c r="P952" s="473"/>
      <c r="Q952" s="1164"/>
      <c r="R952" s="473"/>
      <c r="S952" s="473"/>
      <c r="T952" s="1164"/>
      <c r="U952" s="1164"/>
      <c r="V952" s="473"/>
      <c r="W952" s="473"/>
      <c r="X952" s="1164"/>
      <c r="Y952" s="473"/>
      <c r="Z952" s="473"/>
      <c r="AA952" s="1164"/>
      <c r="AB952" s="473"/>
      <c r="AC952" s="1164"/>
      <c r="AD952" s="473"/>
      <c r="AE952" s="1164"/>
      <c r="AF952" s="473"/>
      <c r="AG952" s="1164"/>
      <c r="AH952" s="473"/>
      <c r="AI952" s="473"/>
      <c r="AJ952" s="1164"/>
      <c r="AK952" s="473"/>
      <c r="AL952" s="473"/>
      <c r="AM952" s="1164"/>
      <c r="AN952" s="473"/>
      <c r="AO952" s="473"/>
      <c r="AP952" s="1164"/>
      <c r="AQ952" s="473"/>
      <c r="AR952" s="473"/>
      <c r="AS952" s="1236"/>
      <c r="AT952" s="473"/>
      <c r="AU952" s="473"/>
      <c r="AV952" s="1164"/>
      <c r="AW952" s="1164"/>
      <c r="AX952" s="1236"/>
      <c r="AY952" s="473"/>
      <c r="AZ952" s="1236"/>
      <c r="BA952" s="473"/>
      <c r="BB952" s="473"/>
      <c r="BC952" s="1164"/>
      <c r="BD952" s="20"/>
      <c r="BE952" s="473"/>
      <c r="BF952" s="610"/>
      <c r="BG952" s="610"/>
      <c r="BH952" s="610"/>
      <c r="BI952" s="610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</row>
    <row r="953" spans="1:148" s="22" customFormat="1" x14ac:dyDescent="0.25">
      <c r="A953" s="20"/>
      <c r="B953" s="16"/>
      <c r="C953" s="473"/>
      <c r="D953" s="473"/>
      <c r="E953" s="1164"/>
      <c r="F953" s="473"/>
      <c r="G953" s="473"/>
      <c r="H953" s="1164"/>
      <c r="I953" s="473"/>
      <c r="J953" s="473"/>
      <c r="K953" s="1164"/>
      <c r="L953" s="473"/>
      <c r="M953" s="473"/>
      <c r="N953" s="1164"/>
      <c r="O953" s="473"/>
      <c r="P953" s="473"/>
      <c r="Q953" s="1164"/>
      <c r="R953" s="473"/>
      <c r="S953" s="473"/>
      <c r="T953" s="1164"/>
      <c r="U953" s="1164"/>
      <c r="V953" s="473"/>
      <c r="W953" s="473"/>
      <c r="X953" s="1164"/>
      <c r="Y953" s="473"/>
      <c r="Z953" s="473"/>
      <c r="AA953" s="1164"/>
      <c r="AB953" s="473"/>
      <c r="AC953" s="1164"/>
      <c r="AD953" s="473"/>
      <c r="AE953" s="1164"/>
      <c r="AF953" s="473"/>
      <c r="AG953" s="1164"/>
      <c r="AH953" s="473"/>
      <c r="AI953" s="473"/>
      <c r="AJ953" s="1164"/>
      <c r="AK953" s="473"/>
      <c r="AL953" s="473"/>
      <c r="AM953" s="1164"/>
      <c r="AN953" s="473"/>
      <c r="AO953" s="473"/>
      <c r="AP953" s="1164"/>
      <c r="AQ953" s="473"/>
      <c r="AR953" s="473"/>
      <c r="AS953" s="1236"/>
      <c r="AT953" s="473"/>
      <c r="AU953" s="473"/>
      <c r="AV953" s="1164"/>
      <c r="AW953" s="1164"/>
      <c r="AX953" s="1236"/>
      <c r="AY953" s="473"/>
      <c r="AZ953" s="1236"/>
      <c r="BA953" s="473"/>
      <c r="BB953" s="473"/>
      <c r="BC953" s="1164"/>
      <c r="BD953" s="20"/>
      <c r="BE953" s="473"/>
      <c r="BF953" s="610"/>
      <c r="BG953" s="610"/>
      <c r="BH953" s="610"/>
      <c r="BI953" s="610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</row>
    <row r="954" spans="1:148" s="22" customFormat="1" x14ac:dyDescent="0.25">
      <c r="A954" s="20"/>
      <c r="B954" s="16"/>
      <c r="C954" s="473"/>
      <c r="D954" s="473"/>
      <c r="E954" s="1164"/>
      <c r="F954" s="473"/>
      <c r="G954" s="473"/>
      <c r="H954" s="1164"/>
      <c r="I954" s="473"/>
      <c r="J954" s="473"/>
      <c r="K954" s="1164"/>
      <c r="L954" s="473"/>
      <c r="M954" s="473"/>
      <c r="N954" s="1164"/>
      <c r="O954" s="473"/>
      <c r="P954" s="473"/>
      <c r="Q954" s="1164"/>
      <c r="R954" s="473"/>
      <c r="S954" s="473"/>
      <c r="T954" s="1164"/>
      <c r="U954" s="1164"/>
      <c r="V954" s="473"/>
      <c r="W954" s="473"/>
      <c r="X954" s="1164"/>
      <c r="Y954" s="473"/>
      <c r="Z954" s="473"/>
      <c r="AA954" s="1164"/>
      <c r="AB954" s="473"/>
      <c r="AC954" s="1164"/>
      <c r="AD954" s="473"/>
      <c r="AE954" s="1164"/>
      <c r="AF954" s="473"/>
      <c r="AG954" s="1164"/>
      <c r="AH954" s="473"/>
      <c r="AI954" s="473"/>
      <c r="AJ954" s="1164"/>
      <c r="AK954" s="473"/>
      <c r="AL954" s="473"/>
      <c r="AM954" s="1164"/>
      <c r="AN954" s="473"/>
      <c r="AO954" s="473"/>
      <c r="AP954" s="1164"/>
      <c r="AQ954" s="473"/>
      <c r="AR954" s="473"/>
      <c r="AS954" s="1236"/>
      <c r="AT954" s="473"/>
      <c r="AU954" s="473"/>
      <c r="AV954" s="1164"/>
      <c r="AW954" s="1164"/>
      <c r="AX954" s="1236"/>
      <c r="AY954" s="473"/>
      <c r="AZ954" s="1236"/>
      <c r="BA954" s="473"/>
      <c r="BB954" s="473"/>
      <c r="BC954" s="1164"/>
      <c r="BD954" s="20"/>
      <c r="BE954" s="473"/>
      <c r="BF954" s="610"/>
      <c r="BG954" s="610"/>
      <c r="BH954" s="610"/>
      <c r="BI954" s="610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</row>
    <row r="955" spans="1:148" s="22" customFormat="1" x14ac:dyDescent="0.25">
      <c r="A955" s="20"/>
      <c r="B955" s="16"/>
      <c r="C955" s="473"/>
      <c r="D955" s="473"/>
      <c r="E955" s="1164"/>
      <c r="F955" s="473"/>
      <c r="G955" s="473"/>
      <c r="H955" s="1164"/>
      <c r="I955" s="473"/>
      <c r="J955" s="473"/>
      <c r="K955" s="1164"/>
      <c r="L955" s="473"/>
      <c r="M955" s="473"/>
      <c r="N955" s="1164"/>
      <c r="O955" s="473"/>
      <c r="P955" s="473"/>
      <c r="Q955" s="1164"/>
      <c r="R955" s="473"/>
      <c r="S955" s="473"/>
      <c r="T955" s="1164"/>
      <c r="U955" s="1164"/>
      <c r="V955" s="473"/>
      <c r="W955" s="473"/>
      <c r="X955" s="1164"/>
      <c r="Y955" s="473"/>
      <c r="Z955" s="473"/>
      <c r="AA955" s="1164"/>
      <c r="AB955" s="473"/>
      <c r="AC955" s="1164"/>
      <c r="AD955" s="473"/>
      <c r="AE955" s="1164"/>
      <c r="AF955" s="473"/>
      <c r="AG955" s="1164"/>
      <c r="AH955" s="473"/>
      <c r="AI955" s="473"/>
      <c r="AJ955" s="1164"/>
      <c r="AK955" s="473"/>
      <c r="AL955" s="473"/>
      <c r="AM955" s="1164"/>
      <c r="AN955" s="473"/>
      <c r="AO955" s="473"/>
      <c r="AP955" s="1164"/>
      <c r="AQ955" s="473"/>
      <c r="AR955" s="473"/>
      <c r="AS955" s="1236"/>
      <c r="AT955" s="473"/>
      <c r="AU955" s="473"/>
      <c r="AV955" s="1164"/>
      <c r="AW955" s="1164"/>
      <c r="AX955" s="1236"/>
      <c r="AY955" s="473"/>
      <c r="AZ955" s="1236"/>
      <c r="BA955" s="473"/>
      <c r="BB955" s="473"/>
      <c r="BC955" s="1164"/>
      <c r="BD955" s="20"/>
      <c r="BE955" s="473"/>
      <c r="BF955" s="610"/>
      <c r="BG955" s="610"/>
      <c r="BH955" s="610"/>
      <c r="BI955" s="610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</row>
    <row r="956" spans="1:148" s="22" customFormat="1" x14ac:dyDescent="0.25">
      <c r="A956" s="20"/>
      <c r="B956" s="16"/>
      <c r="C956" s="473"/>
      <c r="D956" s="473"/>
      <c r="E956" s="1164"/>
      <c r="F956" s="473"/>
      <c r="G956" s="473"/>
      <c r="H956" s="1164"/>
      <c r="I956" s="473"/>
      <c r="J956" s="473"/>
      <c r="K956" s="1164"/>
      <c r="L956" s="473"/>
      <c r="M956" s="473"/>
      <c r="N956" s="1164"/>
      <c r="O956" s="473"/>
      <c r="P956" s="473"/>
      <c r="Q956" s="1164"/>
      <c r="R956" s="473"/>
      <c r="S956" s="473"/>
      <c r="T956" s="1164"/>
      <c r="U956" s="1164"/>
      <c r="V956" s="473"/>
      <c r="W956" s="473"/>
      <c r="X956" s="1164"/>
      <c r="Y956" s="473"/>
      <c r="Z956" s="473"/>
      <c r="AA956" s="1164"/>
      <c r="AB956" s="473"/>
      <c r="AC956" s="1164"/>
      <c r="AD956" s="473"/>
      <c r="AE956" s="1164"/>
      <c r="AF956" s="473"/>
      <c r="AG956" s="1164"/>
      <c r="AH956" s="473"/>
      <c r="AI956" s="473"/>
      <c r="AJ956" s="1164"/>
      <c r="AK956" s="473"/>
      <c r="AL956" s="473"/>
      <c r="AM956" s="1164"/>
      <c r="AN956" s="473"/>
      <c r="AO956" s="473"/>
      <c r="AP956" s="1164"/>
      <c r="AQ956" s="473"/>
      <c r="AR956" s="473"/>
      <c r="AS956" s="1236"/>
      <c r="AT956" s="473"/>
      <c r="AU956" s="473"/>
      <c r="AV956" s="1164"/>
      <c r="AW956" s="1164"/>
      <c r="AX956" s="1236"/>
      <c r="AY956" s="473"/>
      <c r="AZ956" s="1236"/>
      <c r="BA956" s="473"/>
      <c r="BB956" s="473"/>
      <c r="BC956" s="1164"/>
      <c r="BD956" s="20"/>
      <c r="BE956" s="473"/>
      <c r="BF956" s="610"/>
      <c r="BG956" s="610"/>
      <c r="BH956" s="610"/>
      <c r="BI956" s="610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</row>
    <row r="957" spans="1:148" s="22" customFormat="1" x14ac:dyDescent="0.25">
      <c r="A957" s="20"/>
      <c r="B957" s="16"/>
      <c r="C957" s="473"/>
      <c r="D957" s="473"/>
      <c r="E957" s="1164"/>
      <c r="F957" s="473"/>
      <c r="G957" s="473"/>
      <c r="H957" s="1164"/>
      <c r="I957" s="473"/>
      <c r="J957" s="473"/>
      <c r="K957" s="1164"/>
      <c r="L957" s="473"/>
      <c r="M957" s="473"/>
      <c r="N957" s="1164"/>
      <c r="O957" s="473"/>
      <c r="P957" s="473"/>
      <c r="Q957" s="1164"/>
      <c r="R957" s="473"/>
      <c r="S957" s="473"/>
      <c r="T957" s="1164"/>
      <c r="U957" s="1164"/>
      <c r="V957" s="473"/>
      <c r="W957" s="473"/>
      <c r="X957" s="1164"/>
      <c r="Y957" s="473"/>
      <c r="Z957" s="473"/>
      <c r="AA957" s="1164"/>
      <c r="AB957" s="473"/>
      <c r="AC957" s="1164"/>
      <c r="AD957" s="473"/>
      <c r="AE957" s="1164"/>
      <c r="AF957" s="473"/>
      <c r="AG957" s="1164"/>
      <c r="AH957" s="473"/>
      <c r="AI957" s="473"/>
      <c r="AJ957" s="1164"/>
      <c r="AK957" s="473"/>
      <c r="AL957" s="473"/>
      <c r="AM957" s="1164"/>
      <c r="AN957" s="473"/>
      <c r="AO957" s="473"/>
      <c r="AP957" s="1164"/>
      <c r="AQ957" s="473"/>
      <c r="AR957" s="473"/>
      <c r="AS957" s="1236"/>
      <c r="AT957" s="473"/>
      <c r="AU957" s="473"/>
      <c r="AV957" s="1164"/>
      <c r="AW957" s="1164"/>
      <c r="AX957" s="1236"/>
      <c r="AY957" s="473"/>
      <c r="AZ957" s="1236"/>
      <c r="BA957" s="473"/>
      <c r="BB957" s="473"/>
      <c r="BC957" s="1164"/>
      <c r="BD957" s="20"/>
      <c r="BE957" s="473"/>
      <c r="BF957" s="610"/>
      <c r="BG957" s="610"/>
      <c r="BH957" s="610"/>
      <c r="BI957" s="610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</row>
    <row r="958" spans="1:148" s="22" customFormat="1" x14ac:dyDescent="0.25">
      <c r="A958" s="20"/>
      <c r="B958" s="16"/>
      <c r="C958" s="473"/>
      <c r="D958" s="473"/>
      <c r="E958" s="1164"/>
      <c r="F958" s="473"/>
      <c r="G958" s="473"/>
      <c r="H958" s="1164"/>
      <c r="I958" s="473"/>
      <c r="J958" s="473"/>
      <c r="K958" s="1164"/>
      <c r="L958" s="473"/>
      <c r="M958" s="473"/>
      <c r="N958" s="1164"/>
      <c r="O958" s="473"/>
      <c r="P958" s="473"/>
      <c r="Q958" s="1164"/>
      <c r="R958" s="473"/>
      <c r="S958" s="473"/>
      <c r="T958" s="1164"/>
      <c r="U958" s="1164"/>
      <c r="V958" s="473"/>
      <c r="W958" s="473"/>
      <c r="X958" s="1164"/>
      <c r="Y958" s="473"/>
      <c r="Z958" s="473"/>
      <c r="AA958" s="1164"/>
      <c r="AB958" s="473"/>
      <c r="AC958" s="1164"/>
      <c r="AD958" s="473"/>
      <c r="AE958" s="1164"/>
      <c r="AF958" s="473"/>
      <c r="AG958" s="1164"/>
      <c r="AH958" s="473"/>
      <c r="AI958" s="473"/>
      <c r="AJ958" s="1164"/>
      <c r="AK958" s="473"/>
      <c r="AL958" s="473"/>
      <c r="AM958" s="1164"/>
      <c r="AN958" s="473"/>
      <c r="AO958" s="473"/>
      <c r="AP958" s="1164"/>
      <c r="AQ958" s="473"/>
      <c r="AR958" s="473"/>
      <c r="AS958" s="1236"/>
      <c r="AT958" s="473"/>
      <c r="AU958" s="473"/>
      <c r="AV958" s="1164"/>
      <c r="AW958" s="1164"/>
      <c r="AX958" s="1236"/>
      <c r="AY958" s="473"/>
      <c r="AZ958" s="1236"/>
      <c r="BA958" s="473"/>
      <c r="BB958" s="473"/>
      <c r="BC958" s="1164"/>
      <c r="BD958" s="20"/>
      <c r="BE958" s="473"/>
      <c r="BF958" s="610"/>
      <c r="BG958" s="610"/>
      <c r="BH958" s="610"/>
      <c r="BI958" s="610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</row>
    <row r="959" spans="1:148" s="22" customFormat="1" x14ac:dyDescent="0.25">
      <c r="A959" s="20"/>
      <c r="B959" s="16"/>
      <c r="C959" s="473"/>
      <c r="D959" s="473"/>
      <c r="E959" s="1164"/>
      <c r="F959" s="473"/>
      <c r="G959" s="473"/>
      <c r="H959" s="1164"/>
      <c r="I959" s="473"/>
      <c r="J959" s="473"/>
      <c r="K959" s="1164"/>
      <c r="L959" s="473"/>
      <c r="M959" s="473"/>
      <c r="N959" s="1164"/>
      <c r="O959" s="473"/>
      <c r="P959" s="473"/>
      <c r="Q959" s="1164"/>
      <c r="R959" s="473"/>
      <c r="S959" s="473"/>
      <c r="T959" s="1164"/>
      <c r="U959" s="1164"/>
      <c r="V959" s="473"/>
      <c r="W959" s="473"/>
      <c r="X959" s="1164"/>
      <c r="Y959" s="473"/>
      <c r="Z959" s="473"/>
      <c r="AA959" s="1164"/>
      <c r="AB959" s="473"/>
      <c r="AC959" s="1164"/>
      <c r="AD959" s="473"/>
      <c r="AE959" s="1164"/>
      <c r="AF959" s="473"/>
      <c r="AG959" s="1164"/>
      <c r="AH959" s="473"/>
      <c r="AI959" s="473"/>
      <c r="AJ959" s="1164"/>
      <c r="AK959" s="473"/>
      <c r="AL959" s="473"/>
      <c r="AM959" s="1164"/>
      <c r="AN959" s="473"/>
      <c r="AO959" s="473"/>
      <c r="AP959" s="1164"/>
      <c r="AQ959" s="473"/>
      <c r="AR959" s="473"/>
      <c r="AS959" s="1236"/>
      <c r="AT959" s="473"/>
      <c r="AU959" s="473"/>
      <c r="AV959" s="1164"/>
      <c r="AW959" s="1164"/>
      <c r="AX959" s="1236"/>
      <c r="AY959" s="473"/>
      <c r="AZ959" s="1236"/>
      <c r="BA959" s="473"/>
      <c r="BB959" s="473"/>
      <c r="BC959" s="1164"/>
      <c r="BD959" s="20"/>
      <c r="BE959" s="473"/>
      <c r="BF959" s="610"/>
      <c r="BG959" s="610"/>
      <c r="BH959" s="610"/>
      <c r="BI959" s="610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</row>
    <row r="960" spans="1:148" s="22" customFormat="1" x14ac:dyDescent="0.25">
      <c r="A960" s="20"/>
      <c r="B960" s="16"/>
      <c r="C960" s="473"/>
      <c r="D960" s="473"/>
      <c r="E960" s="1164"/>
      <c r="F960" s="473"/>
      <c r="G960" s="473"/>
      <c r="H960" s="1164"/>
      <c r="I960" s="473"/>
      <c r="J960" s="473"/>
      <c r="K960" s="1164"/>
      <c r="L960" s="473"/>
      <c r="M960" s="473"/>
      <c r="N960" s="1164"/>
      <c r="O960" s="473"/>
      <c r="P960" s="473"/>
      <c r="Q960" s="1164"/>
      <c r="R960" s="473"/>
      <c r="S960" s="473"/>
      <c r="T960" s="1164"/>
      <c r="U960" s="1164"/>
      <c r="V960" s="473"/>
      <c r="W960" s="473"/>
      <c r="X960" s="1164"/>
      <c r="Y960" s="473"/>
      <c r="Z960" s="473"/>
      <c r="AA960" s="1164"/>
      <c r="AB960" s="473"/>
      <c r="AC960" s="1164"/>
      <c r="AD960" s="473"/>
      <c r="AE960" s="1164"/>
      <c r="AF960" s="473"/>
      <c r="AG960" s="1164"/>
      <c r="AH960" s="473"/>
      <c r="AI960" s="473"/>
      <c r="AJ960" s="1164"/>
      <c r="AK960" s="473"/>
      <c r="AL960" s="473"/>
      <c r="AM960" s="1164"/>
      <c r="AN960" s="473"/>
      <c r="AO960" s="473"/>
      <c r="AP960" s="1164"/>
      <c r="AQ960" s="473"/>
      <c r="AR960" s="473"/>
      <c r="AS960" s="1236"/>
      <c r="AT960" s="473"/>
      <c r="AU960" s="473"/>
      <c r="AV960" s="1164"/>
      <c r="AW960" s="1164"/>
      <c r="AX960" s="1236"/>
      <c r="AY960" s="473"/>
      <c r="AZ960" s="1236"/>
      <c r="BA960" s="473"/>
      <c r="BB960" s="473"/>
      <c r="BC960" s="1164"/>
      <c r="BD960" s="20"/>
      <c r="BE960" s="473"/>
      <c r="BF960" s="610"/>
      <c r="BG960" s="610"/>
      <c r="BH960" s="610"/>
      <c r="BI960" s="610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</row>
    <row r="961" spans="1:148" s="22" customFormat="1" x14ac:dyDescent="0.25">
      <c r="A961" s="20"/>
      <c r="B961" s="16"/>
      <c r="C961" s="473"/>
      <c r="D961" s="473"/>
      <c r="E961" s="1164"/>
      <c r="F961" s="473"/>
      <c r="G961" s="473"/>
      <c r="H961" s="1164"/>
      <c r="I961" s="473"/>
      <c r="J961" s="473"/>
      <c r="K961" s="1164"/>
      <c r="L961" s="473"/>
      <c r="M961" s="473"/>
      <c r="N961" s="1164"/>
      <c r="O961" s="473"/>
      <c r="P961" s="473"/>
      <c r="Q961" s="1164"/>
      <c r="R961" s="473"/>
      <c r="S961" s="473"/>
      <c r="T961" s="1164"/>
      <c r="U961" s="1164"/>
      <c r="V961" s="473"/>
      <c r="W961" s="473"/>
      <c r="X961" s="1164"/>
      <c r="Y961" s="473"/>
      <c r="Z961" s="473"/>
      <c r="AA961" s="1164"/>
      <c r="AB961" s="473"/>
      <c r="AC961" s="1164"/>
      <c r="AD961" s="473"/>
      <c r="AE961" s="1164"/>
      <c r="AF961" s="473"/>
      <c r="AG961" s="1164"/>
      <c r="AH961" s="473"/>
      <c r="AI961" s="473"/>
      <c r="AJ961" s="1164"/>
      <c r="AK961" s="473"/>
      <c r="AL961" s="473"/>
      <c r="AM961" s="1164"/>
      <c r="AN961" s="473"/>
      <c r="AO961" s="473"/>
      <c r="AP961" s="1164"/>
      <c r="AQ961" s="473"/>
      <c r="AR961" s="473"/>
      <c r="AS961" s="1236"/>
      <c r="AT961" s="473"/>
      <c r="AU961" s="473"/>
      <c r="AV961" s="1164"/>
      <c r="AW961" s="1164"/>
      <c r="AX961" s="1236"/>
      <c r="AY961" s="473"/>
      <c r="AZ961" s="1236"/>
      <c r="BA961" s="473"/>
      <c r="BB961" s="473"/>
      <c r="BC961" s="1164"/>
      <c r="BD961" s="20"/>
      <c r="BE961" s="473"/>
      <c r="BF961" s="610"/>
      <c r="BG961" s="610"/>
      <c r="BH961" s="610"/>
      <c r="BI961" s="610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</row>
    <row r="962" spans="1:148" s="22" customFormat="1" x14ac:dyDescent="0.25">
      <c r="A962" s="20"/>
      <c r="B962" s="16"/>
      <c r="C962" s="473"/>
      <c r="D962" s="473"/>
      <c r="E962" s="1164"/>
      <c r="F962" s="473"/>
      <c r="G962" s="473"/>
      <c r="H962" s="1164"/>
      <c r="I962" s="473"/>
      <c r="J962" s="473"/>
      <c r="K962" s="1164"/>
      <c r="L962" s="473"/>
      <c r="M962" s="473"/>
      <c r="N962" s="1164"/>
      <c r="O962" s="473"/>
      <c r="P962" s="473"/>
      <c r="Q962" s="1164"/>
      <c r="R962" s="473"/>
      <c r="S962" s="473"/>
      <c r="T962" s="1164"/>
      <c r="U962" s="1164"/>
      <c r="V962" s="473"/>
      <c r="W962" s="473"/>
      <c r="X962" s="1164"/>
      <c r="Y962" s="473"/>
      <c r="Z962" s="473"/>
      <c r="AA962" s="1164"/>
      <c r="AB962" s="473"/>
      <c r="AC962" s="1164"/>
      <c r="AD962" s="473"/>
      <c r="AE962" s="1164"/>
      <c r="AF962" s="473"/>
      <c r="AG962" s="1164"/>
      <c r="AH962" s="473"/>
      <c r="AI962" s="473"/>
      <c r="AJ962" s="1164"/>
      <c r="AK962" s="473"/>
      <c r="AL962" s="473"/>
      <c r="AM962" s="1164"/>
      <c r="AN962" s="473"/>
      <c r="AO962" s="473"/>
      <c r="AP962" s="1164"/>
      <c r="AQ962" s="473"/>
      <c r="AR962" s="473"/>
      <c r="AS962" s="1236"/>
      <c r="AT962" s="473"/>
      <c r="AU962" s="473"/>
      <c r="AV962" s="1164"/>
      <c r="AW962" s="1164"/>
      <c r="AX962" s="1236"/>
      <c r="AY962" s="473"/>
      <c r="AZ962" s="1236"/>
      <c r="BA962" s="473"/>
      <c r="BB962" s="473"/>
      <c r="BC962" s="1164"/>
      <c r="BD962" s="20"/>
      <c r="BE962" s="473"/>
      <c r="BF962" s="610"/>
      <c r="BG962" s="610"/>
      <c r="BH962" s="610"/>
      <c r="BI962" s="610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</row>
    <row r="963" spans="1:148" s="22" customFormat="1" x14ac:dyDescent="0.25">
      <c r="A963" s="20"/>
      <c r="B963" s="16"/>
      <c r="C963" s="473"/>
      <c r="D963" s="473"/>
      <c r="E963" s="1164"/>
      <c r="F963" s="473"/>
      <c r="G963" s="473"/>
      <c r="H963" s="1164"/>
      <c r="I963" s="473"/>
      <c r="J963" s="473"/>
      <c r="K963" s="1164"/>
      <c r="L963" s="473"/>
      <c r="M963" s="473"/>
      <c r="N963" s="1164"/>
      <c r="O963" s="473"/>
      <c r="P963" s="473"/>
      <c r="Q963" s="1164"/>
      <c r="R963" s="473"/>
      <c r="S963" s="473"/>
      <c r="T963" s="1164"/>
      <c r="U963" s="1164"/>
      <c r="V963" s="473"/>
      <c r="W963" s="473"/>
      <c r="X963" s="1164"/>
      <c r="Y963" s="473"/>
      <c r="Z963" s="473"/>
      <c r="AA963" s="1164"/>
      <c r="AB963" s="473"/>
      <c r="AC963" s="1164"/>
      <c r="AD963" s="473"/>
      <c r="AE963" s="1164"/>
      <c r="AF963" s="473"/>
      <c r="AG963" s="1164"/>
      <c r="AH963" s="473"/>
      <c r="AI963" s="473"/>
      <c r="AJ963" s="1164"/>
      <c r="AK963" s="473"/>
      <c r="AL963" s="473"/>
      <c r="AM963" s="1164"/>
      <c r="AN963" s="473"/>
      <c r="AO963" s="473"/>
      <c r="AP963" s="1164"/>
      <c r="AQ963" s="473"/>
      <c r="AR963" s="473"/>
      <c r="AS963" s="1236"/>
      <c r="AT963" s="473"/>
      <c r="AU963" s="473"/>
      <c r="AV963" s="1164"/>
      <c r="AW963" s="1164"/>
      <c r="AX963" s="1236"/>
      <c r="AY963" s="473"/>
      <c r="AZ963" s="1236"/>
      <c r="BA963" s="473"/>
      <c r="BB963" s="473"/>
      <c r="BC963" s="1164"/>
      <c r="BD963" s="20"/>
      <c r="BE963" s="473"/>
      <c r="BF963" s="610"/>
      <c r="BG963" s="610"/>
      <c r="BH963" s="610"/>
      <c r="BI963" s="610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</row>
    <row r="964" spans="1:148" s="22" customFormat="1" x14ac:dyDescent="0.25">
      <c r="A964" s="20"/>
      <c r="B964" s="16"/>
      <c r="C964" s="473"/>
      <c r="D964" s="473"/>
      <c r="E964" s="1164"/>
      <c r="F964" s="473"/>
      <c r="G964" s="473"/>
      <c r="H964" s="1164"/>
      <c r="I964" s="473"/>
      <c r="J964" s="473"/>
      <c r="K964" s="1164"/>
      <c r="L964" s="473"/>
      <c r="M964" s="473"/>
      <c r="N964" s="1164"/>
      <c r="O964" s="473"/>
      <c r="P964" s="473"/>
      <c r="Q964" s="1164"/>
      <c r="R964" s="473"/>
      <c r="S964" s="473"/>
      <c r="T964" s="1164"/>
      <c r="U964" s="1164"/>
      <c r="V964" s="473"/>
      <c r="W964" s="473"/>
      <c r="X964" s="1164"/>
      <c r="Y964" s="473"/>
      <c r="Z964" s="473"/>
      <c r="AA964" s="1164"/>
      <c r="AB964" s="473"/>
      <c r="AC964" s="1164"/>
      <c r="AD964" s="473"/>
      <c r="AE964" s="1164"/>
      <c r="AF964" s="473"/>
      <c r="AG964" s="1164"/>
      <c r="AH964" s="473"/>
      <c r="AI964" s="473"/>
      <c r="AJ964" s="1164"/>
      <c r="AK964" s="473"/>
      <c r="AL964" s="473"/>
      <c r="AM964" s="1164"/>
      <c r="AN964" s="473"/>
      <c r="AO964" s="473"/>
      <c r="AP964" s="1164"/>
      <c r="AQ964" s="473"/>
      <c r="AR964" s="473"/>
      <c r="AS964" s="1236"/>
      <c r="AT964" s="473"/>
      <c r="AU964" s="473"/>
      <c r="AV964" s="1164"/>
      <c r="AW964" s="1164"/>
      <c r="AX964" s="1236"/>
      <c r="AY964" s="473"/>
      <c r="AZ964" s="1236"/>
      <c r="BA964" s="473"/>
      <c r="BB964" s="473"/>
      <c r="BC964" s="1164"/>
      <c r="BD964" s="20"/>
      <c r="BE964" s="473"/>
      <c r="BF964" s="610"/>
      <c r="BG964" s="610"/>
      <c r="BH964" s="610"/>
      <c r="BI964" s="610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</row>
    <row r="965" spans="1:148" s="22" customFormat="1" x14ac:dyDescent="0.25">
      <c r="A965" s="20"/>
      <c r="B965" s="16"/>
      <c r="C965" s="473"/>
      <c r="D965" s="473"/>
      <c r="E965" s="1164"/>
      <c r="F965" s="473"/>
      <c r="G965" s="473"/>
      <c r="H965" s="1164"/>
      <c r="I965" s="473"/>
      <c r="J965" s="473"/>
      <c r="K965" s="1164"/>
      <c r="L965" s="473"/>
      <c r="M965" s="473"/>
      <c r="N965" s="1164"/>
      <c r="O965" s="473"/>
      <c r="P965" s="473"/>
      <c r="Q965" s="1164"/>
      <c r="R965" s="473"/>
      <c r="S965" s="473"/>
      <c r="T965" s="1164"/>
      <c r="U965" s="1164"/>
      <c r="V965" s="473"/>
      <c r="W965" s="473"/>
      <c r="X965" s="1164"/>
      <c r="Y965" s="473"/>
      <c r="Z965" s="473"/>
      <c r="AA965" s="1164"/>
      <c r="AB965" s="473"/>
      <c r="AC965" s="1164"/>
      <c r="AD965" s="473"/>
      <c r="AE965" s="1164"/>
      <c r="AF965" s="473"/>
      <c r="AG965" s="1164"/>
      <c r="AH965" s="473"/>
      <c r="AI965" s="473"/>
      <c r="AJ965" s="1164"/>
      <c r="AK965" s="473"/>
      <c r="AL965" s="473"/>
      <c r="AM965" s="1164"/>
      <c r="AN965" s="473"/>
      <c r="AO965" s="473"/>
      <c r="AP965" s="1164"/>
      <c r="AQ965" s="473"/>
      <c r="AR965" s="473"/>
      <c r="AS965" s="1236"/>
      <c r="AT965" s="473"/>
      <c r="AU965" s="473"/>
      <c r="AV965" s="1164"/>
      <c r="AW965" s="1164"/>
      <c r="AX965" s="1236"/>
      <c r="AY965" s="473"/>
      <c r="AZ965" s="1236"/>
      <c r="BA965" s="473"/>
      <c r="BB965" s="473"/>
      <c r="BC965" s="1164"/>
      <c r="BD965" s="20"/>
      <c r="BE965" s="473"/>
      <c r="BF965" s="610"/>
      <c r="BG965" s="610"/>
      <c r="BH965" s="610"/>
      <c r="BI965" s="610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</row>
    <row r="966" spans="1:148" s="22" customFormat="1" x14ac:dyDescent="0.25">
      <c r="A966" s="20"/>
      <c r="B966" s="16"/>
      <c r="C966" s="473"/>
      <c r="D966" s="473"/>
      <c r="E966" s="1164"/>
      <c r="F966" s="473"/>
      <c r="G966" s="473"/>
      <c r="H966" s="1164"/>
      <c r="I966" s="473"/>
      <c r="J966" s="473"/>
      <c r="K966" s="1164"/>
      <c r="L966" s="473"/>
      <c r="M966" s="473"/>
      <c r="N966" s="1164"/>
      <c r="O966" s="473"/>
      <c r="P966" s="473"/>
      <c r="Q966" s="1164"/>
      <c r="R966" s="473"/>
      <c r="S966" s="473"/>
      <c r="T966" s="1164"/>
      <c r="U966" s="1164"/>
      <c r="V966" s="473"/>
      <c r="W966" s="473"/>
      <c r="X966" s="1164"/>
      <c r="Y966" s="473"/>
      <c r="Z966" s="473"/>
      <c r="AA966" s="1164"/>
      <c r="AB966" s="473"/>
      <c r="AC966" s="1164"/>
      <c r="AD966" s="473"/>
      <c r="AE966" s="1164"/>
      <c r="AF966" s="473"/>
      <c r="AG966" s="1164"/>
      <c r="AH966" s="473"/>
      <c r="AI966" s="473"/>
      <c r="AJ966" s="1164"/>
      <c r="AK966" s="473"/>
      <c r="AL966" s="473"/>
      <c r="AM966" s="1164"/>
      <c r="AN966" s="473"/>
      <c r="AO966" s="473"/>
      <c r="AP966" s="1164"/>
      <c r="AQ966" s="473"/>
      <c r="AR966" s="473"/>
      <c r="AS966" s="1236"/>
      <c r="AT966" s="473"/>
      <c r="AU966" s="473"/>
      <c r="AV966" s="1164"/>
      <c r="AW966" s="1164"/>
      <c r="AX966" s="1236"/>
      <c r="AY966" s="473"/>
      <c r="AZ966" s="1236"/>
      <c r="BA966" s="473"/>
      <c r="BB966" s="473"/>
      <c r="BC966" s="1164"/>
      <c r="BD966" s="20"/>
      <c r="BE966" s="473"/>
      <c r="BF966" s="610"/>
      <c r="BG966" s="610"/>
      <c r="BH966" s="610"/>
      <c r="BI966" s="610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</row>
    <row r="967" spans="1:148" s="22" customFormat="1" x14ac:dyDescent="0.25">
      <c r="A967" s="20"/>
      <c r="B967" s="16"/>
      <c r="C967" s="473"/>
      <c r="D967" s="473"/>
      <c r="E967" s="1164"/>
      <c r="F967" s="473"/>
      <c r="G967" s="473"/>
      <c r="H967" s="1164"/>
      <c r="I967" s="473"/>
      <c r="J967" s="473"/>
      <c r="K967" s="1164"/>
      <c r="L967" s="473"/>
      <c r="M967" s="473"/>
      <c r="N967" s="1164"/>
      <c r="O967" s="473"/>
      <c r="P967" s="473"/>
      <c r="Q967" s="1164"/>
      <c r="R967" s="473"/>
      <c r="S967" s="473"/>
      <c r="T967" s="1164"/>
      <c r="U967" s="1164"/>
      <c r="V967" s="473"/>
      <c r="W967" s="473"/>
      <c r="X967" s="1164"/>
      <c r="Y967" s="473"/>
      <c r="Z967" s="473"/>
      <c r="AA967" s="1164"/>
      <c r="AB967" s="473"/>
      <c r="AC967" s="1164"/>
      <c r="AD967" s="473"/>
      <c r="AE967" s="1164"/>
      <c r="AF967" s="473"/>
      <c r="AG967" s="1164"/>
      <c r="AH967" s="473"/>
      <c r="AI967" s="473"/>
      <c r="AJ967" s="1164"/>
      <c r="AK967" s="473"/>
      <c r="AL967" s="473"/>
      <c r="AM967" s="1164"/>
      <c r="AN967" s="473"/>
      <c r="AO967" s="473"/>
      <c r="AP967" s="1164"/>
      <c r="AQ967" s="473"/>
      <c r="AR967" s="473"/>
      <c r="AS967" s="1236"/>
      <c r="AT967" s="473"/>
      <c r="AU967" s="473"/>
      <c r="AV967" s="1164"/>
      <c r="AW967" s="1164"/>
      <c r="AX967" s="1236"/>
      <c r="AY967" s="473"/>
      <c r="AZ967" s="1236"/>
      <c r="BA967" s="473"/>
      <c r="BB967" s="473"/>
      <c r="BC967" s="1164"/>
      <c r="BD967" s="20"/>
      <c r="BE967" s="473"/>
      <c r="BF967" s="610"/>
      <c r="BG967" s="610"/>
      <c r="BH967" s="610"/>
      <c r="BI967" s="610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</row>
    <row r="968" spans="1:148" s="22" customFormat="1" x14ac:dyDescent="0.25">
      <c r="A968" s="20"/>
      <c r="B968" s="16"/>
      <c r="C968" s="473"/>
      <c r="D968" s="473"/>
      <c r="E968" s="1164"/>
      <c r="F968" s="473"/>
      <c r="G968" s="473"/>
      <c r="H968" s="1164"/>
      <c r="I968" s="473"/>
      <c r="J968" s="473"/>
      <c r="K968" s="1164"/>
      <c r="L968" s="473"/>
      <c r="M968" s="473"/>
      <c r="N968" s="1164"/>
      <c r="O968" s="473"/>
      <c r="P968" s="473"/>
      <c r="Q968" s="1164"/>
      <c r="R968" s="473"/>
      <c r="S968" s="473"/>
      <c r="T968" s="1164"/>
      <c r="U968" s="1164"/>
      <c r="V968" s="473"/>
      <c r="W968" s="473"/>
      <c r="X968" s="1164"/>
      <c r="Y968" s="473"/>
      <c r="Z968" s="473"/>
      <c r="AA968" s="1164"/>
      <c r="AB968" s="473"/>
      <c r="AC968" s="1164"/>
      <c r="AD968" s="473"/>
      <c r="AE968" s="1164"/>
      <c r="AF968" s="473"/>
      <c r="AG968" s="1164"/>
      <c r="AH968" s="473"/>
      <c r="AI968" s="473"/>
      <c r="AJ968" s="1164"/>
      <c r="AK968" s="473"/>
      <c r="AL968" s="473"/>
      <c r="AM968" s="1164"/>
      <c r="AN968" s="473"/>
      <c r="AO968" s="473"/>
      <c r="AP968" s="1164"/>
      <c r="AQ968" s="473"/>
      <c r="AR968" s="473"/>
      <c r="AS968" s="1236"/>
      <c r="AT968" s="473"/>
      <c r="AU968" s="473"/>
      <c r="AV968" s="1164"/>
      <c r="AW968" s="1164"/>
      <c r="AX968" s="1236"/>
      <c r="AY968" s="473"/>
      <c r="AZ968" s="1236"/>
      <c r="BA968" s="473"/>
      <c r="BB968" s="473"/>
      <c r="BC968" s="1164"/>
      <c r="BD968" s="20"/>
      <c r="BE968" s="473"/>
      <c r="BF968" s="610"/>
      <c r="BG968" s="610"/>
      <c r="BH968" s="610"/>
      <c r="BI968" s="610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</row>
    <row r="969" spans="1:148" s="22" customFormat="1" x14ac:dyDescent="0.25">
      <c r="A969" s="20"/>
      <c r="B969" s="16"/>
      <c r="C969" s="473"/>
      <c r="D969" s="473"/>
      <c r="E969" s="1164"/>
      <c r="F969" s="473"/>
      <c r="G969" s="473"/>
      <c r="H969" s="1164"/>
      <c r="I969" s="473"/>
      <c r="J969" s="473"/>
      <c r="K969" s="1164"/>
      <c r="L969" s="473"/>
      <c r="M969" s="473"/>
      <c r="N969" s="1164"/>
      <c r="O969" s="473"/>
      <c r="P969" s="473"/>
      <c r="Q969" s="1164"/>
      <c r="R969" s="473"/>
      <c r="S969" s="473"/>
      <c r="T969" s="1164"/>
      <c r="U969" s="1164"/>
      <c r="V969" s="473"/>
      <c r="W969" s="473"/>
      <c r="X969" s="1164"/>
      <c r="Y969" s="473"/>
      <c r="Z969" s="473"/>
      <c r="AA969" s="1164"/>
      <c r="AB969" s="473"/>
      <c r="AC969" s="1164"/>
      <c r="AD969" s="473"/>
      <c r="AE969" s="1164"/>
      <c r="AF969" s="473"/>
      <c r="AG969" s="1164"/>
      <c r="AH969" s="473"/>
      <c r="AI969" s="473"/>
      <c r="AJ969" s="1164"/>
      <c r="AK969" s="473"/>
      <c r="AL969" s="473"/>
      <c r="AM969" s="1164"/>
      <c r="AN969" s="473"/>
      <c r="AO969" s="473"/>
      <c r="AP969" s="1164"/>
      <c r="AQ969" s="473"/>
      <c r="AR969" s="473"/>
      <c r="AS969" s="1236"/>
      <c r="AT969" s="473"/>
      <c r="AU969" s="473"/>
      <c r="AV969" s="1164"/>
      <c r="AW969" s="1164"/>
      <c r="AX969" s="1236"/>
      <c r="AY969" s="473"/>
      <c r="AZ969" s="1236"/>
      <c r="BA969" s="473"/>
      <c r="BB969" s="473"/>
      <c r="BC969" s="1164"/>
      <c r="BD969" s="20"/>
      <c r="BE969" s="473"/>
      <c r="BF969" s="610"/>
      <c r="BG969" s="610"/>
      <c r="BH969" s="610"/>
      <c r="BI969" s="610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</row>
    <row r="970" spans="1:148" s="22" customFormat="1" x14ac:dyDescent="0.25">
      <c r="A970" s="20"/>
      <c r="B970" s="16"/>
      <c r="C970" s="473"/>
      <c r="D970" s="473"/>
      <c r="E970" s="1164"/>
      <c r="F970" s="473"/>
      <c r="G970" s="473"/>
      <c r="H970" s="1164"/>
      <c r="I970" s="473"/>
      <c r="J970" s="473"/>
      <c r="K970" s="1164"/>
      <c r="L970" s="473"/>
      <c r="M970" s="473"/>
      <c r="N970" s="1164"/>
      <c r="O970" s="473"/>
      <c r="P970" s="473"/>
      <c r="Q970" s="1164"/>
      <c r="R970" s="473"/>
      <c r="S970" s="473"/>
      <c r="T970" s="1164"/>
      <c r="U970" s="1164"/>
      <c r="V970" s="473"/>
      <c r="W970" s="473"/>
      <c r="X970" s="1164"/>
      <c r="Y970" s="473"/>
      <c r="Z970" s="473"/>
      <c r="AA970" s="1164"/>
      <c r="AB970" s="473"/>
      <c r="AC970" s="1164"/>
      <c r="AD970" s="473"/>
      <c r="AE970" s="1164"/>
      <c r="AF970" s="473"/>
      <c r="AG970" s="1164"/>
      <c r="AH970" s="473"/>
      <c r="AI970" s="473"/>
      <c r="AJ970" s="1164"/>
      <c r="AK970" s="473"/>
      <c r="AL970" s="473"/>
      <c r="AM970" s="1164"/>
      <c r="AN970" s="473"/>
      <c r="AO970" s="473"/>
      <c r="AP970" s="1164"/>
      <c r="AQ970" s="473"/>
      <c r="AR970" s="473"/>
      <c r="AS970" s="1236"/>
      <c r="AT970" s="473"/>
      <c r="AU970" s="473"/>
      <c r="AV970" s="1164"/>
      <c r="AW970" s="1164"/>
      <c r="AX970" s="1236"/>
      <c r="AY970" s="473"/>
      <c r="AZ970" s="1236"/>
      <c r="BA970" s="473"/>
      <c r="BB970" s="473"/>
      <c r="BC970" s="1164"/>
      <c r="BD970" s="20"/>
      <c r="BE970" s="473"/>
      <c r="BF970" s="610"/>
      <c r="BG970" s="610"/>
      <c r="BH970" s="610"/>
      <c r="BI970" s="610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</row>
    <row r="971" spans="1:148" s="22" customFormat="1" x14ac:dyDescent="0.25">
      <c r="A971" s="20"/>
      <c r="B971" s="16"/>
      <c r="C971" s="473"/>
      <c r="D971" s="473"/>
      <c r="E971" s="1164"/>
      <c r="F971" s="473"/>
      <c r="G971" s="473"/>
      <c r="H971" s="1164"/>
      <c r="I971" s="473"/>
      <c r="J971" s="473"/>
      <c r="K971" s="1164"/>
      <c r="L971" s="473"/>
      <c r="M971" s="473"/>
      <c r="N971" s="1164"/>
      <c r="O971" s="473"/>
      <c r="P971" s="473"/>
      <c r="Q971" s="1164"/>
      <c r="R971" s="473"/>
      <c r="S971" s="473"/>
      <c r="T971" s="1164"/>
      <c r="U971" s="1164"/>
      <c r="V971" s="473"/>
      <c r="W971" s="473"/>
      <c r="X971" s="1164"/>
      <c r="Y971" s="473"/>
      <c r="Z971" s="473"/>
      <c r="AA971" s="1164"/>
      <c r="AB971" s="473"/>
      <c r="AC971" s="1164"/>
      <c r="AD971" s="473"/>
      <c r="AE971" s="1164"/>
      <c r="AF971" s="473"/>
      <c r="AG971" s="1164"/>
      <c r="AH971" s="473"/>
      <c r="AI971" s="473"/>
      <c r="AJ971" s="1164"/>
      <c r="AK971" s="473"/>
      <c r="AL971" s="473"/>
      <c r="AM971" s="1164"/>
      <c r="AN971" s="473"/>
      <c r="AO971" s="473"/>
      <c r="AP971" s="1164"/>
      <c r="AQ971" s="473"/>
      <c r="AR971" s="473"/>
      <c r="AS971" s="1236"/>
      <c r="AT971" s="473"/>
      <c r="AU971" s="473"/>
      <c r="AV971" s="1164"/>
      <c r="AW971" s="1164"/>
      <c r="AX971" s="1236"/>
      <c r="AY971" s="473"/>
      <c r="AZ971" s="1236"/>
      <c r="BA971" s="473"/>
      <c r="BB971" s="473"/>
      <c r="BC971" s="1164"/>
      <c r="BD971" s="20"/>
      <c r="BE971" s="473"/>
      <c r="BF971" s="610"/>
      <c r="BG971" s="610"/>
      <c r="BH971" s="610"/>
      <c r="BI971" s="610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</row>
    <row r="972" spans="1:148" s="22" customFormat="1" x14ac:dyDescent="0.25">
      <c r="A972" s="20"/>
      <c r="B972" s="16"/>
      <c r="C972" s="473"/>
      <c r="D972" s="473"/>
      <c r="E972" s="1164"/>
      <c r="F972" s="473"/>
      <c r="G972" s="473"/>
      <c r="H972" s="1164"/>
      <c r="I972" s="473"/>
      <c r="J972" s="473"/>
      <c r="K972" s="1164"/>
      <c r="L972" s="473"/>
      <c r="M972" s="473"/>
      <c r="N972" s="1164"/>
      <c r="O972" s="473"/>
      <c r="P972" s="473"/>
      <c r="Q972" s="1164"/>
      <c r="R972" s="473"/>
      <c r="S972" s="473"/>
      <c r="T972" s="1164"/>
      <c r="U972" s="1164"/>
      <c r="V972" s="473"/>
      <c r="W972" s="473"/>
      <c r="X972" s="1164"/>
      <c r="Y972" s="473"/>
      <c r="Z972" s="473"/>
      <c r="AA972" s="1164"/>
      <c r="AB972" s="473"/>
      <c r="AC972" s="1164"/>
      <c r="AD972" s="473"/>
      <c r="AE972" s="1164"/>
      <c r="AF972" s="473"/>
      <c r="AG972" s="1164"/>
      <c r="AH972" s="473"/>
      <c r="AI972" s="473"/>
      <c r="AJ972" s="1164"/>
      <c r="AK972" s="473"/>
      <c r="AL972" s="473"/>
      <c r="AM972" s="1164"/>
      <c r="AN972" s="473"/>
      <c r="AO972" s="473"/>
      <c r="AP972" s="1164"/>
      <c r="AQ972" s="473"/>
      <c r="AR972" s="473"/>
      <c r="AS972" s="1236"/>
      <c r="AT972" s="473"/>
      <c r="AU972" s="473"/>
      <c r="AV972" s="1164"/>
      <c r="AW972" s="1164"/>
      <c r="AX972" s="1236"/>
      <c r="AY972" s="473"/>
      <c r="AZ972" s="1236"/>
      <c r="BA972" s="473"/>
      <c r="BB972" s="473"/>
      <c r="BC972" s="1164"/>
      <c r="BD972" s="20"/>
      <c r="BE972" s="473"/>
      <c r="BF972" s="610"/>
      <c r="BG972" s="610"/>
      <c r="BH972" s="610"/>
      <c r="BI972" s="610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</row>
    <row r="973" spans="1:148" s="22" customFormat="1" x14ac:dyDescent="0.25">
      <c r="A973" s="20"/>
      <c r="B973" s="16"/>
      <c r="C973" s="473"/>
      <c r="D973" s="473"/>
      <c r="E973" s="1164"/>
      <c r="F973" s="473"/>
      <c r="G973" s="473"/>
      <c r="H973" s="1164"/>
      <c r="I973" s="473"/>
      <c r="J973" s="473"/>
      <c r="K973" s="1164"/>
      <c r="L973" s="473"/>
      <c r="M973" s="473"/>
      <c r="N973" s="1164"/>
      <c r="O973" s="473"/>
      <c r="P973" s="473"/>
      <c r="Q973" s="1164"/>
      <c r="R973" s="473"/>
      <c r="S973" s="473"/>
      <c r="T973" s="1164"/>
      <c r="U973" s="1164"/>
      <c r="V973" s="473"/>
      <c r="W973" s="473"/>
      <c r="X973" s="1164"/>
      <c r="Y973" s="473"/>
      <c r="Z973" s="473"/>
      <c r="AA973" s="1164"/>
      <c r="AB973" s="473"/>
      <c r="AC973" s="1164"/>
      <c r="AD973" s="473"/>
      <c r="AE973" s="1164"/>
      <c r="AF973" s="473"/>
      <c r="AG973" s="1164"/>
      <c r="AH973" s="473"/>
      <c r="AI973" s="473"/>
      <c r="AJ973" s="1164"/>
      <c r="AK973" s="473"/>
      <c r="AL973" s="473"/>
      <c r="AM973" s="1164"/>
      <c r="AN973" s="473"/>
      <c r="AO973" s="473"/>
      <c r="AP973" s="1164"/>
      <c r="AQ973" s="473"/>
      <c r="AR973" s="473"/>
      <c r="AS973" s="1236"/>
      <c r="AT973" s="473"/>
      <c r="AU973" s="473"/>
      <c r="AV973" s="1164"/>
      <c r="AW973" s="1164"/>
      <c r="AX973" s="1236"/>
      <c r="AY973" s="473"/>
      <c r="AZ973" s="1236"/>
      <c r="BA973" s="473"/>
      <c r="BB973" s="473"/>
      <c r="BC973" s="1164"/>
      <c r="BD973" s="20"/>
      <c r="BE973" s="473"/>
      <c r="BF973" s="610"/>
      <c r="BG973" s="610"/>
      <c r="BH973" s="610"/>
      <c r="BI973" s="610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</row>
    <row r="974" spans="1:148" s="22" customFormat="1" x14ac:dyDescent="0.25">
      <c r="A974" s="20"/>
      <c r="B974" s="16"/>
      <c r="C974" s="473"/>
      <c r="D974" s="473"/>
      <c r="E974" s="1164"/>
      <c r="F974" s="473"/>
      <c r="G974" s="473"/>
      <c r="H974" s="1164"/>
      <c r="I974" s="473"/>
      <c r="J974" s="473"/>
      <c r="K974" s="1164"/>
      <c r="L974" s="473"/>
      <c r="M974" s="473"/>
      <c r="N974" s="1164"/>
      <c r="O974" s="473"/>
      <c r="P974" s="473"/>
      <c r="Q974" s="1164"/>
      <c r="R974" s="473"/>
      <c r="S974" s="473"/>
      <c r="T974" s="1164"/>
      <c r="U974" s="1164"/>
      <c r="V974" s="473"/>
      <c r="W974" s="473"/>
      <c r="X974" s="1164"/>
      <c r="Y974" s="473"/>
      <c r="Z974" s="473"/>
      <c r="AA974" s="1164"/>
      <c r="AB974" s="473"/>
      <c r="AC974" s="1164"/>
      <c r="AD974" s="473"/>
      <c r="AE974" s="1164"/>
      <c r="AF974" s="473"/>
      <c r="AG974" s="1164"/>
      <c r="AH974" s="473"/>
      <c r="AI974" s="473"/>
      <c r="AJ974" s="1164"/>
      <c r="AK974" s="473"/>
      <c r="AL974" s="473"/>
      <c r="AM974" s="1164"/>
      <c r="AN974" s="473"/>
      <c r="AO974" s="473"/>
      <c r="AP974" s="1164"/>
      <c r="AQ974" s="473"/>
      <c r="AR974" s="473"/>
      <c r="AS974" s="1236"/>
      <c r="AT974" s="473"/>
      <c r="AU974" s="473"/>
      <c r="AV974" s="1164"/>
      <c r="AW974" s="1164"/>
      <c r="AX974" s="1236"/>
      <c r="AY974" s="473"/>
      <c r="AZ974" s="1236"/>
      <c r="BA974" s="473"/>
      <c r="BB974" s="473"/>
      <c r="BC974" s="1164"/>
      <c r="BD974" s="20"/>
      <c r="BE974" s="473"/>
      <c r="BF974" s="610"/>
      <c r="BG974" s="610"/>
      <c r="BH974" s="610"/>
      <c r="BI974" s="610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</row>
    <row r="975" spans="1:148" s="22" customFormat="1" x14ac:dyDescent="0.25">
      <c r="A975" s="20"/>
      <c r="B975" s="16"/>
      <c r="C975" s="473"/>
      <c r="D975" s="473"/>
      <c r="E975" s="1164"/>
      <c r="F975" s="473"/>
      <c r="G975" s="473"/>
      <c r="H975" s="1164"/>
      <c r="I975" s="473"/>
      <c r="J975" s="473"/>
      <c r="K975" s="1164"/>
      <c r="L975" s="473"/>
      <c r="M975" s="473"/>
      <c r="N975" s="1164"/>
      <c r="O975" s="473"/>
      <c r="P975" s="473"/>
      <c r="Q975" s="1164"/>
      <c r="R975" s="473"/>
      <c r="S975" s="473"/>
      <c r="T975" s="1164"/>
      <c r="U975" s="1164"/>
      <c r="V975" s="473"/>
      <c r="W975" s="473"/>
      <c r="X975" s="1164"/>
      <c r="Y975" s="473"/>
      <c r="Z975" s="473"/>
      <c r="AA975" s="1164"/>
      <c r="AB975" s="473"/>
      <c r="AC975" s="1164"/>
      <c r="AD975" s="473"/>
      <c r="AE975" s="1164"/>
      <c r="AF975" s="473"/>
      <c r="AG975" s="1164"/>
      <c r="AH975" s="473"/>
      <c r="AI975" s="473"/>
      <c r="AJ975" s="1164"/>
      <c r="AK975" s="473"/>
      <c r="AL975" s="473"/>
      <c r="AM975" s="1164"/>
      <c r="AN975" s="473"/>
      <c r="AO975" s="473"/>
      <c r="AP975" s="1164"/>
      <c r="AQ975" s="473"/>
      <c r="AR975" s="473"/>
      <c r="AS975" s="1236"/>
      <c r="AT975" s="473"/>
      <c r="AU975" s="473"/>
      <c r="AV975" s="1164"/>
      <c r="AW975" s="1164"/>
      <c r="AX975" s="1236"/>
      <c r="AY975" s="473"/>
      <c r="AZ975" s="1236"/>
      <c r="BA975" s="473"/>
      <c r="BB975" s="473"/>
      <c r="BC975" s="1164"/>
      <c r="BD975" s="20"/>
      <c r="BE975" s="473"/>
      <c r="BF975" s="610"/>
      <c r="BG975" s="610"/>
      <c r="BH975" s="610"/>
      <c r="BI975" s="610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</row>
    <row r="976" spans="1:148" s="22" customFormat="1" x14ac:dyDescent="0.25">
      <c r="A976" s="20"/>
      <c r="B976" s="16"/>
      <c r="C976" s="473"/>
      <c r="D976" s="473"/>
      <c r="E976" s="1164"/>
      <c r="F976" s="473"/>
      <c r="G976" s="473"/>
      <c r="H976" s="1164"/>
      <c r="I976" s="473"/>
      <c r="J976" s="473"/>
      <c r="K976" s="1164"/>
      <c r="L976" s="473"/>
      <c r="M976" s="473"/>
      <c r="N976" s="1164"/>
      <c r="O976" s="473"/>
      <c r="P976" s="473"/>
      <c r="Q976" s="1164"/>
      <c r="R976" s="473"/>
      <c r="S976" s="473"/>
      <c r="T976" s="1164"/>
      <c r="U976" s="1164"/>
      <c r="V976" s="473"/>
      <c r="W976" s="473"/>
      <c r="X976" s="1164"/>
      <c r="Y976" s="473"/>
      <c r="Z976" s="473"/>
      <c r="AA976" s="1164"/>
      <c r="AB976" s="473"/>
      <c r="AC976" s="1164"/>
      <c r="AD976" s="473"/>
      <c r="AE976" s="1164"/>
      <c r="AF976" s="473"/>
      <c r="AG976" s="1164"/>
      <c r="AH976" s="473"/>
      <c r="AI976" s="473"/>
      <c r="AJ976" s="1164"/>
      <c r="AK976" s="473"/>
      <c r="AL976" s="473"/>
      <c r="AM976" s="1164"/>
      <c r="AN976" s="473"/>
      <c r="AO976" s="473"/>
      <c r="AP976" s="1164"/>
      <c r="AQ976" s="473"/>
      <c r="AR976" s="473"/>
      <c r="AS976" s="1236"/>
      <c r="AT976" s="473"/>
      <c r="AU976" s="473"/>
      <c r="AV976" s="1164"/>
      <c r="AW976" s="1164"/>
      <c r="AX976" s="1236"/>
      <c r="AY976" s="473"/>
      <c r="AZ976" s="1236"/>
      <c r="BA976" s="473"/>
      <c r="BB976" s="473"/>
      <c r="BC976" s="1164"/>
      <c r="BD976" s="20"/>
      <c r="BE976" s="473"/>
      <c r="BF976" s="610"/>
      <c r="BG976" s="610"/>
      <c r="BH976" s="610"/>
      <c r="BI976" s="610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</row>
    <row r="977" spans="1:148" s="22" customFormat="1" x14ac:dyDescent="0.25">
      <c r="A977" s="20"/>
      <c r="B977" s="16"/>
      <c r="C977" s="473"/>
      <c r="D977" s="473"/>
      <c r="E977" s="1164"/>
      <c r="F977" s="473"/>
      <c r="G977" s="473"/>
      <c r="H977" s="1164"/>
      <c r="I977" s="473"/>
      <c r="J977" s="473"/>
      <c r="K977" s="1164"/>
      <c r="L977" s="473"/>
      <c r="M977" s="473"/>
      <c r="N977" s="1164"/>
      <c r="O977" s="473"/>
      <c r="P977" s="473"/>
      <c r="Q977" s="1164"/>
      <c r="R977" s="473"/>
      <c r="S977" s="473"/>
      <c r="T977" s="1164"/>
      <c r="U977" s="1164"/>
      <c r="V977" s="473"/>
      <c r="W977" s="473"/>
      <c r="X977" s="1164"/>
      <c r="Y977" s="473"/>
      <c r="Z977" s="473"/>
      <c r="AA977" s="1164"/>
      <c r="AB977" s="473"/>
      <c r="AC977" s="1164"/>
      <c r="AD977" s="473"/>
      <c r="AE977" s="1164"/>
      <c r="AF977" s="473"/>
      <c r="AG977" s="1164"/>
      <c r="AH977" s="473"/>
      <c r="AI977" s="473"/>
      <c r="AJ977" s="1164"/>
      <c r="AK977" s="473"/>
      <c r="AL977" s="473"/>
      <c r="AM977" s="1164"/>
      <c r="AN977" s="473"/>
      <c r="AO977" s="473"/>
      <c r="AP977" s="1164"/>
      <c r="AQ977" s="473"/>
      <c r="AR977" s="473"/>
      <c r="AS977" s="1236"/>
      <c r="AT977" s="473"/>
      <c r="AU977" s="473"/>
      <c r="AV977" s="1164"/>
      <c r="AW977" s="1164"/>
      <c r="AX977" s="1236"/>
      <c r="AY977" s="473"/>
      <c r="AZ977" s="1236"/>
      <c r="BA977" s="473"/>
      <c r="BB977" s="473"/>
      <c r="BC977" s="1164"/>
      <c r="BD977" s="20"/>
      <c r="BE977" s="473"/>
      <c r="BF977" s="610"/>
      <c r="BG977" s="610"/>
      <c r="BH977" s="610"/>
      <c r="BI977" s="610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</row>
    <row r="978" spans="1:148" s="22" customFormat="1" x14ac:dyDescent="0.25">
      <c r="A978" s="20"/>
      <c r="B978" s="16"/>
      <c r="C978" s="473"/>
      <c r="D978" s="473"/>
      <c r="E978" s="1164"/>
      <c r="F978" s="473"/>
      <c r="G978" s="473"/>
      <c r="H978" s="1164"/>
      <c r="I978" s="473"/>
      <c r="J978" s="473"/>
      <c r="K978" s="1164"/>
      <c r="L978" s="473"/>
      <c r="M978" s="473"/>
      <c r="N978" s="1164"/>
      <c r="O978" s="473"/>
      <c r="P978" s="473"/>
      <c r="Q978" s="1164"/>
      <c r="R978" s="473"/>
      <c r="S978" s="473"/>
      <c r="T978" s="1164"/>
      <c r="U978" s="1164"/>
      <c r="V978" s="473"/>
      <c r="W978" s="473"/>
      <c r="X978" s="1164"/>
      <c r="Y978" s="473"/>
      <c r="Z978" s="473"/>
      <c r="AA978" s="1164"/>
      <c r="AB978" s="473"/>
      <c r="AC978" s="1164"/>
      <c r="AD978" s="473"/>
      <c r="AE978" s="1164"/>
      <c r="AF978" s="473"/>
      <c r="AG978" s="1164"/>
      <c r="AH978" s="473"/>
      <c r="AI978" s="473"/>
      <c r="AJ978" s="1164"/>
      <c r="AK978" s="473"/>
      <c r="AL978" s="473"/>
      <c r="AM978" s="1164"/>
      <c r="AN978" s="473"/>
      <c r="AO978" s="473"/>
      <c r="AP978" s="1164"/>
      <c r="AQ978" s="473"/>
      <c r="AR978" s="473"/>
      <c r="AS978" s="1236"/>
      <c r="AT978" s="473"/>
      <c r="AU978" s="473"/>
      <c r="AV978" s="1164"/>
      <c r="AW978" s="1164"/>
      <c r="AX978" s="1236"/>
      <c r="AY978" s="473"/>
      <c r="AZ978" s="1236"/>
      <c r="BA978" s="473"/>
      <c r="BB978" s="473"/>
      <c r="BC978" s="1164"/>
      <c r="BD978" s="20"/>
      <c r="BE978" s="473"/>
      <c r="BF978" s="610"/>
      <c r="BG978" s="610"/>
      <c r="BH978" s="610"/>
      <c r="BI978" s="610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</row>
    <row r="979" spans="1:148" s="22" customFormat="1" x14ac:dyDescent="0.25">
      <c r="A979" s="20"/>
      <c r="B979" s="16"/>
      <c r="C979" s="473"/>
      <c r="D979" s="473"/>
      <c r="E979" s="1164"/>
      <c r="F979" s="473"/>
      <c r="G979" s="473"/>
      <c r="H979" s="1164"/>
      <c r="I979" s="473"/>
      <c r="J979" s="473"/>
      <c r="K979" s="1164"/>
      <c r="L979" s="473"/>
      <c r="M979" s="473"/>
      <c r="N979" s="1164"/>
      <c r="O979" s="473"/>
      <c r="P979" s="473"/>
      <c r="Q979" s="1164"/>
      <c r="R979" s="473"/>
      <c r="S979" s="473"/>
      <c r="T979" s="1164"/>
      <c r="U979" s="1164"/>
      <c r="V979" s="473"/>
      <c r="W979" s="473"/>
      <c r="X979" s="1164"/>
      <c r="Y979" s="473"/>
      <c r="Z979" s="473"/>
      <c r="AA979" s="1164"/>
      <c r="AB979" s="473"/>
      <c r="AC979" s="1164"/>
      <c r="AD979" s="473"/>
      <c r="AE979" s="1164"/>
      <c r="AF979" s="473"/>
      <c r="AG979" s="1164"/>
      <c r="AH979" s="473"/>
      <c r="AI979" s="473"/>
      <c r="AJ979" s="1164"/>
      <c r="AK979" s="473"/>
      <c r="AL979" s="473"/>
      <c r="AM979" s="1164"/>
      <c r="AN979" s="473"/>
      <c r="AO979" s="473"/>
      <c r="AP979" s="1164"/>
      <c r="AQ979" s="473"/>
      <c r="AR979" s="473"/>
      <c r="AS979" s="1236"/>
      <c r="AT979" s="473"/>
      <c r="AU979" s="473"/>
      <c r="AV979" s="1164"/>
      <c r="AW979" s="1164"/>
      <c r="AX979" s="1236"/>
      <c r="AY979" s="473"/>
      <c r="AZ979" s="1236"/>
      <c r="BA979" s="473"/>
      <c r="BB979" s="473"/>
      <c r="BC979" s="1164"/>
      <c r="BD979" s="20"/>
      <c r="BE979" s="473"/>
      <c r="BF979" s="610"/>
      <c r="BG979" s="610"/>
      <c r="BH979" s="610"/>
      <c r="BI979" s="610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</row>
    <row r="980" spans="1:148" s="22" customFormat="1" x14ac:dyDescent="0.25">
      <c r="A980" s="20"/>
      <c r="B980" s="16"/>
      <c r="C980" s="473"/>
      <c r="D980" s="473"/>
      <c r="E980" s="1164"/>
      <c r="F980" s="473"/>
      <c r="G980" s="473"/>
      <c r="H980" s="1164"/>
      <c r="I980" s="473"/>
      <c r="J980" s="473"/>
      <c r="K980" s="1164"/>
      <c r="L980" s="473"/>
      <c r="M980" s="473"/>
      <c r="N980" s="1164"/>
      <c r="O980" s="473"/>
      <c r="P980" s="473"/>
      <c r="Q980" s="1164"/>
      <c r="R980" s="473"/>
      <c r="S980" s="473"/>
      <c r="T980" s="1164"/>
      <c r="U980" s="1164"/>
      <c r="V980" s="473"/>
      <c r="W980" s="473"/>
      <c r="X980" s="1164"/>
      <c r="Y980" s="473"/>
      <c r="Z980" s="473"/>
      <c r="AA980" s="1164"/>
      <c r="AB980" s="473"/>
      <c r="AC980" s="1164"/>
      <c r="AD980" s="473"/>
      <c r="AE980" s="1164"/>
      <c r="AF980" s="473"/>
      <c r="AG980" s="1164"/>
      <c r="AH980" s="473"/>
      <c r="AI980" s="473"/>
      <c r="AJ980" s="1164"/>
      <c r="AK980" s="473"/>
      <c r="AL980" s="473"/>
      <c r="AM980" s="1164"/>
      <c r="AN980" s="473"/>
      <c r="AO980" s="473"/>
      <c r="AP980" s="1164"/>
      <c r="AQ980" s="473"/>
      <c r="AR980" s="473"/>
      <c r="AS980" s="1236"/>
      <c r="AT980" s="473"/>
      <c r="AU980" s="473"/>
      <c r="AV980" s="1164"/>
      <c r="AW980" s="1164"/>
      <c r="AX980" s="1236"/>
      <c r="AY980" s="473"/>
      <c r="AZ980" s="1236"/>
      <c r="BA980" s="473"/>
      <c r="BB980" s="473"/>
      <c r="BC980" s="1164"/>
      <c r="BD980" s="20"/>
      <c r="BE980" s="473"/>
      <c r="BF980" s="610"/>
      <c r="BG980" s="610"/>
      <c r="BH980" s="610"/>
      <c r="BI980" s="610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</row>
    <row r="981" spans="1:148" s="22" customFormat="1" x14ac:dyDescent="0.25">
      <c r="A981" s="20"/>
      <c r="B981" s="16"/>
      <c r="C981" s="473"/>
      <c r="D981" s="473"/>
      <c r="E981" s="1164"/>
      <c r="F981" s="473"/>
      <c r="G981" s="473"/>
      <c r="H981" s="1164"/>
      <c r="I981" s="473"/>
      <c r="J981" s="473"/>
      <c r="K981" s="1164"/>
      <c r="L981" s="473"/>
      <c r="M981" s="473"/>
      <c r="N981" s="1164"/>
      <c r="O981" s="473"/>
      <c r="P981" s="473"/>
      <c r="Q981" s="1164"/>
      <c r="R981" s="473"/>
      <c r="S981" s="473"/>
      <c r="T981" s="1164"/>
      <c r="U981" s="1164"/>
      <c r="V981" s="473"/>
      <c r="W981" s="473"/>
      <c r="X981" s="1164"/>
      <c r="Y981" s="473"/>
      <c r="Z981" s="473"/>
      <c r="AA981" s="1164"/>
      <c r="AB981" s="473"/>
      <c r="AC981" s="1164"/>
      <c r="AD981" s="473"/>
      <c r="AE981" s="1164"/>
      <c r="AF981" s="473"/>
      <c r="AG981" s="1164"/>
      <c r="AH981" s="473"/>
      <c r="AI981" s="473"/>
      <c r="AJ981" s="1164"/>
      <c r="AK981" s="473"/>
      <c r="AL981" s="473"/>
      <c r="AM981" s="1164"/>
      <c r="AN981" s="473"/>
      <c r="AO981" s="473"/>
      <c r="AP981" s="1164"/>
      <c r="AQ981" s="473"/>
      <c r="AR981" s="473"/>
      <c r="AS981" s="1236"/>
      <c r="AT981" s="473"/>
      <c r="AU981" s="473"/>
      <c r="AV981" s="1164"/>
      <c r="AW981" s="1164"/>
      <c r="AX981" s="1236"/>
      <c r="AY981" s="473"/>
      <c r="AZ981" s="1236"/>
      <c r="BA981" s="473"/>
      <c r="BB981" s="473"/>
      <c r="BC981" s="1164"/>
      <c r="BD981" s="20"/>
      <c r="BE981" s="473"/>
      <c r="BF981" s="610"/>
      <c r="BG981" s="610"/>
      <c r="BH981" s="610"/>
      <c r="BI981" s="610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</row>
    <row r="982" spans="1:148" s="22" customFormat="1" x14ac:dyDescent="0.25">
      <c r="A982" s="20"/>
      <c r="B982" s="16"/>
      <c r="C982" s="473"/>
      <c r="D982" s="473"/>
      <c r="E982" s="1164"/>
      <c r="F982" s="473"/>
      <c r="G982" s="473"/>
      <c r="H982" s="1164"/>
      <c r="I982" s="473"/>
      <c r="J982" s="473"/>
      <c r="K982" s="1164"/>
      <c r="L982" s="473"/>
      <c r="M982" s="473"/>
      <c r="N982" s="1164"/>
      <c r="O982" s="473"/>
      <c r="P982" s="473"/>
      <c r="Q982" s="1164"/>
      <c r="R982" s="473"/>
      <c r="S982" s="473"/>
      <c r="T982" s="1164"/>
      <c r="U982" s="1164"/>
      <c r="V982" s="473"/>
      <c r="W982" s="473"/>
      <c r="X982" s="1164"/>
      <c r="Y982" s="473"/>
      <c r="Z982" s="473"/>
      <c r="AA982" s="1164"/>
      <c r="AB982" s="473"/>
      <c r="AC982" s="1164"/>
      <c r="AD982" s="473"/>
      <c r="AE982" s="1164"/>
      <c r="AF982" s="473"/>
      <c r="AG982" s="1164"/>
      <c r="AH982" s="473"/>
      <c r="AI982" s="473"/>
      <c r="AJ982" s="1164"/>
      <c r="AK982" s="473"/>
      <c r="AL982" s="473"/>
      <c r="AM982" s="1164"/>
      <c r="AN982" s="473"/>
      <c r="AO982" s="473"/>
      <c r="AP982" s="1164"/>
      <c r="AQ982" s="473"/>
      <c r="AR982" s="473"/>
      <c r="AS982" s="1236"/>
      <c r="AT982" s="473"/>
      <c r="AU982" s="473"/>
      <c r="AV982" s="1164"/>
      <c r="AW982" s="1164"/>
      <c r="AX982" s="1236"/>
      <c r="AY982" s="473"/>
      <c r="AZ982" s="1236"/>
      <c r="BA982" s="473"/>
      <c r="BB982" s="473"/>
      <c r="BC982" s="1164"/>
      <c r="BD982" s="20"/>
      <c r="BE982" s="473"/>
      <c r="BF982" s="610"/>
      <c r="BG982" s="610"/>
      <c r="BH982" s="610"/>
      <c r="BI982" s="610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</row>
    <row r="983" spans="1:148" s="22" customFormat="1" x14ac:dyDescent="0.25">
      <c r="A983" s="20"/>
      <c r="B983" s="16"/>
      <c r="C983" s="473"/>
      <c r="D983" s="473"/>
      <c r="E983" s="1164"/>
      <c r="F983" s="473"/>
      <c r="G983" s="473"/>
      <c r="H983" s="1164"/>
      <c r="I983" s="473"/>
      <c r="J983" s="473"/>
      <c r="K983" s="1164"/>
      <c r="L983" s="473"/>
      <c r="M983" s="473"/>
      <c r="N983" s="1164"/>
      <c r="O983" s="473"/>
      <c r="P983" s="473"/>
      <c r="Q983" s="1164"/>
      <c r="R983" s="473"/>
      <c r="S983" s="473"/>
      <c r="T983" s="1164"/>
      <c r="U983" s="1164"/>
      <c r="V983" s="473"/>
      <c r="W983" s="473"/>
      <c r="X983" s="1164"/>
      <c r="Y983" s="473"/>
      <c r="Z983" s="473"/>
      <c r="AA983" s="1164"/>
      <c r="AB983" s="473"/>
      <c r="AC983" s="1164"/>
      <c r="AD983" s="473"/>
      <c r="AE983" s="1164"/>
      <c r="AF983" s="473"/>
      <c r="AG983" s="1164"/>
      <c r="AH983" s="473"/>
      <c r="AI983" s="473"/>
      <c r="AJ983" s="1164"/>
      <c r="AK983" s="473"/>
      <c r="AL983" s="473"/>
      <c r="AM983" s="1164"/>
      <c r="AN983" s="473"/>
      <c r="AO983" s="473"/>
      <c r="AP983" s="1164"/>
      <c r="AQ983" s="473"/>
      <c r="AR983" s="473"/>
      <c r="AS983" s="1236"/>
      <c r="AT983" s="473"/>
      <c r="AU983" s="473"/>
      <c r="AV983" s="1164"/>
      <c r="AW983" s="1164"/>
      <c r="AX983" s="1236"/>
      <c r="AY983" s="473"/>
      <c r="AZ983" s="1236"/>
      <c r="BA983" s="473"/>
      <c r="BB983" s="473"/>
      <c r="BC983" s="1164"/>
      <c r="BD983" s="20"/>
      <c r="BE983" s="473"/>
      <c r="BF983" s="610"/>
      <c r="BG983" s="610"/>
      <c r="BH983" s="610"/>
      <c r="BI983" s="610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</row>
    <row r="984" spans="1:148" s="22" customFormat="1" x14ac:dyDescent="0.25">
      <c r="A984" s="20"/>
      <c r="B984" s="16"/>
      <c r="C984" s="473"/>
      <c r="D984" s="473"/>
      <c r="E984" s="1164"/>
      <c r="F984" s="473"/>
      <c r="G984" s="473"/>
      <c r="H984" s="1164"/>
      <c r="I984" s="473"/>
      <c r="J984" s="473"/>
      <c r="K984" s="1164"/>
      <c r="L984" s="473"/>
      <c r="M984" s="473"/>
      <c r="N984" s="1164"/>
      <c r="O984" s="473"/>
      <c r="P984" s="473"/>
      <c r="Q984" s="1164"/>
      <c r="R984" s="473"/>
      <c r="S984" s="473"/>
      <c r="T984" s="1164"/>
      <c r="U984" s="1164"/>
      <c r="V984" s="473"/>
      <c r="W984" s="473"/>
      <c r="X984" s="1164"/>
      <c r="Y984" s="473"/>
      <c r="Z984" s="473"/>
      <c r="AA984" s="1164"/>
      <c r="AB984" s="473"/>
      <c r="AC984" s="1164"/>
      <c r="AD984" s="473"/>
      <c r="AE984" s="1164"/>
      <c r="AF984" s="473"/>
      <c r="AG984" s="1164"/>
      <c r="AH984" s="473"/>
      <c r="AI984" s="473"/>
      <c r="AJ984" s="1164"/>
      <c r="AK984" s="473"/>
      <c r="AL984" s="473"/>
      <c r="AM984" s="1164"/>
      <c r="AN984" s="473"/>
      <c r="AO984" s="473"/>
      <c r="AP984" s="1164"/>
      <c r="AQ984" s="473"/>
      <c r="AR984" s="473"/>
      <c r="AS984" s="1236"/>
      <c r="AT984" s="473"/>
      <c r="AU984" s="473"/>
      <c r="AV984" s="1164"/>
      <c r="AW984" s="1164"/>
      <c r="AX984" s="1236"/>
      <c r="AY984" s="473"/>
      <c r="AZ984" s="1236"/>
      <c r="BA984" s="473"/>
      <c r="BB984" s="473"/>
      <c r="BC984" s="1164"/>
      <c r="BD984" s="20"/>
      <c r="BE984" s="473"/>
      <c r="BF984" s="610"/>
      <c r="BG984" s="610"/>
      <c r="BH984" s="610"/>
      <c r="BI984" s="610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</row>
    <row r="985" spans="1:148" s="22" customFormat="1" x14ac:dyDescent="0.25">
      <c r="A985" s="20"/>
      <c r="B985" s="16"/>
      <c r="C985" s="473"/>
      <c r="D985" s="473"/>
      <c r="E985" s="1164"/>
      <c r="F985" s="473"/>
      <c r="G985" s="473"/>
      <c r="H985" s="1164"/>
      <c r="I985" s="473"/>
      <c r="J985" s="473"/>
      <c r="K985" s="1164"/>
      <c r="L985" s="473"/>
      <c r="M985" s="473"/>
      <c r="N985" s="1164"/>
      <c r="O985" s="473"/>
      <c r="P985" s="473"/>
      <c r="Q985" s="1164"/>
      <c r="R985" s="473"/>
      <c r="S985" s="473"/>
      <c r="T985" s="1164"/>
      <c r="U985" s="1164"/>
      <c r="V985" s="473"/>
      <c r="W985" s="473"/>
      <c r="X985" s="1164"/>
      <c r="Y985" s="473"/>
      <c r="Z985" s="473"/>
      <c r="AA985" s="1164"/>
      <c r="AB985" s="473"/>
      <c r="AC985" s="1164"/>
      <c r="AD985" s="473"/>
      <c r="AE985" s="1164"/>
      <c r="AF985" s="473"/>
      <c r="AG985" s="1164"/>
      <c r="AH985" s="473"/>
      <c r="AI985" s="473"/>
      <c r="AJ985" s="1164"/>
      <c r="AK985" s="473"/>
      <c r="AL985" s="473"/>
      <c r="AM985" s="1164"/>
      <c r="AN985" s="473"/>
      <c r="AO985" s="473"/>
      <c r="AP985" s="1164"/>
      <c r="AQ985" s="473"/>
      <c r="AR985" s="473"/>
      <c r="AS985" s="1236"/>
      <c r="AT985" s="473"/>
      <c r="AU985" s="473"/>
      <c r="AV985" s="1164"/>
      <c r="AW985" s="1164"/>
      <c r="AX985" s="1236"/>
      <c r="AY985" s="473"/>
      <c r="AZ985" s="1236"/>
      <c r="BA985" s="473"/>
      <c r="BB985" s="473"/>
      <c r="BC985" s="1164"/>
      <c r="BD985" s="20"/>
      <c r="BE985" s="473"/>
      <c r="BF985" s="610"/>
      <c r="BG985" s="610"/>
      <c r="BH985" s="610"/>
      <c r="BI985" s="610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</row>
    <row r="986" spans="1:148" s="22" customFormat="1" x14ac:dyDescent="0.25">
      <c r="A986" s="20"/>
      <c r="B986" s="16"/>
      <c r="C986" s="473"/>
      <c r="D986" s="473"/>
      <c r="E986" s="1164"/>
      <c r="F986" s="473"/>
      <c r="G986" s="473"/>
      <c r="H986" s="1164"/>
      <c r="I986" s="473"/>
      <c r="J986" s="473"/>
      <c r="K986" s="1164"/>
      <c r="L986" s="473"/>
      <c r="M986" s="473"/>
      <c r="N986" s="1164"/>
      <c r="O986" s="473"/>
      <c r="P986" s="473"/>
      <c r="Q986" s="1164"/>
      <c r="R986" s="473"/>
      <c r="S986" s="473"/>
      <c r="T986" s="1164"/>
      <c r="U986" s="1164"/>
      <c r="V986" s="473"/>
      <c r="W986" s="473"/>
      <c r="X986" s="1164"/>
      <c r="Y986" s="473"/>
      <c r="Z986" s="473"/>
      <c r="AA986" s="1164"/>
      <c r="AB986" s="473"/>
      <c r="AC986" s="1164"/>
      <c r="AD986" s="473"/>
      <c r="AE986" s="1164"/>
      <c r="AF986" s="473"/>
      <c r="AG986" s="1164"/>
      <c r="AH986" s="473"/>
      <c r="AI986" s="473"/>
      <c r="AJ986" s="1164"/>
      <c r="AK986" s="473"/>
      <c r="AL986" s="473"/>
      <c r="AM986" s="1164"/>
      <c r="AN986" s="473"/>
      <c r="AO986" s="473"/>
      <c r="AP986" s="1164"/>
      <c r="AQ986" s="473"/>
      <c r="AR986" s="473"/>
      <c r="AS986" s="1236"/>
      <c r="AT986" s="473"/>
      <c r="AU986" s="473"/>
      <c r="AV986" s="1164"/>
      <c r="AW986" s="1164"/>
      <c r="AX986" s="1236"/>
      <c r="AY986" s="473"/>
      <c r="AZ986" s="1236"/>
      <c r="BA986" s="473"/>
      <c r="BB986" s="473"/>
      <c r="BC986" s="1164"/>
      <c r="BD986" s="20"/>
      <c r="BE986" s="473"/>
      <c r="BF986" s="610"/>
      <c r="BG986" s="610"/>
      <c r="BH986" s="610"/>
      <c r="BI986" s="610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</row>
    <row r="987" spans="1:148" s="22" customFormat="1" x14ac:dyDescent="0.25">
      <c r="A987" s="20"/>
      <c r="B987" s="16"/>
      <c r="C987" s="473"/>
      <c r="D987" s="473"/>
      <c r="E987" s="1164"/>
      <c r="F987" s="473"/>
      <c r="G987" s="473"/>
      <c r="H987" s="1164"/>
      <c r="I987" s="473"/>
      <c r="J987" s="473"/>
      <c r="K987" s="1164"/>
      <c r="L987" s="473"/>
      <c r="M987" s="473"/>
      <c r="N987" s="1164"/>
      <c r="O987" s="473"/>
      <c r="P987" s="473"/>
      <c r="Q987" s="1164"/>
      <c r="R987" s="473"/>
      <c r="S987" s="473"/>
      <c r="T987" s="1164"/>
      <c r="U987" s="1164"/>
      <c r="V987" s="473"/>
      <c r="W987" s="473"/>
      <c r="X987" s="1164"/>
      <c r="Y987" s="473"/>
      <c r="Z987" s="473"/>
      <c r="AA987" s="1164"/>
      <c r="AB987" s="473"/>
      <c r="AC987" s="1164"/>
      <c r="AD987" s="473"/>
      <c r="AE987" s="1164"/>
      <c r="AF987" s="473"/>
      <c r="AG987" s="1164"/>
      <c r="AH987" s="473"/>
      <c r="AI987" s="473"/>
      <c r="AJ987" s="1164"/>
      <c r="AK987" s="473"/>
      <c r="AL987" s="473"/>
      <c r="AM987" s="1164"/>
      <c r="AN987" s="473"/>
      <c r="AO987" s="473"/>
      <c r="AP987" s="1164"/>
      <c r="AQ987" s="473"/>
      <c r="AR987" s="473"/>
      <c r="AS987" s="1236"/>
      <c r="AT987" s="473"/>
      <c r="AU987" s="473"/>
      <c r="AV987" s="1164"/>
      <c r="AW987" s="1164"/>
      <c r="AX987" s="1236"/>
      <c r="AY987" s="473"/>
      <c r="AZ987" s="1236"/>
      <c r="BA987" s="473"/>
      <c r="BB987" s="473"/>
      <c r="BC987" s="1164"/>
      <c r="BD987" s="20"/>
      <c r="BE987" s="473"/>
      <c r="BF987" s="610"/>
      <c r="BG987" s="610"/>
      <c r="BH987" s="610"/>
      <c r="BI987" s="610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</row>
    <row r="988" spans="1:148" s="22" customFormat="1" x14ac:dyDescent="0.25">
      <c r="A988" s="20"/>
      <c r="B988" s="16"/>
      <c r="C988" s="473"/>
      <c r="D988" s="473"/>
      <c r="E988" s="1164"/>
      <c r="F988" s="473"/>
      <c r="G988" s="473"/>
      <c r="H988" s="1164"/>
      <c r="I988" s="473"/>
      <c r="J988" s="473"/>
      <c r="K988" s="1164"/>
      <c r="L988" s="473"/>
      <c r="M988" s="473"/>
      <c r="N988" s="1164"/>
      <c r="O988" s="473"/>
      <c r="P988" s="473"/>
      <c r="Q988" s="1164"/>
      <c r="R988" s="473"/>
      <c r="S988" s="473"/>
      <c r="T988" s="1164"/>
      <c r="U988" s="1164"/>
      <c r="V988" s="473"/>
      <c r="W988" s="473"/>
      <c r="X988" s="1164"/>
      <c r="Y988" s="473"/>
      <c r="Z988" s="473"/>
      <c r="AA988" s="1164"/>
      <c r="AB988" s="473"/>
      <c r="AC988" s="1164"/>
      <c r="AD988" s="473"/>
      <c r="AE988" s="1164"/>
      <c r="AF988" s="473"/>
      <c r="AG988" s="1164"/>
      <c r="AH988" s="473"/>
      <c r="AI988" s="473"/>
      <c r="AJ988" s="1164"/>
      <c r="AK988" s="473"/>
      <c r="AL988" s="473"/>
      <c r="AM988" s="1164"/>
      <c r="AN988" s="473"/>
      <c r="AO988" s="473"/>
      <c r="AP988" s="1164"/>
      <c r="AQ988" s="473"/>
      <c r="AR988" s="473"/>
      <c r="AS988" s="1236"/>
      <c r="AT988" s="473"/>
      <c r="AU988" s="473"/>
      <c r="AV988" s="1164"/>
      <c r="AW988" s="1164"/>
      <c r="AX988" s="1236"/>
      <c r="AY988" s="473"/>
      <c r="AZ988" s="1236"/>
      <c r="BA988" s="473"/>
      <c r="BB988" s="473"/>
      <c r="BC988" s="1164"/>
      <c r="BD988" s="20"/>
      <c r="BE988" s="473"/>
      <c r="BF988" s="610"/>
      <c r="BG988" s="610"/>
      <c r="BH988" s="610"/>
      <c r="BI988" s="610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</row>
    <row r="989" spans="1:148" s="22" customFormat="1" x14ac:dyDescent="0.25">
      <c r="A989" s="20"/>
      <c r="B989" s="16"/>
      <c r="C989" s="473"/>
      <c r="D989" s="473"/>
      <c r="E989" s="1164"/>
      <c r="F989" s="473"/>
      <c r="G989" s="473"/>
      <c r="H989" s="1164"/>
      <c r="I989" s="473"/>
      <c r="J989" s="473"/>
      <c r="K989" s="1164"/>
      <c r="L989" s="473"/>
      <c r="M989" s="473"/>
      <c r="N989" s="1164"/>
      <c r="O989" s="473"/>
      <c r="P989" s="473"/>
      <c r="Q989" s="1164"/>
      <c r="R989" s="473"/>
      <c r="S989" s="473"/>
      <c r="T989" s="1164"/>
      <c r="U989" s="1164"/>
      <c r="V989" s="473"/>
      <c r="W989" s="473"/>
      <c r="X989" s="1164"/>
      <c r="Y989" s="473"/>
      <c r="Z989" s="473"/>
      <c r="AA989" s="1164"/>
      <c r="AB989" s="473"/>
      <c r="AC989" s="1164"/>
      <c r="AD989" s="473"/>
      <c r="AE989" s="1164"/>
      <c r="AF989" s="473"/>
      <c r="AG989" s="1164"/>
      <c r="AH989" s="473"/>
      <c r="AI989" s="473"/>
      <c r="AJ989" s="1164"/>
      <c r="AK989" s="473"/>
      <c r="AL989" s="473"/>
      <c r="AM989" s="1164"/>
      <c r="AN989" s="473"/>
      <c r="AO989" s="473"/>
      <c r="AP989" s="1164"/>
      <c r="AQ989" s="473"/>
      <c r="AR989" s="473"/>
      <c r="AS989" s="1236"/>
      <c r="AT989" s="473"/>
      <c r="AU989" s="473"/>
      <c r="AV989" s="1164"/>
      <c r="AW989" s="1164"/>
      <c r="AX989" s="1236"/>
      <c r="AY989" s="473"/>
      <c r="AZ989" s="1236"/>
      <c r="BA989" s="473"/>
      <c r="BB989" s="473"/>
      <c r="BC989" s="1164"/>
      <c r="BD989" s="20"/>
      <c r="BE989" s="473"/>
      <c r="BF989" s="610"/>
      <c r="BG989" s="610"/>
      <c r="BH989" s="610"/>
      <c r="BI989" s="610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</row>
    <row r="990" spans="1:148" s="22" customFormat="1" x14ac:dyDescent="0.25">
      <c r="A990" s="20"/>
      <c r="B990" s="16"/>
      <c r="C990" s="473"/>
      <c r="D990" s="473"/>
      <c r="E990" s="1164"/>
      <c r="F990" s="473"/>
      <c r="G990" s="473"/>
      <c r="H990" s="1164"/>
      <c r="I990" s="473"/>
      <c r="J990" s="473"/>
      <c r="K990" s="1164"/>
      <c r="L990" s="473"/>
      <c r="M990" s="473"/>
      <c r="N990" s="1164"/>
      <c r="O990" s="473"/>
      <c r="P990" s="473"/>
      <c r="Q990" s="1164"/>
      <c r="R990" s="473"/>
      <c r="S990" s="473"/>
      <c r="T990" s="1164"/>
      <c r="U990" s="1164"/>
      <c r="V990" s="473"/>
      <c r="W990" s="473"/>
      <c r="X990" s="1164"/>
      <c r="Y990" s="473"/>
      <c r="Z990" s="473"/>
      <c r="AA990" s="1164"/>
      <c r="AB990" s="473"/>
      <c r="AC990" s="1164"/>
      <c r="AD990" s="473"/>
      <c r="AE990" s="1164"/>
      <c r="AF990" s="473"/>
      <c r="AG990" s="1164"/>
      <c r="AH990" s="473"/>
      <c r="AI990" s="473"/>
      <c r="AJ990" s="1164"/>
      <c r="AK990" s="473"/>
      <c r="AL990" s="473"/>
      <c r="AM990" s="1164"/>
      <c r="AN990" s="473"/>
      <c r="AO990" s="473"/>
      <c r="AP990" s="1164"/>
      <c r="AQ990" s="473"/>
      <c r="AR990" s="473"/>
      <c r="AS990" s="1236"/>
      <c r="AT990" s="473"/>
      <c r="AU990" s="473"/>
      <c r="AV990" s="1164"/>
      <c r="AW990" s="1164"/>
      <c r="AX990" s="1236"/>
      <c r="AY990" s="473"/>
      <c r="AZ990" s="1236"/>
      <c r="BA990" s="473"/>
      <c r="BB990" s="473"/>
      <c r="BC990" s="1164"/>
      <c r="BD990" s="20"/>
      <c r="BE990" s="473"/>
      <c r="BF990" s="610"/>
      <c r="BG990" s="610"/>
      <c r="BH990" s="610"/>
      <c r="BI990" s="610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</row>
    <row r="991" spans="1:148" s="22" customFormat="1" x14ac:dyDescent="0.25">
      <c r="A991" s="20"/>
      <c r="B991" s="16"/>
      <c r="C991" s="473"/>
      <c r="D991" s="473"/>
      <c r="E991" s="1164"/>
      <c r="F991" s="473"/>
      <c r="G991" s="473"/>
      <c r="H991" s="1164"/>
      <c r="I991" s="473"/>
      <c r="J991" s="473"/>
      <c r="K991" s="1164"/>
      <c r="L991" s="473"/>
      <c r="M991" s="473"/>
      <c r="N991" s="1164"/>
      <c r="O991" s="473"/>
      <c r="P991" s="473"/>
      <c r="Q991" s="1164"/>
      <c r="R991" s="473"/>
      <c r="S991" s="473"/>
      <c r="T991" s="1164"/>
      <c r="U991" s="1164"/>
      <c r="V991" s="473"/>
      <c r="W991" s="473"/>
      <c r="X991" s="1164"/>
      <c r="Y991" s="473"/>
      <c r="Z991" s="473"/>
      <c r="AA991" s="1164"/>
      <c r="AB991" s="473"/>
      <c r="AC991" s="1164"/>
      <c r="AD991" s="473"/>
      <c r="AE991" s="1164"/>
      <c r="AF991" s="473"/>
      <c r="AG991" s="1164"/>
      <c r="AH991" s="473"/>
      <c r="AI991" s="473"/>
      <c r="AJ991" s="1164"/>
      <c r="AK991" s="473"/>
      <c r="AL991" s="473"/>
      <c r="AM991" s="1164"/>
      <c r="AN991" s="473"/>
      <c r="AO991" s="473"/>
      <c r="AP991" s="1164"/>
      <c r="AQ991" s="473"/>
      <c r="AR991" s="473"/>
      <c r="AS991" s="1236"/>
      <c r="AT991" s="473"/>
      <c r="AU991" s="473"/>
      <c r="AV991" s="1164"/>
      <c r="AW991" s="1164"/>
      <c r="AX991" s="1236"/>
      <c r="AY991" s="473"/>
      <c r="AZ991" s="1236"/>
      <c r="BA991" s="473"/>
      <c r="BB991" s="473"/>
      <c r="BC991" s="1164"/>
      <c r="BD991" s="20"/>
      <c r="BE991" s="473"/>
      <c r="BF991" s="610"/>
      <c r="BG991" s="610"/>
      <c r="BH991" s="610"/>
      <c r="BI991" s="610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</row>
    <row r="992" spans="1:148" s="22" customFormat="1" x14ac:dyDescent="0.25">
      <c r="A992" s="20"/>
      <c r="B992" s="16"/>
      <c r="C992" s="473"/>
      <c r="D992" s="473"/>
      <c r="E992" s="1164"/>
      <c r="F992" s="473"/>
      <c r="G992" s="473"/>
      <c r="H992" s="1164"/>
      <c r="I992" s="473"/>
      <c r="J992" s="473"/>
      <c r="K992" s="1164"/>
      <c r="L992" s="473"/>
      <c r="M992" s="473"/>
      <c r="N992" s="1164"/>
      <c r="O992" s="473"/>
      <c r="P992" s="473"/>
      <c r="Q992" s="1164"/>
      <c r="R992" s="473"/>
      <c r="S992" s="473"/>
      <c r="T992" s="1164"/>
      <c r="U992" s="1164"/>
      <c r="V992" s="473"/>
      <c r="W992" s="473"/>
      <c r="X992" s="1164"/>
      <c r="Y992" s="473"/>
      <c r="Z992" s="473"/>
      <c r="AA992" s="1164"/>
      <c r="AB992" s="473"/>
      <c r="AC992" s="1164"/>
      <c r="AD992" s="473"/>
      <c r="AE992" s="1164"/>
      <c r="AF992" s="473"/>
      <c r="AG992" s="1164"/>
      <c r="AH992" s="473"/>
      <c r="AI992" s="473"/>
      <c r="AJ992" s="1164"/>
      <c r="AK992" s="473"/>
      <c r="AL992" s="473"/>
      <c r="AM992" s="1164"/>
      <c r="AN992" s="473"/>
      <c r="AO992" s="473"/>
      <c r="AP992" s="1164"/>
      <c r="AQ992" s="473"/>
      <c r="AR992" s="473"/>
      <c r="AS992" s="1236"/>
      <c r="AT992" s="473"/>
      <c r="AU992" s="473"/>
      <c r="AV992" s="1164"/>
      <c r="AW992" s="1164"/>
      <c r="AX992" s="1236"/>
      <c r="AY992" s="473"/>
      <c r="AZ992" s="1236"/>
      <c r="BA992" s="473"/>
      <c r="BB992" s="473"/>
      <c r="BC992" s="1164"/>
      <c r="BD992" s="20"/>
      <c r="BE992" s="473"/>
      <c r="BF992" s="610"/>
      <c r="BG992" s="610"/>
      <c r="BH992" s="610"/>
      <c r="BI992" s="610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</row>
    <row r="993" spans="1:148" s="22" customFormat="1" x14ac:dyDescent="0.25">
      <c r="A993" s="20"/>
      <c r="B993" s="16"/>
      <c r="C993" s="473"/>
      <c r="D993" s="473"/>
      <c r="E993" s="1164"/>
      <c r="F993" s="473"/>
      <c r="G993" s="473"/>
      <c r="H993" s="1164"/>
      <c r="I993" s="473"/>
      <c r="J993" s="473"/>
      <c r="K993" s="1164"/>
      <c r="L993" s="473"/>
      <c r="M993" s="473"/>
      <c r="N993" s="1164"/>
      <c r="O993" s="473"/>
      <c r="P993" s="473"/>
      <c r="Q993" s="1164"/>
      <c r="R993" s="473"/>
      <c r="S993" s="473"/>
      <c r="T993" s="1164"/>
      <c r="U993" s="1164"/>
      <c r="V993" s="473"/>
      <c r="W993" s="473"/>
      <c r="X993" s="1164"/>
      <c r="Y993" s="473"/>
      <c r="Z993" s="473"/>
      <c r="AA993" s="1164"/>
      <c r="AB993" s="473"/>
      <c r="AC993" s="1164"/>
      <c r="AD993" s="473"/>
      <c r="AE993" s="1164"/>
      <c r="AF993" s="473"/>
      <c r="AG993" s="1164"/>
      <c r="AH993" s="473"/>
      <c r="AI993" s="473"/>
      <c r="AJ993" s="1164"/>
      <c r="AK993" s="473"/>
      <c r="AL993" s="473"/>
      <c r="AM993" s="1164"/>
      <c r="AN993" s="473"/>
      <c r="AO993" s="473"/>
      <c r="AP993" s="1164"/>
      <c r="AQ993" s="473"/>
      <c r="AR993" s="473"/>
      <c r="AS993" s="1236"/>
      <c r="AT993" s="473"/>
      <c r="AU993" s="473"/>
      <c r="AV993" s="1164"/>
      <c r="AW993" s="1164"/>
      <c r="AX993" s="1236"/>
      <c r="AY993" s="473"/>
      <c r="AZ993" s="1236"/>
      <c r="BA993" s="473"/>
      <c r="BB993" s="473"/>
      <c r="BC993" s="1164"/>
      <c r="BD993" s="20"/>
      <c r="BE993" s="473"/>
      <c r="BF993" s="610"/>
      <c r="BG993" s="610"/>
      <c r="BH993" s="610"/>
      <c r="BI993" s="610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</row>
    <row r="994" spans="1:148" s="22" customFormat="1" x14ac:dyDescent="0.25">
      <c r="A994" s="20"/>
      <c r="B994" s="16"/>
      <c r="C994" s="473"/>
      <c r="D994" s="473"/>
      <c r="E994" s="1164"/>
      <c r="F994" s="473"/>
      <c r="G994" s="473"/>
      <c r="H994" s="1164"/>
      <c r="I994" s="473"/>
      <c r="J994" s="473"/>
      <c r="K994" s="1164"/>
      <c r="L994" s="473"/>
      <c r="M994" s="473"/>
      <c r="N994" s="1164"/>
      <c r="O994" s="473"/>
      <c r="P994" s="473"/>
      <c r="Q994" s="1164"/>
      <c r="R994" s="473"/>
      <c r="S994" s="473"/>
      <c r="T994" s="1164"/>
      <c r="U994" s="1164"/>
      <c r="V994" s="473"/>
      <c r="W994" s="473"/>
      <c r="X994" s="1164"/>
      <c r="Y994" s="473"/>
      <c r="Z994" s="473"/>
      <c r="AA994" s="1164"/>
      <c r="AB994" s="473"/>
      <c r="AC994" s="1164"/>
      <c r="AD994" s="473"/>
      <c r="AE994" s="1164"/>
      <c r="AF994" s="473"/>
      <c r="AG994" s="1164"/>
      <c r="AH994" s="473"/>
      <c r="AI994" s="473"/>
      <c r="AJ994" s="1164"/>
      <c r="AK994" s="473"/>
      <c r="AL994" s="473"/>
      <c r="AM994" s="1164"/>
      <c r="AN994" s="473"/>
      <c r="AO994" s="473"/>
      <c r="AP994" s="1164"/>
      <c r="AQ994" s="473"/>
      <c r="AR994" s="473"/>
      <c r="AS994" s="1236"/>
      <c r="AT994" s="473"/>
      <c r="AU994" s="473"/>
      <c r="AV994" s="1164"/>
      <c r="AW994" s="1164"/>
      <c r="AX994" s="1236"/>
      <c r="AY994" s="473"/>
      <c r="AZ994" s="1236"/>
      <c r="BA994" s="473"/>
      <c r="BB994" s="473"/>
      <c r="BC994" s="1164"/>
      <c r="BD994" s="20"/>
      <c r="BE994" s="473"/>
      <c r="BF994" s="610"/>
      <c r="BG994" s="610"/>
      <c r="BH994" s="610"/>
      <c r="BI994" s="610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</row>
    <row r="995" spans="1:148" s="22" customFormat="1" x14ac:dyDescent="0.25">
      <c r="A995" s="20"/>
      <c r="B995" s="16"/>
      <c r="C995" s="473"/>
      <c r="D995" s="473"/>
      <c r="E995" s="1164"/>
      <c r="F995" s="473"/>
      <c r="G995" s="473"/>
      <c r="H995" s="1164"/>
      <c r="I995" s="473"/>
      <c r="J995" s="473"/>
      <c r="K995" s="1164"/>
      <c r="L995" s="473"/>
      <c r="M995" s="473"/>
      <c r="N995" s="1164"/>
      <c r="O995" s="473"/>
      <c r="P995" s="473"/>
      <c r="Q995" s="1164"/>
      <c r="R995" s="473"/>
      <c r="S995" s="473"/>
      <c r="T995" s="1164"/>
      <c r="U995" s="1164"/>
      <c r="V995" s="473"/>
      <c r="W995" s="473"/>
      <c r="X995" s="1164"/>
      <c r="Y995" s="473"/>
      <c r="Z995" s="473"/>
      <c r="AA995" s="1164"/>
      <c r="AB995" s="473"/>
      <c r="AC995" s="1164"/>
      <c r="AD995" s="473"/>
      <c r="AE995" s="1164"/>
      <c r="AF995" s="473"/>
      <c r="AG995" s="1164"/>
      <c r="AH995" s="473"/>
      <c r="AI995" s="473"/>
      <c r="AJ995" s="1164"/>
      <c r="AK995" s="473"/>
      <c r="AL995" s="473"/>
      <c r="AM995" s="1164"/>
      <c r="AN995" s="473"/>
      <c r="AO995" s="473"/>
      <c r="AP995" s="1164"/>
      <c r="AQ995" s="473"/>
      <c r="AR995" s="473"/>
      <c r="AS995" s="1236"/>
      <c r="AT995" s="473"/>
      <c r="AU995" s="473"/>
      <c r="AV995" s="1164"/>
      <c r="AW995" s="1164"/>
      <c r="AX995" s="1236"/>
      <c r="AY995" s="473"/>
      <c r="AZ995" s="1236"/>
      <c r="BA995" s="473"/>
      <c r="BB995" s="473"/>
      <c r="BC995" s="1164"/>
      <c r="BD995" s="20"/>
      <c r="BE995" s="473"/>
      <c r="BF995" s="610"/>
      <c r="BG995" s="610"/>
      <c r="BH995" s="610"/>
      <c r="BI995" s="610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</row>
    <row r="996" spans="1:148" s="22" customFormat="1" x14ac:dyDescent="0.25">
      <c r="A996" s="20"/>
      <c r="B996" s="16"/>
      <c r="C996" s="473"/>
      <c r="D996" s="473"/>
      <c r="E996" s="1164"/>
      <c r="F996" s="473"/>
      <c r="G996" s="473"/>
      <c r="H996" s="1164"/>
      <c r="I996" s="473"/>
      <c r="J996" s="473"/>
      <c r="K996" s="1164"/>
      <c r="L996" s="473"/>
      <c r="M996" s="473"/>
      <c r="N996" s="1164"/>
      <c r="O996" s="473"/>
      <c r="P996" s="473"/>
      <c r="Q996" s="1164"/>
      <c r="R996" s="473"/>
      <c r="S996" s="473"/>
      <c r="T996" s="1164"/>
      <c r="U996" s="1164"/>
      <c r="V996" s="473"/>
      <c r="W996" s="473"/>
      <c r="X996" s="1164"/>
      <c r="Y996" s="473"/>
      <c r="Z996" s="473"/>
      <c r="AA996" s="1164"/>
      <c r="AB996" s="473"/>
      <c r="AC996" s="1164"/>
      <c r="AD996" s="473"/>
      <c r="AE996" s="1164"/>
      <c r="AF996" s="473"/>
      <c r="AG996" s="1164"/>
      <c r="AH996" s="473"/>
      <c r="AI996" s="473"/>
      <c r="AJ996" s="1164"/>
      <c r="AK996" s="473"/>
      <c r="AL996" s="473"/>
      <c r="AM996" s="1164"/>
      <c r="AN996" s="473"/>
      <c r="AO996" s="473"/>
      <c r="AP996" s="1164"/>
      <c r="AQ996" s="473"/>
      <c r="AR996" s="473"/>
      <c r="AS996" s="1236"/>
      <c r="AT996" s="473"/>
      <c r="AU996" s="473"/>
      <c r="AV996" s="1164"/>
      <c r="AW996" s="1164"/>
      <c r="AX996" s="1236"/>
      <c r="AY996" s="473"/>
      <c r="AZ996" s="1236"/>
      <c r="BA996" s="473"/>
      <c r="BB996" s="473"/>
      <c r="BC996" s="1164"/>
      <c r="BD996" s="20"/>
      <c r="BE996" s="473"/>
      <c r="BF996" s="610"/>
      <c r="BG996" s="610"/>
      <c r="BH996" s="610"/>
      <c r="BI996" s="610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</row>
    <row r="997" spans="1:148" s="22" customFormat="1" x14ac:dyDescent="0.25">
      <c r="A997" s="20"/>
      <c r="B997" s="16"/>
      <c r="C997" s="473"/>
      <c r="D997" s="473"/>
      <c r="E997" s="1164"/>
      <c r="F997" s="473"/>
      <c r="G997" s="473"/>
      <c r="H997" s="1164"/>
      <c r="I997" s="473"/>
      <c r="J997" s="473"/>
      <c r="K997" s="1164"/>
      <c r="L997" s="473"/>
      <c r="M997" s="473"/>
      <c r="N997" s="1164"/>
      <c r="O997" s="473"/>
      <c r="P997" s="473"/>
      <c r="Q997" s="1164"/>
      <c r="R997" s="473"/>
      <c r="S997" s="473"/>
      <c r="T997" s="1164"/>
      <c r="U997" s="1164"/>
      <c r="V997" s="473"/>
      <c r="W997" s="473"/>
      <c r="X997" s="1164"/>
      <c r="Y997" s="473"/>
      <c r="Z997" s="473"/>
      <c r="AA997" s="1164"/>
      <c r="AB997" s="473"/>
      <c r="AC997" s="1164"/>
      <c r="AD997" s="473"/>
      <c r="AE997" s="1164"/>
      <c r="AF997" s="473"/>
      <c r="AG997" s="1164"/>
      <c r="AH997" s="473"/>
      <c r="AI997" s="473"/>
      <c r="AJ997" s="1164"/>
      <c r="AK997" s="473"/>
      <c r="AL997" s="473"/>
      <c r="AM997" s="1164"/>
      <c r="AN997" s="473"/>
      <c r="AO997" s="473"/>
      <c r="AP997" s="1164"/>
      <c r="AQ997" s="473"/>
      <c r="AR997" s="473"/>
      <c r="AS997" s="1236"/>
      <c r="AT997" s="473"/>
      <c r="AU997" s="473"/>
      <c r="AV997" s="1164"/>
      <c r="AW997" s="1164"/>
      <c r="AX997" s="1236"/>
      <c r="AY997" s="473"/>
      <c r="AZ997" s="1236"/>
      <c r="BA997" s="473"/>
      <c r="BB997" s="473"/>
      <c r="BC997" s="1164"/>
      <c r="BD997" s="20"/>
      <c r="BE997" s="473"/>
      <c r="BF997" s="610"/>
      <c r="BG997" s="610"/>
      <c r="BH997" s="610"/>
      <c r="BI997" s="610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</row>
    <row r="998" spans="1:148" s="22" customFormat="1" x14ac:dyDescent="0.25">
      <c r="A998" s="20"/>
      <c r="B998" s="16"/>
      <c r="C998" s="473"/>
      <c r="D998" s="473"/>
      <c r="E998" s="1164"/>
      <c r="F998" s="473"/>
      <c r="G998" s="473"/>
      <c r="H998" s="1164"/>
      <c r="I998" s="473"/>
      <c r="J998" s="473"/>
      <c r="K998" s="1164"/>
      <c r="L998" s="473"/>
      <c r="M998" s="473"/>
      <c r="N998" s="1164"/>
      <c r="O998" s="473"/>
      <c r="P998" s="473"/>
      <c r="Q998" s="1164"/>
      <c r="R998" s="473"/>
      <c r="S998" s="473"/>
      <c r="T998" s="1164"/>
      <c r="U998" s="1164"/>
      <c r="V998" s="473"/>
      <c r="W998" s="473"/>
      <c r="X998" s="1164"/>
      <c r="Y998" s="473"/>
      <c r="Z998" s="473"/>
      <c r="AA998" s="1164"/>
      <c r="AB998" s="473"/>
      <c r="AC998" s="1164"/>
      <c r="AD998" s="473"/>
      <c r="AE998" s="1164"/>
      <c r="AF998" s="473"/>
      <c r="AG998" s="1164"/>
      <c r="AH998" s="473"/>
      <c r="AI998" s="473"/>
      <c r="AJ998" s="1164"/>
      <c r="AK998" s="473"/>
      <c r="AL998" s="473"/>
      <c r="AM998" s="1164"/>
      <c r="AN998" s="473"/>
      <c r="AO998" s="473"/>
      <c r="AP998" s="1164"/>
      <c r="AQ998" s="473"/>
      <c r="AR998" s="473"/>
      <c r="AS998" s="1236"/>
      <c r="AT998" s="473"/>
      <c r="AU998" s="473"/>
      <c r="AV998" s="1164"/>
      <c r="AW998" s="1164"/>
      <c r="AX998" s="1236"/>
      <c r="AY998" s="473"/>
      <c r="AZ998" s="1236"/>
      <c r="BA998" s="473"/>
      <c r="BB998" s="473"/>
      <c r="BC998" s="1164"/>
      <c r="BD998" s="20"/>
      <c r="BE998" s="473"/>
      <c r="BF998" s="610"/>
      <c r="BG998" s="610"/>
      <c r="BH998" s="610"/>
      <c r="BI998" s="610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</row>
    <row r="999" spans="1:148" s="22" customFormat="1" x14ac:dyDescent="0.25">
      <c r="A999" s="20"/>
      <c r="B999" s="16"/>
      <c r="C999" s="473"/>
      <c r="D999" s="473"/>
      <c r="E999" s="1164"/>
      <c r="F999" s="473"/>
      <c r="G999" s="473"/>
      <c r="H999" s="1164"/>
      <c r="I999" s="473"/>
      <c r="J999" s="473"/>
      <c r="K999" s="1164"/>
      <c r="L999" s="473"/>
      <c r="M999" s="473"/>
      <c r="N999" s="1164"/>
      <c r="O999" s="473"/>
      <c r="P999" s="473"/>
      <c r="Q999" s="1164"/>
      <c r="R999" s="473"/>
      <c r="S999" s="473"/>
      <c r="T999" s="1164"/>
      <c r="U999" s="1164"/>
      <c r="V999" s="473"/>
      <c r="W999" s="473"/>
      <c r="X999" s="1164"/>
      <c r="Y999" s="473"/>
      <c r="Z999" s="473"/>
      <c r="AA999" s="1164"/>
      <c r="AB999" s="473"/>
      <c r="AC999" s="1164"/>
      <c r="AD999" s="473"/>
      <c r="AE999" s="1164"/>
      <c r="AF999" s="473"/>
      <c r="AG999" s="1164"/>
      <c r="AH999" s="473"/>
      <c r="AI999" s="473"/>
      <c r="AJ999" s="1164"/>
      <c r="AK999" s="473"/>
      <c r="AL999" s="473"/>
      <c r="AM999" s="1164"/>
      <c r="AN999" s="473"/>
      <c r="AO999" s="473"/>
      <c r="AP999" s="1164"/>
      <c r="AQ999" s="473"/>
      <c r="AR999" s="473"/>
      <c r="AS999" s="1236"/>
      <c r="AT999" s="473"/>
      <c r="AU999" s="473"/>
      <c r="AV999" s="1164"/>
      <c r="AW999" s="1164"/>
      <c r="AX999" s="1236"/>
      <c r="AY999" s="473"/>
      <c r="AZ999" s="1236"/>
      <c r="BA999" s="473"/>
      <c r="BB999" s="473"/>
      <c r="BC999" s="1164"/>
      <c r="BD999" s="20"/>
      <c r="BE999" s="473"/>
      <c r="BF999" s="610"/>
      <c r="BG999" s="610"/>
      <c r="BH999" s="610"/>
      <c r="BI999" s="610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</row>
    <row r="1000" spans="1:148" s="22" customFormat="1" x14ac:dyDescent="0.25">
      <c r="A1000" s="20"/>
      <c r="B1000" s="16"/>
      <c r="C1000" s="473"/>
      <c r="D1000" s="473"/>
      <c r="E1000" s="1164"/>
      <c r="F1000" s="473"/>
      <c r="G1000" s="473"/>
      <c r="H1000" s="1164"/>
      <c r="I1000" s="473"/>
      <c r="J1000" s="473"/>
      <c r="K1000" s="1164"/>
      <c r="L1000" s="473"/>
      <c r="M1000" s="473"/>
      <c r="N1000" s="1164"/>
      <c r="O1000" s="473"/>
      <c r="P1000" s="473"/>
      <c r="Q1000" s="1164"/>
      <c r="R1000" s="473"/>
      <c r="S1000" s="473"/>
      <c r="T1000" s="1164"/>
      <c r="U1000" s="1164"/>
      <c r="V1000" s="473"/>
      <c r="W1000" s="473"/>
      <c r="X1000" s="1164"/>
      <c r="Y1000" s="473"/>
      <c r="Z1000" s="473"/>
      <c r="AA1000" s="1164"/>
      <c r="AB1000" s="473"/>
      <c r="AC1000" s="1164"/>
      <c r="AD1000" s="473"/>
      <c r="AE1000" s="1164"/>
      <c r="AF1000" s="473"/>
      <c r="AG1000" s="1164"/>
      <c r="AH1000" s="473"/>
      <c r="AI1000" s="473"/>
      <c r="AJ1000" s="1164"/>
      <c r="AK1000" s="473"/>
      <c r="AL1000" s="473"/>
      <c r="AM1000" s="1164"/>
      <c r="AN1000" s="473"/>
      <c r="AO1000" s="473"/>
      <c r="AP1000" s="1164"/>
      <c r="AQ1000" s="473"/>
      <c r="AR1000" s="473"/>
      <c r="AS1000" s="1236"/>
      <c r="AT1000" s="473"/>
      <c r="AU1000" s="473"/>
      <c r="AV1000" s="1164"/>
      <c r="AW1000" s="1164"/>
      <c r="AX1000" s="1236"/>
      <c r="AY1000" s="473"/>
      <c r="AZ1000" s="1236"/>
      <c r="BA1000" s="473"/>
      <c r="BB1000" s="473"/>
      <c r="BC1000" s="1164"/>
      <c r="BD1000" s="20"/>
      <c r="BE1000" s="473"/>
      <c r="BF1000" s="610"/>
      <c r="BG1000" s="610"/>
      <c r="BH1000" s="610"/>
      <c r="BI1000" s="610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</row>
    <row r="1001" spans="1:148" s="22" customFormat="1" x14ac:dyDescent="0.25">
      <c r="A1001" s="20"/>
      <c r="B1001" s="16"/>
      <c r="C1001" s="473"/>
      <c r="D1001" s="473"/>
      <c r="E1001" s="1164"/>
      <c r="F1001" s="473"/>
      <c r="G1001" s="473"/>
      <c r="H1001" s="1164"/>
      <c r="I1001" s="473"/>
      <c r="J1001" s="473"/>
      <c r="K1001" s="1164"/>
      <c r="L1001" s="473"/>
      <c r="M1001" s="473"/>
      <c r="N1001" s="1164"/>
      <c r="O1001" s="473"/>
      <c r="P1001" s="473"/>
      <c r="Q1001" s="1164"/>
      <c r="R1001" s="473"/>
      <c r="S1001" s="473"/>
      <c r="T1001" s="1164"/>
      <c r="U1001" s="1164"/>
      <c r="V1001" s="473"/>
      <c r="W1001" s="473"/>
      <c r="X1001" s="1164"/>
      <c r="Y1001" s="473"/>
      <c r="Z1001" s="473"/>
      <c r="AA1001" s="1164"/>
      <c r="AB1001" s="473"/>
      <c r="AC1001" s="1164"/>
      <c r="AD1001" s="473"/>
      <c r="AE1001" s="1164"/>
      <c r="AF1001" s="473"/>
      <c r="AG1001" s="1164"/>
      <c r="AH1001" s="473"/>
      <c r="AI1001" s="473"/>
      <c r="AJ1001" s="1164"/>
      <c r="AK1001" s="473"/>
      <c r="AL1001" s="473"/>
      <c r="AM1001" s="1164"/>
      <c r="AN1001" s="473"/>
      <c r="AO1001" s="473"/>
      <c r="AP1001" s="1164"/>
      <c r="AQ1001" s="473"/>
      <c r="AR1001" s="473"/>
      <c r="AS1001" s="1236"/>
      <c r="AT1001" s="473"/>
      <c r="AU1001" s="473"/>
      <c r="AV1001" s="1164"/>
      <c r="AW1001" s="1164"/>
      <c r="AX1001" s="1236"/>
      <c r="AY1001" s="473"/>
      <c r="AZ1001" s="1236"/>
      <c r="BA1001" s="473"/>
      <c r="BB1001" s="473"/>
      <c r="BC1001" s="1164"/>
      <c r="BD1001" s="20"/>
      <c r="BE1001" s="473"/>
      <c r="BF1001" s="610"/>
      <c r="BG1001" s="610"/>
      <c r="BH1001" s="610"/>
      <c r="BI1001" s="610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</row>
    <row r="1002" spans="1:148" s="22" customFormat="1" x14ac:dyDescent="0.25">
      <c r="A1002" s="20"/>
      <c r="B1002" s="16"/>
      <c r="C1002" s="473"/>
      <c r="D1002" s="473"/>
      <c r="E1002" s="1164"/>
      <c r="F1002" s="473"/>
      <c r="G1002" s="473"/>
      <c r="H1002" s="1164"/>
      <c r="I1002" s="473"/>
      <c r="J1002" s="473"/>
      <c r="K1002" s="1164"/>
      <c r="L1002" s="473"/>
      <c r="M1002" s="473"/>
      <c r="N1002" s="1164"/>
      <c r="O1002" s="473"/>
      <c r="P1002" s="473"/>
      <c r="Q1002" s="1164"/>
      <c r="R1002" s="473"/>
      <c r="S1002" s="473"/>
      <c r="T1002" s="1164"/>
      <c r="U1002" s="1164"/>
      <c r="V1002" s="473"/>
      <c r="W1002" s="473"/>
      <c r="X1002" s="1164"/>
      <c r="Y1002" s="473"/>
      <c r="Z1002" s="473"/>
      <c r="AA1002" s="1164"/>
      <c r="AB1002" s="473"/>
      <c r="AC1002" s="1164"/>
      <c r="AD1002" s="473"/>
      <c r="AE1002" s="1164"/>
      <c r="AF1002" s="473"/>
      <c r="AG1002" s="1164"/>
      <c r="AH1002" s="473"/>
      <c r="AI1002" s="473"/>
      <c r="AJ1002" s="1164"/>
      <c r="AK1002" s="473"/>
      <c r="AL1002" s="473"/>
      <c r="AM1002" s="1164"/>
      <c r="AN1002" s="473"/>
      <c r="AO1002" s="473"/>
      <c r="AP1002" s="1164"/>
      <c r="AQ1002" s="473"/>
      <c r="AR1002" s="473"/>
      <c r="AS1002" s="1236"/>
      <c r="AT1002" s="473"/>
      <c r="AU1002" s="473"/>
      <c r="AV1002" s="1164"/>
      <c r="AW1002" s="1164"/>
      <c r="AX1002" s="1236"/>
      <c r="AY1002" s="473"/>
      <c r="AZ1002" s="1236"/>
      <c r="BA1002" s="473"/>
      <c r="BB1002" s="473"/>
      <c r="BC1002" s="1164"/>
      <c r="BD1002" s="20"/>
      <c r="BE1002" s="473"/>
      <c r="BF1002" s="610"/>
      <c r="BG1002" s="610"/>
      <c r="BH1002" s="610"/>
      <c r="BI1002" s="610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</row>
    <row r="1003" spans="1:148" s="22" customFormat="1" x14ac:dyDescent="0.25">
      <c r="A1003" s="20"/>
      <c r="B1003" s="16"/>
      <c r="C1003" s="473"/>
      <c r="D1003" s="473"/>
      <c r="E1003" s="1164"/>
      <c r="F1003" s="473"/>
      <c r="G1003" s="473"/>
      <c r="H1003" s="1164"/>
      <c r="I1003" s="473"/>
      <c r="J1003" s="473"/>
      <c r="K1003" s="1164"/>
      <c r="L1003" s="473"/>
      <c r="M1003" s="473"/>
      <c r="N1003" s="1164"/>
      <c r="O1003" s="473"/>
      <c r="P1003" s="473"/>
      <c r="Q1003" s="1164"/>
      <c r="R1003" s="473"/>
      <c r="S1003" s="473"/>
      <c r="T1003" s="1164"/>
      <c r="U1003" s="1164"/>
      <c r="V1003" s="473"/>
      <c r="W1003" s="473"/>
      <c r="X1003" s="1164"/>
      <c r="Y1003" s="473"/>
      <c r="Z1003" s="473"/>
      <c r="AA1003" s="1164"/>
      <c r="AB1003" s="473"/>
      <c r="AC1003" s="1164"/>
      <c r="AD1003" s="473"/>
      <c r="AE1003" s="1164"/>
      <c r="AF1003" s="473"/>
      <c r="AG1003" s="1164"/>
      <c r="AH1003" s="473"/>
      <c r="AI1003" s="473"/>
      <c r="AJ1003" s="1164"/>
      <c r="AK1003" s="473"/>
      <c r="AL1003" s="473"/>
      <c r="AM1003" s="1164"/>
      <c r="AN1003" s="473"/>
      <c r="AO1003" s="473"/>
      <c r="AP1003" s="1164"/>
      <c r="AQ1003" s="473"/>
      <c r="AR1003" s="473"/>
      <c r="AS1003" s="1236"/>
      <c r="AT1003" s="473"/>
      <c r="AU1003" s="473"/>
      <c r="AV1003" s="1164"/>
      <c r="AW1003" s="1164"/>
      <c r="AX1003" s="1236"/>
      <c r="AY1003" s="473"/>
      <c r="AZ1003" s="1236"/>
      <c r="BA1003" s="473"/>
      <c r="BB1003" s="473"/>
      <c r="BC1003" s="1164"/>
      <c r="BD1003" s="20"/>
      <c r="BE1003" s="473"/>
      <c r="BF1003" s="610"/>
      <c r="BG1003" s="610"/>
      <c r="BH1003" s="610"/>
      <c r="BI1003" s="610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</row>
    <row r="1004" spans="1:148" s="22" customFormat="1" x14ac:dyDescent="0.25">
      <c r="A1004" s="20"/>
      <c r="B1004" s="16"/>
      <c r="C1004" s="473"/>
      <c r="D1004" s="473"/>
      <c r="E1004" s="1164"/>
      <c r="F1004" s="473"/>
      <c r="G1004" s="473"/>
      <c r="H1004" s="1164"/>
      <c r="I1004" s="473"/>
      <c r="J1004" s="473"/>
      <c r="K1004" s="1164"/>
      <c r="L1004" s="473"/>
      <c r="M1004" s="473"/>
      <c r="N1004" s="1164"/>
      <c r="O1004" s="473"/>
      <c r="P1004" s="473"/>
      <c r="Q1004" s="1164"/>
      <c r="R1004" s="473"/>
      <c r="S1004" s="473"/>
      <c r="T1004" s="1164"/>
      <c r="U1004" s="1164"/>
      <c r="V1004" s="473"/>
      <c r="W1004" s="473"/>
      <c r="X1004" s="1164"/>
      <c r="Y1004" s="473"/>
      <c r="Z1004" s="473"/>
      <c r="AA1004" s="1164"/>
      <c r="AB1004" s="473"/>
      <c r="AC1004" s="1164"/>
      <c r="AD1004" s="473"/>
      <c r="AE1004" s="1164"/>
      <c r="AF1004" s="473"/>
      <c r="AG1004" s="1164"/>
      <c r="AH1004" s="473"/>
      <c r="AI1004" s="473"/>
      <c r="AJ1004" s="1164"/>
      <c r="AK1004" s="473"/>
      <c r="AL1004" s="473"/>
      <c r="AM1004" s="1164"/>
      <c r="AN1004" s="473"/>
      <c r="AO1004" s="473"/>
      <c r="AP1004" s="1164"/>
      <c r="AQ1004" s="473"/>
      <c r="AR1004" s="473"/>
      <c r="AS1004" s="1236"/>
      <c r="AT1004" s="473"/>
      <c r="AU1004" s="473"/>
      <c r="AV1004" s="1164"/>
      <c r="AW1004" s="1164"/>
      <c r="AX1004" s="1236"/>
      <c r="AY1004" s="473"/>
      <c r="AZ1004" s="1236"/>
      <c r="BA1004" s="473"/>
      <c r="BB1004" s="473"/>
      <c r="BC1004" s="1164"/>
      <c r="BD1004" s="20"/>
      <c r="BE1004" s="473"/>
      <c r="BF1004" s="610"/>
      <c r="BG1004" s="610"/>
      <c r="BH1004" s="610"/>
      <c r="BI1004" s="610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</row>
    <row r="1005" spans="1:148" s="22" customFormat="1" x14ac:dyDescent="0.25">
      <c r="A1005" s="20"/>
      <c r="B1005" s="16"/>
      <c r="C1005" s="473"/>
      <c r="D1005" s="473"/>
      <c r="E1005" s="1164"/>
      <c r="F1005" s="473"/>
      <c r="G1005" s="473"/>
      <c r="H1005" s="1164"/>
      <c r="I1005" s="473"/>
      <c r="J1005" s="473"/>
      <c r="K1005" s="1164"/>
      <c r="L1005" s="473"/>
      <c r="M1005" s="473"/>
      <c r="N1005" s="1164"/>
      <c r="O1005" s="473"/>
      <c r="P1005" s="473"/>
      <c r="Q1005" s="1164"/>
      <c r="R1005" s="473"/>
      <c r="S1005" s="473"/>
      <c r="T1005" s="1164"/>
      <c r="U1005" s="1164"/>
      <c r="V1005" s="473"/>
      <c r="W1005" s="473"/>
      <c r="X1005" s="1164"/>
      <c r="Y1005" s="473"/>
      <c r="Z1005" s="473"/>
      <c r="AA1005" s="1164"/>
      <c r="AB1005" s="473"/>
      <c r="AC1005" s="1164"/>
      <c r="AD1005" s="473"/>
      <c r="AE1005" s="1164"/>
      <c r="AF1005" s="473"/>
      <c r="AG1005" s="1164"/>
      <c r="AH1005" s="473"/>
      <c r="AI1005" s="473"/>
      <c r="AJ1005" s="1164"/>
      <c r="AK1005" s="473"/>
      <c r="AL1005" s="473"/>
      <c r="AM1005" s="1164"/>
      <c r="AN1005" s="473"/>
      <c r="AO1005" s="473"/>
      <c r="AP1005" s="1164"/>
      <c r="AQ1005" s="473"/>
      <c r="AR1005" s="473"/>
      <c r="AS1005" s="1236"/>
      <c r="AT1005" s="473"/>
      <c r="AU1005" s="473"/>
      <c r="AV1005" s="1164"/>
      <c r="AW1005" s="1164"/>
      <c r="AX1005" s="1236"/>
      <c r="AY1005" s="473"/>
      <c r="AZ1005" s="1236"/>
      <c r="BA1005" s="473"/>
      <c r="BB1005" s="473"/>
      <c r="BC1005" s="1164"/>
      <c r="BD1005" s="20"/>
      <c r="BE1005" s="473"/>
      <c r="BF1005" s="610"/>
      <c r="BG1005" s="610"/>
      <c r="BH1005" s="610"/>
      <c r="BI1005" s="610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</row>
    <row r="1006" spans="1:148" s="22" customFormat="1" x14ac:dyDescent="0.25">
      <c r="A1006" s="20"/>
      <c r="B1006" s="16"/>
      <c r="C1006" s="473"/>
      <c r="D1006" s="473"/>
      <c r="E1006" s="1164"/>
      <c r="F1006" s="473"/>
      <c r="G1006" s="473"/>
      <c r="H1006" s="1164"/>
      <c r="I1006" s="473"/>
      <c r="J1006" s="473"/>
      <c r="K1006" s="1164"/>
      <c r="L1006" s="473"/>
      <c r="M1006" s="473"/>
      <c r="N1006" s="1164"/>
      <c r="O1006" s="473"/>
      <c r="P1006" s="473"/>
      <c r="Q1006" s="1164"/>
      <c r="R1006" s="473"/>
      <c r="S1006" s="473"/>
      <c r="T1006" s="1164"/>
      <c r="U1006" s="1164"/>
      <c r="V1006" s="473"/>
      <c r="W1006" s="473"/>
      <c r="X1006" s="1164"/>
      <c r="Y1006" s="473"/>
      <c r="Z1006" s="473"/>
      <c r="AA1006" s="1164"/>
      <c r="AB1006" s="473"/>
      <c r="AC1006" s="1164"/>
      <c r="AD1006" s="473"/>
      <c r="AE1006" s="1164"/>
      <c r="AF1006" s="473"/>
      <c r="AG1006" s="1164"/>
      <c r="AH1006" s="473"/>
      <c r="AI1006" s="473"/>
      <c r="AJ1006" s="1164"/>
      <c r="AK1006" s="473"/>
      <c r="AL1006" s="473"/>
      <c r="AM1006" s="1164"/>
      <c r="AN1006" s="473"/>
      <c r="AO1006" s="473"/>
      <c r="AP1006" s="1164"/>
      <c r="AQ1006" s="473"/>
      <c r="AR1006" s="473"/>
      <c r="AS1006" s="1236"/>
      <c r="AT1006" s="473"/>
      <c r="AU1006" s="473"/>
      <c r="AV1006" s="1164"/>
      <c r="AW1006" s="1164"/>
      <c r="AX1006" s="1236"/>
      <c r="AY1006" s="473"/>
      <c r="AZ1006" s="1236"/>
      <c r="BA1006" s="473"/>
      <c r="BB1006" s="473"/>
      <c r="BC1006" s="1164"/>
      <c r="BD1006" s="20"/>
      <c r="BE1006" s="473"/>
      <c r="BF1006" s="610"/>
      <c r="BG1006" s="610"/>
      <c r="BH1006" s="610"/>
      <c r="BI1006" s="610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</row>
    <row r="1007" spans="1:148" s="22" customFormat="1" x14ac:dyDescent="0.25">
      <c r="A1007" s="20"/>
      <c r="B1007" s="16"/>
      <c r="C1007" s="473"/>
      <c r="D1007" s="473"/>
      <c r="E1007" s="1164"/>
      <c r="F1007" s="473"/>
      <c r="G1007" s="473"/>
      <c r="H1007" s="1164"/>
      <c r="I1007" s="473"/>
      <c r="J1007" s="473"/>
      <c r="K1007" s="1164"/>
      <c r="L1007" s="473"/>
      <c r="M1007" s="473"/>
      <c r="N1007" s="1164"/>
      <c r="O1007" s="473"/>
      <c r="P1007" s="473"/>
      <c r="Q1007" s="1164"/>
      <c r="R1007" s="473"/>
      <c r="S1007" s="473"/>
      <c r="T1007" s="1164"/>
      <c r="U1007" s="1164"/>
      <c r="V1007" s="473"/>
      <c r="W1007" s="473"/>
      <c r="X1007" s="1164"/>
      <c r="Y1007" s="473"/>
      <c r="Z1007" s="473"/>
      <c r="AA1007" s="1164"/>
      <c r="AB1007" s="473"/>
      <c r="AC1007" s="1164"/>
      <c r="AD1007" s="473"/>
      <c r="AE1007" s="1164"/>
      <c r="AF1007" s="473"/>
      <c r="AG1007" s="1164"/>
      <c r="AH1007" s="473"/>
      <c r="AI1007" s="473"/>
      <c r="AJ1007" s="1164"/>
      <c r="AK1007" s="473"/>
      <c r="AL1007" s="473"/>
      <c r="AM1007" s="1164"/>
      <c r="AN1007" s="473"/>
      <c r="AO1007" s="473"/>
      <c r="AP1007" s="1164"/>
      <c r="AQ1007" s="473"/>
      <c r="AR1007" s="473"/>
      <c r="AS1007" s="1236"/>
      <c r="AT1007" s="473"/>
      <c r="AU1007" s="473"/>
      <c r="AV1007" s="1164"/>
      <c r="AW1007" s="1164"/>
      <c r="AX1007" s="1236"/>
      <c r="AY1007" s="473"/>
      <c r="AZ1007" s="1236"/>
      <c r="BA1007" s="473"/>
      <c r="BB1007" s="473"/>
      <c r="BC1007" s="1164"/>
      <c r="BD1007" s="20"/>
      <c r="BE1007" s="473"/>
      <c r="BF1007" s="610"/>
      <c r="BG1007" s="610"/>
      <c r="BH1007" s="610"/>
      <c r="BI1007" s="610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</row>
    <row r="1008" spans="1:148" s="22" customFormat="1" x14ac:dyDescent="0.25">
      <c r="A1008" s="20"/>
      <c r="B1008" s="16"/>
      <c r="C1008" s="473"/>
      <c r="D1008" s="473"/>
      <c r="E1008" s="1164"/>
      <c r="F1008" s="473"/>
      <c r="G1008" s="473"/>
      <c r="H1008" s="1164"/>
      <c r="I1008" s="473"/>
      <c r="J1008" s="473"/>
      <c r="K1008" s="1164"/>
      <c r="L1008" s="473"/>
      <c r="M1008" s="473"/>
      <c r="N1008" s="1164"/>
      <c r="O1008" s="473"/>
      <c r="P1008" s="473"/>
      <c r="Q1008" s="1164"/>
      <c r="R1008" s="473"/>
      <c r="S1008" s="473"/>
      <c r="T1008" s="1164"/>
      <c r="U1008" s="1164"/>
      <c r="V1008" s="473"/>
      <c r="W1008" s="473"/>
      <c r="X1008" s="1164"/>
      <c r="Y1008" s="473"/>
      <c r="Z1008" s="473"/>
      <c r="AA1008" s="1164"/>
      <c r="AB1008" s="473"/>
      <c r="AC1008" s="1164"/>
      <c r="AD1008" s="473"/>
      <c r="AE1008" s="1164"/>
      <c r="AF1008" s="473"/>
      <c r="AG1008" s="1164"/>
      <c r="AH1008" s="473"/>
      <c r="AI1008" s="473"/>
      <c r="AJ1008" s="1164"/>
      <c r="AK1008" s="473"/>
      <c r="AL1008" s="473"/>
      <c r="AM1008" s="1164"/>
      <c r="AN1008" s="473"/>
      <c r="AO1008" s="473"/>
      <c r="AP1008" s="1164"/>
      <c r="AQ1008" s="473"/>
      <c r="AR1008" s="473"/>
      <c r="AS1008" s="1236"/>
      <c r="AT1008" s="473"/>
      <c r="AU1008" s="473"/>
      <c r="AV1008" s="1164"/>
      <c r="AW1008" s="1164"/>
      <c r="AX1008" s="1236"/>
      <c r="AY1008" s="473"/>
      <c r="AZ1008" s="1236"/>
      <c r="BA1008" s="473"/>
      <c r="BB1008" s="473"/>
      <c r="BC1008" s="1164"/>
      <c r="BD1008" s="20"/>
      <c r="BE1008" s="473"/>
      <c r="BF1008" s="610"/>
      <c r="BG1008" s="610"/>
      <c r="BH1008" s="610"/>
      <c r="BI1008" s="610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</row>
    <row r="1009" spans="1:148" s="22" customFormat="1" x14ac:dyDescent="0.25">
      <c r="A1009" s="20"/>
      <c r="B1009" s="16"/>
      <c r="C1009" s="473"/>
      <c r="D1009" s="473"/>
      <c r="E1009" s="1164"/>
      <c r="F1009" s="473"/>
      <c r="G1009" s="473"/>
      <c r="H1009" s="1164"/>
      <c r="I1009" s="473"/>
      <c r="J1009" s="473"/>
      <c r="K1009" s="1164"/>
      <c r="L1009" s="473"/>
      <c r="M1009" s="473"/>
      <c r="N1009" s="1164"/>
      <c r="O1009" s="473"/>
      <c r="P1009" s="473"/>
      <c r="Q1009" s="1164"/>
      <c r="R1009" s="473"/>
      <c r="S1009" s="473"/>
      <c r="T1009" s="1164"/>
      <c r="U1009" s="1164"/>
      <c r="V1009" s="473"/>
      <c r="W1009" s="473"/>
      <c r="X1009" s="1164"/>
      <c r="Y1009" s="473"/>
      <c r="Z1009" s="473"/>
      <c r="AA1009" s="1164"/>
      <c r="AB1009" s="473"/>
      <c r="AC1009" s="1164"/>
      <c r="AD1009" s="473"/>
      <c r="AE1009" s="1164"/>
      <c r="AF1009" s="473"/>
      <c r="AG1009" s="1164"/>
      <c r="AH1009" s="473"/>
      <c r="AI1009" s="473"/>
      <c r="AJ1009" s="1164"/>
      <c r="AK1009" s="473"/>
      <c r="AL1009" s="473"/>
      <c r="AM1009" s="1164"/>
      <c r="AN1009" s="473"/>
      <c r="AO1009" s="473"/>
      <c r="AP1009" s="1164"/>
      <c r="AQ1009" s="473"/>
      <c r="AR1009" s="473"/>
      <c r="AS1009" s="1236"/>
      <c r="AT1009" s="473"/>
      <c r="AU1009" s="473"/>
      <c r="AV1009" s="1164"/>
      <c r="AW1009" s="1164"/>
      <c r="AX1009" s="1236"/>
      <c r="AY1009" s="473"/>
      <c r="AZ1009" s="1236"/>
      <c r="BA1009" s="473"/>
      <c r="BB1009" s="473"/>
      <c r="BC1009" s="1164"/>
      <c r="BD1009" s="20"/>
      <c r="BE1009" s="473"/>
      <c r="BF1009" s="610"/>
      <c r="BG1009" s="610"/>
      <c r="BH1009" s="610"/>
      <c r="BI1009" s="610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</row>
    <row r="1010" spans="1:148" s="22" customFormat="1" x14ac:dyDescent="0.25">
      <c r="A1010" s="20"/>
      <c r="B1010" s="16"/>
      <c r="C1010" s="473"/>
      <c r="D1010" s="473"/>
      <c r="E1010" s="1164"/>
      <c r="F1010" s="473"/>
      <c r="G1010" s="473"/>
      <c r="H1010" s="1164"/>
      <c r="I1010" s="473"/>
      <c r="J1010" s="473"/>
      <c r="K1010" s="1164"/>
      <c r="L1010" s="473"/>
      <c r="M1010" s="473"/>
      <c r="N1010" s="1164"/>
      <c r="O1010" s="473"/>
      <c r="P1010" s="473"/>
      <c r="Q1010" s="1164"/>
      <c r="R1010" s="473"/>
      <c r="S1010" s="473"/>
      <c r="T1010" s="1164"/>
      <c r="U1010" s="1164"/>
      <c r="V1010" s="473"/>
      <c r="W1010" s="473"/>
      <c r="X1010" s="1164"/>
      <c r="Y1010" s="473"/>
      <c r="Z1010" s="473"/>
      <c r="AA1010" s="1164"/>
      <c r="AB1010" s="473"/>
      <c r="AC1010" s="1164"/>
      <c r="AD1010" s="473"/>
      <c r="AE1010" s="1164"/>
      <c r="AF1010" s="473"/>
      <c r="AG1010" s="1164"/>
      <c r="AH1010" s="473"/>
      <c r="AI1010" s="473"/>
      <c r="AJ1010" s="1164"/>
      <c r="AK1010" s="473"/>
      <c r="AL1010" s="473"/>
      <c r="AM1010" s="1164"/>
      <c r="AN1010" s="473"/>
      <c r="AO1010" s="473"/>
      <c r="AP1010" s="1164"/>
      <c r="AQ1010" s="473"/>
      <c r="AR1010" s="473"/>
      <c r="AS1010" s="1236"/>
      <c r="AT1010" s="473"/>
      <c r="AU1010" s="473"/>
      <c r="AV1010" s="1164"/>
      <c r="AW1010" s="1164"/>
      <c r="AX1010" s="1236"/>
      <c r="AY1010" s="473"/>
      <c r="AZ1010" s="1236"/>
      <c r="BA1010" s="473"/>
      <c r="BB1010" s="473"/>
      <c r="BC1010" s="1164"/>
      <c r="BD1010" s="20"/>
      <c r="BE1010" s="473"/>
      <c r="BF1010" s="610"/>
      <c r="BG1010" s="610"/>
      <c r="BH1010" s="610"/>
      <c r="BI1010" s="610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</row>
    <row r="1011" spans="1:148" s="22" customFormat="1" x14ac:dyDescent="0.25">
      <c r="A1011" s="20"/>
      <c r="B1011" s="16"/>
      <c r="C1011" s="473"/>
      <c r="D1011" s="473"/>
      <c r="E1011" s="1164"/>
      <c r="F1011" s="473"/>
      <c r="G1011" s="473"/>
      <c r="H1011" s="1164"/>
      <c r="I1011" s="473"/>
      <c r="J1011" s="473"/>
      <c r="K1011" s="1164"/>
      <c r="L1011" s="473"/>
      <c r="M1011" s="473"/>
      <c r="N1011" s="1164"/>
      <c r="O1011" s="473"/>
      <c r="P1011" s="473"/>
      <c r="Q1011" s="1164"/>
      <c r="R1011" s="473"/>
      <c r="S1011" s="473"/>
      <c r="T1011" s="1164"/>
      <c r="U1011" s="1164"/>
      <c r="V1011" s="473"/>
      <c r="W1011" s="473"/>
      <c r="X1011" s="1164"/>
      <c r="Y1011" s="473"/>
      <c r="Z1011" s="473"/>
      <c r="AA1011" s="1164"/>
      <c r="AB1011" s="473"/>
      <c r="AC1011" s="1164"/>
      <c r="AD1011" s="473"/>
      <c r="AE1011" s="1164"/>
      <c r="AF1011" s="473"/>
      <c r="AG1011" s="1164"/>
      <c r="AH1011" s="473"/>
      <c r="AI1011" s="473"/>
      <c r="AJ1011" s="1164"/>
      <c r="AK1011" s="473"/>
      <c r="AL1011" s="473"/>
      <c r="AM1011" s="1164"/>
      <c r="AN1011" s="473"/>
      <c r="AO1011" s="473"/>
      <c r="AP1011" s="1164"/>
      <c r="AQ1011" s="473"/>
      <c r="AR1011" s="473"/>
      <c r="AS1011" s="1236"/>
      <c r="AT1011" s="473"/>
      <c r="AU1011" s="473"/>
      <c r="AV1011" s="1164"/>
      <c r="AW1011" s="1164"/>
      <c r="AX1011" s="1236"/>
      <c r="AY1011" s="473"/>
      <c r="AZ1011" s="1236"/>
      <c r="BA1011" s="473"/>
      <c r="BB1011" s="473"/>
      <c r="BC1011" s="1164"/>
      <c r="BD1011" s="20"/>
      <c r="BE1011" s="473"/>
      <c r="BF1011" s="610"/>
      <c r="BG1011" s="610"/>
      <c r="BH1011" s="610"/>
      <c r="BI1011" s="610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</row>
    <row r="1012" spans="1:148" s="22" customFormat="1" x14ac:dyDescent="0.25">
      <c r="A1012" s="20"/>
      <c r="B1012" s="16"/>
      <c r="C1012" s="473"/>
      <c r="D1012" s="473"/>
      <c r="E1012" s="1164"/>
      <c r="F1012" s="473"/>
      <c r="G1012" s="473"/>
      <c r="H1012" s="1164"/>
      <c r="I1012" s="473"/>
      <c r="J1012" s="473"/>
      <c r="K1012" s="1164"/>
      <c r="L1012" s="473"/>
      <c r="M1012" s="473"/>
      <c r="N1012" s="1164"/>
      <c r="O1012" s="473"/>
      <c r="P1012" s="473"/>
      <c r="Q1012" s="1164"/>
      <c r="R1012" s="473"/>
      <c r="S1012" s="473"/>
      <c r="T1012" s="1164"/>
      <c r="U1012" s="1164"/>
      <c r="V1012" s="473"/>
      <c r="W1012" s="473"/>
      <c r="X1012" s="1164"/>
      <c r="Y1012" s="473"/>
      <c r="Z1012" s="473"/>
      <c r="AA1012" s="1164"/>
      <c r="AB1012" s="473"/>
      <c r="AC1012" s="1164"/>
      <c r="AD1012" s="473"/>
      <c r="AE1012" s="1164"/>
      <c r="AF1012" s="473"/>
      <c r="AG1012" s="1164"/>
      <c r="AH1012" s="473"/>
      <c r="AI1012" s="473"/>
      <c r="AJ1012" s="1164"/>
      <c r="AK1012" s="473"/>
      <c r="AL1012" s="473"/>
      <c r="AM1012" s="1164"/>
      <c r="AN1012" s="473"/>
      <c r="AO1012" s="473"/>
      <c r="AP1012" s="1164"/>
      <c r="AQ1012" s="473"/>
      <c r="AR1012" s="473"/>
      <c r="AS1012" s="1236"/>
      <c r="AT1012" s="473"/>
      <c r="AU1012" s="473"/>
      <c r="AV1012" s="1164"/>
      <c r="AW1012" s="1164"/>
      <c r="AX1012" s="1236"/>
      <c r="AY1012" s="473"/>
      <c r="AZ1012" s="1236"/>
      <c r="BA1012" s="473"/>
      <c r="BB1012" s="473"/>
      <c r="BC1012" s="1164"/>
      <c r="BD1012" s="20"/>
      <c r="BE1012" s="473"/>
      <c r="BF1012" s="610"/>
      <c r="BG1012" s="610"/>
      <c r="BH1012" s="610"/>
      <c r="BI1012" s="610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</row>
    <row r="1013" spans="1:148" s="22" customFormat="1" x14ac:dyDescent="0.25">
      <c r="A1013" s="20"/>
      <c r="B1013" s="16"/>
      <c r="C1013" s="473"/>
      <c r="D1013" s="473"/>
      <c r="E1013" s="1164"/>
      <c r="F1013" s="473"/>
      <c r="G1013" s="473"/>
      <c r="H1013" s="1164"/>
      <c r="I1013" s="473"/>
      <c r="J1013" s="473"/>
      <c r="K1013" s="1164"/>
      <c r="L1013" s="473"/>
      <c r="M1013" s="473"/>
      <c r="N1013" s="1164"/>
      <c r="O1013" s="473"/>
      <c r="P1013" s="473"/>
      <c r="Q1013" s="1164"/>
      <c r="R1013" s="473"/>
      <c r="S1013" s="473"/>
      <c r="T1013" s="1164"/>
      <c r="U1013" s="1164"/>
      <c r="V1013" s="473"/>
      <c r="W1013" s="473"/>
      <c r="X1013" s="1164"/>
      <c r="Y1013" s="473"/>
      <c r="Z1013" s="473"/>
      <c r="AA1013" s="1164"/>
      <c r="AB1013" s="473"/>
      <c r="AC1013" s="1164"/>
      <c r="AD1013" s="473"/>
      <c r="AE1013" s="1164"/>
      <c r="AF1013" s="473"/>
      <c r="AG1013" s="1164"/>
      <c r="AH1013" s="473"/>
      <c r="AI1013" s="473"/>
      <c r="AJ1013" s="1164"/>
      <c r="AK1013" s="473"/>
      <c r="AL1013" s="473"/>
      <c r="AM1013" s="1164"/>
      <c r="AN1013" s="473"/>
      <c r="AO1013" s="473"/>
      <c r="AP1013" s="1164"/>
      <c r="AQ1013" s="473"/>
      <c r="AR1013" s="473"/>
      <c r="AS1013" s="1236"/>
      <c r="AT1013" s="473"/>
      <c r="AU1013" s="473"/>
      <c r="AV1013" s="1164"/>
      <c r="AW1013" s="1164"/>
      <c r="AX1013" s="1236"/>
      <c r="AY1013" s="473"/>
      <c r="AZ1013" s="1236"/>
      <c r="BA1013" s="473"/>
      <c r="BB1013" s="473"/>
      <c r="BC1013" s="1164"/>
      <c r="BD1013" s="20"/>
      <c r="BE1013" s="473"/>
      <c r="BF1013" s="610"/>
      <c r="BG1013" s="610"/>
      <c r="BH1013" s="610"/>
      <c r="BI1013" s="610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</row>
    <row r="1014" spans="1:148" s="22" customFormat="1" x14ac:dyDescent="0.25">
      <c r="A1014" s="20"/>
      <c r="B1014" s="16"/>
      <c r="C1014" s="473"/>
      <c r="D1014" s="473"/>
      <c r="E1014" s="1164"/>
      <c r="F1014" s="473"/>
      <c r="G1014" s="473"/>
      <c r="H1014" s="1164"/>
      <c r="I1014" s="473"/>
      <c r="J1014" s="473"/>
      <c r="K1014" s="1164"/>
      <c r="L1014" s="473"/>
      <c r="M1014" s="473"/>
      <c r="N1014" s="1164"/>
      <c r="O1014" s="473"/>
      <c r="P1014" s="473"/>
      <c r="Q1014" s="1164"/>
      <c r="R1014" s="473"/>
      <c r="S1014" s="473"/>
      <c r="T1014" s="1164"/>
      <c r="U1014" s="1164"/>
      <c r="V1014" s="473"/>
      <c r="W1014" s="473"/>
      <c r="X1014" s="1164"/>
      <c r="Y1014" s="473"/>
      <c r="Z1014" s="473"/>
      <c r="AA1014" s="1164"/>
      <c r="AB1014" s="473"/>
      <c r="AC1014" s="1164"/>
      <c r="AD1014" s="473"/>
      <c r="AE1014" s="1164"/>
      <c r="AF1014" s="473"/>
      <c r="AG1014" s="1164"/>
      <c r="AH1014" s="473"/>
      <c r="AI1014" s="473"/>
      <c r="AJ1014" s="1164"/>
      <c r="AK1014" s="473"/>
      <c r="AL1014" s="473"/>
      <c r="AM1014" s="1164"/>
      <c r="AN1014" s="473"/>
      <c r="AO1014" s="473"/>
      <c r="AP1014" s="1164"/>
      <c r="AQ1014" s="473"/>
      <c r="AR1014" s="473"/>
      <c r="AS1014" s="1236"/>
      <c r="AT1014" s="473"/>
      <c r="AU1014" s="473"/>
      <c r="AV1014" s="1164"/>
      <c r="AW1014" s="1164"/>
      <c r="AX1014" s="1236"/>
      <c r="AY1014" s="473"/>
      <c r="AZ1014" s="1236"/>
      <c r="BA1014" s="473"/>
      <c r="BB1014" s="473"/>
      <c r="BC1014" s="1164"/>
      <c r="BD1014" s="20"/>
      <c r="BE1014" s="473"/>
      <c r="BF1014" s="610"/>
      <c r="BG1014" s="610"/>
      <c r="BH1014" s="610"/>
      <c r="BI1014" s="610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</row>
    <row r="1015" spans="1:148" s="22" customFormat="1" x14ac:dyDescent="0.25">
      <c r="A1015" s="20"/>
      <c r="B1015" s="16"/>
      <c r="C1015" s="473"/>
      <c r="D1015" s="473"/>
      <c r="E1015" s="1164"/>
      <c r="F1015" s="473"/>
      <c r="G1015" s="473"/>
      <c r="H1015" s="1164"/>
      <c r="I1015" s="473"/>
      <c r="J1015" s="473"/>
      <c r="K1015" s="1164"/>
      <c r="L1015" s="473"/>
      <c r="M1015" s="473"/>
      <c r="N1015" s="1164"/>
      <c r="O1015" s="473"/>
      <c r="P1015" s="473"/>
      <c r="Q1015" s="1164"/>
      <c r="R1015" s="473"/>
      <c r="S1015" s="473"/>
      <c r="T1015" s="1164"/>
      <c r="U1015" s="1164"/>
      <c r="V1015" s="473"/>
      <c r="W1015" s="473"/>
      <c r="X1015" s="1164"/>
      <c r="Y1015" s="473"/>
      <c r="Z1015" s="473"/>
      <c r="AA1015" s="1164"/>
      <c r="AB1015" s="473"/>
      <c r="AC1015" s="1164"/>
      <c r="AD1015" s="473"/>
      <c r="AE1015" s="1164"/>
      <c r="AF1015" s="473"/>
      <c r="AG1015" s="1164"/>
      <c r="AH1015" s="473"/>
      <c r="AI1015" s="473"/>
      <c r="AJ1015" s="1164"/>
      <c r="AK1015" s="473"/>
      <c r="AL1015" s="473"/>
      <c r="AM1015" s="1164"/>
      <c r="AN1015" s="473"/>
      <c r="AO1015" s="473"/>
      <c r="AP1015" s="1164"/>
      <c r="AQ1015" s="473"/>
      <c r="AR1015" s="473"/>
      <c r="AS1015" s="1236"/>
      <c r="AT1015" s="473"/>
      <c r="AU1015" s="473"/>
      <c r="AV1015" s="1164"/>
      <c r="AW1015" s="1164"/>
      <c r="AX1015" s="1236"/>
      <c r="AY1015" s="473"/>
      <c r="AZ1015" s="1236"/>
      <c r="BA1015" s="473"/>
      <c r="BB1015" s="473"/>
      <c r="BC1015" s="1164"/>
      <c r="BD1015" s="20"/>
      <c r="BE1015" s="473"/>
      <c r="BF1015" s="610"/>
      <c r="BG1015" s="610"/>
      <c r="BH1015" s="610"/>
      <c r="BI1015" s="610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</row>
    <row r="1016" spans="1:148" s="22" customFormat="1" x14ac:dyDescent="0.25">
      <c r="A1016" s="20"/>
      <c r="B1016" s="16"/>
      <c r="C1016" s="473"/>
      <c r="D1016" s="473"/>
      <c r="E1016" s="1164"/>
      <c r="F1016" s="473"/>
      <c r="G1016" s="473"/>
      <c r="H1016" s="1164"/>
      <c r="I1016" s="473"/>
      <c r="J1016" s="473"/>
      <c r="K1016" s="1164"/>
      <c r="L1016" s="473"/>
      <c r="M1016" s="473"/>
      <c r="N1016" s="1164"/>
      <c r="O1016" s="473"/>
      <c r="P1016" s="473"/>
      <c r="Q1016" s="1164"/>
      <c r="R1016" s="473"/>
      <c r="S1016" s="473"/>
      <c r="T1016" s="1164"/>
      <c r="U1016" s="1164"/>
      <c r="V1016" s="473"/>
      <c r="W1016" s="473"/>
      <c r="X1016" s="1164"/>
      <c r="Y1016" s="473"/>
      <c r="Z1016" s="473"/>
      <c r="AA1016" s="1164"/>
      <c r="AB1016" s="473"/>
      <c r="AC1016" s="1164"/>
      <c r="AD1016" s="473"/>
      <c r="AE1016" s="1164"/>
      <c r="AF1016" s="473"/>
      <c r="AG1016" s="1164"/>
      <c r="AH1016" s="473"/>
      <c r="AI1016" s="473"/>
      <c r="AJ1016" s="1164"/>
      <c r="AK1016" s="473"/>
      <c r="AL1016" s="473"/>
      <c r="AM1016" s="1164"/>
      <c r="AN1016" s="473"/>
      <c r="AO1016" s="473"/>
      <c r="AP1016" s="1164"/>
      <c r="AQ1016" s="473"/>
      <c r="AR1016" s="473"/>
      <c r="AS1016" s="1236"/>
      <c r="AT1016" s="473"/>
      <c r="AU1016" s="473"/>
      <c r="AV1016" s="1164"/>
      <c r="AW1016" s="1164"/>
      <c r="AX1016" s="1236"/>
      <c r="AY1016" s="473"/>
      <c r="AZ1016" s="1236"/>
      <c r="BA1016" s="473"/>
      <c r="BB1016" s="473"/>
      <c r="BC1016" s="1164"/>
      <c r="BD1016" s="20"/>
      <c r="BE1016" s="473"/>
      <c r="BF1016" s="610"/>
      <c r="BG1016" s="610"/>
      <c r="BH1016" s="610"/>
      <c r="BI1016" s="610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</row>
    <row r="1017" spans="1:148" s="22" customFormat="1" x14ac:dyDescent="0.25">
      <c r="A1017" s="20"/>
      <c r="B1017" s="16"/>
      <c r="C1017" s="473"/>
      <c r="D1017" s="473"/>
      <c r="E1017" s="1164"/>
      <c r="F1017" s="473"/>
      <c r="G1017" s="473"/>
      <c r="H1017" s="1164"/>
      <c r="I1017" s="473"/>
      <c r="J1017" s="473"/>
      <c r="K1017" s="1164"/>
      <c r="L1017" s="473"/>
      <c r="M1017" s="473"/>
      <c r="N1017" s="1164"/>
      <c r="O1017" s="473"/>
      <c r="P1017" s="473"/>
      <c r="Q1017" s="1164"/>
      <c r="R1017" s="473"/>
      <c r="S1017" s="473"/>
      <c r="T1017" s="1164"/>
      <c r="U1017" s="1164"/>
      <c r="V1017" s="473"/>
      <c r="W1017" s="473"/>
      <c r="X1017" s="1164"/>
      <c r="Y1017" s="473"/>
      <c r="Z1017" s="473"/>
      <c r="AA1017" s="1164"/>
      <c r="AB1017" s="473"/>
      <c r="AC1017" s="1164"/>
      <c r="AD1017" s="473"/>
      <c r="AE1017" s="1164"/>
      <c r="AF1017" s="473"/>
      <c r="AG1017" s="1164"/>
      <c r="AH1017" s="473"/>
      <c r="AI1017" s="473"/>
      <c r="AJ1017" s="1164"/>
      <c r="AK1017" s="473"/>
      <c r="AL1017" s="473"/>
      <c r="AM1017" s="1164"/>
      <c r="AN1017" s="473"/>
      <c r="AO1017" s="473"/>
      <c r="AP1017" s="1164"/>
      <c r="AQ1017" s="473"/>
      <c r="AR1017" s="473"/>
      <c r="AS1017" s="1236"/>
      <c r="AT1017" s="473"/>
      <c r="AU1017" s="473"/>
      <c r="AV1017" s="1164"/>
      <c r="AW1017" s="1164"/>
      <c r="AX1017" s="1236"/>
      <c r="AY1017" s="473"/>
      <c r="AZ1017" s="1236"/>
      <c r="BA1017" s="473"/>
      <c r="BB1017" s="473"/>
      <c r="BC1017" s="1164"/>
      <c r="BD1017" s="20"/>
      <c r="BE1017" s="473"/>
      <c r="BF1017" s="610"/>
      <c r="BG1017" s="610"/>
      <c r="BH1017" s="610"/>
      <c r="BI1017" s="610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</row>
    <row r="1018" spans="1:148" s="22" customFormat="1" x14ac:dyDescent="0.25">
      <c r="A1018" s="20"/>
      <c r="B1018" s="16"/>
      <c r="C1018" s="473"/>
      <c r="D1018" s="473"/>
      <c r="E1018" s="1164"/>
      <c r="F1018" s="473"/>
      <c r="G1018" s="473"/>
      <c r="H1018" s="1164"/>
      <c r="I1018" s="473"/>
      <c r="J1018" s="473"/>
      <c r="K1018" s="1164"/>
      <c r="L1018" s="473"/>
      <c r="M1018" s="473"/>
      <c r="N1018" s="1164"/>
      <c r="O1018" s="473"/>
      <c r="P1018" s="473"/>
      <c r="Q1018" s="1164"/>
      <c r="R1018" s="473"/>
      <c r="S1018" s="473"/>
      <c r="T1018" s="1164"/>
      <c r="U1018" s="1164"/>
      <c r="V1018" s="473"/>
      <c r="W1018" s="473"/>
      <c r="X1018" s="1164"/>
      <c r="Y1018" s="473"/>
      <c r="Z1018" s="473"/>
      <c r="AA1018" s="1164"/>
      <c r="AB1018" s="473"/>
      <c r="AC1018" s="1164"/>
      <c r="AD1018" s="473"/>
      <c r="AE1018" s="1164"/>
      <c r="AF1018" s="473"/>
      <c r="AG1018" s="1164"/>
      <c r="AH1018" s="473"/>
      <c r="AI1018" s="473"/>
      <c r="AJ1018" s="1164"/>
      <c r="AK1018" s="473"/>
      <c r="AL1018" s="473"/>
      <c r="AM1018" s="1164"/>
      <c r="AN1018" s="473"/>
      <c r="AO1018" s="473"/>
      <c r="AP1018" s="1164"/>
      <c r="AQ1018" s="473"/>
      <c r="AR1018" s="473"/>
      <c r="AS1018" s="1236"/>
      <c r="AT1018" s="473"/>
      <c r="AU1018" s="473"/>
      <c r="AV1018" s="1164"/>
      <c r="AW1018" s="1164"/>
      <c r="AX1018" s="1236"/>
      <c r="AY1018" s="473"/>
      <c r="AZ1018" s="1236"/>
      <c r="BA1018" s="473"/>
      <c r="BB1018" s="473"/>
      <c r="BC1018" s="1164"/>
      <c r="BD1018" s="20"/>
      <c r="BE1018" s="473"/>
      <c r="BF1018" s="610"/>
      <c r="BG1018" s="610"/>
      <c r="BH1018" s="610"/>
      <c r="BI1018" s="610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</row>
    <row r="1019" spans="1:148" s="22" customFormat="1" x14ac:dyDescent="0.25">
      <c r="A1019" s="20"/>
      <c r="B1019" s="16"/>
      <c r="C1019" s="473"/>
      <c r="D1019" s="473"/>
      <c r="E1019" s="1164"/>
      <c r="F1019" s="473"/>
      <c r="G1019" s="473"/>
      <c r="H1019" s="1164"/>
      <c r="I1019" s="473"/>
      <c r="J1019" s="473"/>
      <c r="K1019" s="1164"/>
      <c r="L1019" s="473"/>
      <c r="M1019" s="473"/>
      <c r="N1019" s="1164"/>
      <c r="O1019" s="473"/>
      <c r="P1019" s="473"/>
      <c r="Q1019" s="1164"/>
      <c r="R1019" s="473"/>
      <c r="S1019" s="473"/>
      <c r="T1019" s="1164"/>
      <c r="U1019" s="1164"/>
      <c r="V1019" s="473"/>
      <c r="W1019" s="473"/>
      <c r="X1019" s="1164"/>
      <c r="Y1019" s="473"/>
      <c r="Z1019" s="473"/>
      <c r="AA1019" s="1164"/>
      <c r="AB1019" s="473"/>
      <c r="AC1019" s="1164"/>
      <c r="AD1019" s="473"/>
      <c r="AE1019" s="1164"/>
      <c r="AF1019" s="473"/>
      <c r="AG1019" s="1164"/>
      <c r="AH1019" s="473"/>
      <c r="AI1019" s="473"/>
      <c r="AJ1019" s="1164"/>
      <c r="AK1019" s="473"/>
      <c r="AL1019" s="473"/>
      <c r="AM1019" s="1164"/>
      <c r="AN1019" s="473"/>
      <c r="AO1019" s="473"/>
      <c r="AP1019" s="1164"/>
      <c r="AQ1019" s="473"/>
      <c r="AR1019" s="473"/>
      <c r="AS1019" s="1236"/>
      <c r="AT1019" s="473"/>
      <c r="AU1019" s="473"/>
      <c r="AV1019" s="1164"/>
      <c r="AW1019" s="1164"/>
      <c r="AX1019" s="1236"/>
      <c r="AY1019" s="473"/>
      <c r="AZ1019" s="1236"/>
      <c r="BA1019" s="473"/>
      <c r="BB1019" s="473"/>
      <c r="BC1019" s="1164"/>
      <c r="BD1019" s="20"/>
      <c r="BE1019" s="473"/>
      <c r="BF1019" s="610"/>
      <c r="BG1019" s="610"/>
      <c r="BH1019" s="610"/>
      <c r="BI1019" s="610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</row>
    <row r="1020" spans="1:148" s="22" customFormat="1" x14ac:dyDescent="0.25">
      <c r="A1020" s="20"/>
      <c r="B1020" s="16"/>
      <c r="C1020" s="473"/>
      <c r="D1020" s="473"/>
      <c r="E1020" s="1164"/>
      <c r="F1020" s="473"/>
      <c r="G1020" s="473"/>
      <c r="H1020" s="1164"/>
      <c r="I1020" s="473"/>
      <c r="J1020" s="473"/>
      <c r="K1020" s="1164"/>
      <c r="L1020" s="473"/>
      <c r="M1020" s="473"/>
      <c r="N1020" s="1164"/>
      <c r="O1020" s="473"/>
      <c r="P1020" s="473"/>
      <c r="Q1020" s="1164"/>
      <c r="R1020" s="473"/>
      <c r="S1020" s="473"/>
      <c r="T1020" s="1164"/>
      <c r="U1020" s="1164"/>
      <c r="V1020" s="473"/>
      <c r="W1020" s="473"/>
      <c r="X1020" s="1164"/>
      <c r="Y1020" s="473"/>
      <c r="Z1020" s="473"/>
      <c r="AA1020" s="1164"/>
      <c r="AB1020" s="473"/>
      <c r="AC1020" s="1164"/>
      <c r="AD1020" s="473"/>
      <c r="AE1020" s="1164"/>
      <c r="AF1020" s="473"/>
      <c r="AG1020" s="1164"/>
      <c r="AH1020" s="473"/>
      <c r="AI1020" s="473"/>
      <c r="AJ1020" s="1164"/>
      <c r="AK1020" s="473"/>
      <c r="AL1020" s="473"/>
      <c r="AM1020" s="1164"/>
      <c r="AN1020" s="473"/>
      <c r="AO1020" s="473"/>
      <c r="AP1020" s="1164"/>
      <c r="AQ1020" s="473"/>
      <c r="AR1020" s="473"/>
      <c r="AS1020" s="1236"/>
      <c r="AT1020" s="473"/>
      <c r="AU1020" s="473"/>
      <c r="AV1020" s="1164"/>
      <c r="AW1020" s="1164"/>
      <c r="AX1020" s="1236"/>
      <c r="AY1020" s="473"/>
      <c r="AZ1020" s="1236"/>
      <c r="BA1020" s="473"/>
      <c r="BB1020" s="473"/>
      <c r="BC1020" s="1164"/>
      <c r="BD1020" s="20"/>
      <c r="BE1020" s="473"/>
      <c r="BF1020" s="610"/>
      <c r="BG1020" s="610"/>
      <c r="BH1020" s="610"/>
      <c r="BI1020" s="610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</row>
    <row r="1021" spans="1:148" s="22" customFormat="1" x14ac:dyDescent="0.25">
      <c r="A1021" s="20"/>
      <c r="B1021" s="16"/>
      <c r="C1021" s="473"/>
      <c r="D1021" s="473"/>
      <c r="E1021" s="1164"/>
      <c r="F1021" s="473"/>
      <c r="G1021" s="473"/>
      <c r="H1021" s="1164"/>
      <c r="I1021" s="473"/>
      <c r="J1021" s="473"/>
      <c r="K1021" s="1164"/>
      <c r="L1021" s="473"/>
      <c r="M1021" s="473"/>
      <c r="N1021" s="1164"/>
      <c r="O1021" s="473"/>
      <c r="P1021" s="473"/>
      <c r="Q1021" s="1164"/>
      <c r="R1021" s="473"/>
      <c r="S1021" s="473"/>
      <c r="T1021" s="1164"/>
      <c r="U1021" s="1164"/>
      <c r="V1021" s="473"/>
      <c r="W1021" s="473"/>
      <c r="X1021" s="1164"/>
      <c r="Y1021" s="473"/>
      <c r="Z1021" s="473"/>
      <c r="AA1021" s="1164"/>
      <c r="AB1021" s="473"/>
      <c r="AC1021" s="1164"/>
      <c r="AD1021" s="473"/>
      <c r="AE1021" s="1164"/>
      <c r="AF1021" s="473"/>
      <c r="AG1021" s="1164"/>
      <c r="AH1021" s="473"/>
      <c r="AI1021" s="473"/>
      <c r="AJ1021" s="1164"/>
      <c r="AK1021" s="473"/>
      <c r="AL1021" s="473"/>
      <c r="AM1021" s="1164"/>
      <c r="AN1021" s="473"/>
      <c r="AO1021" s="473"/>
      <c r="AP1021" s="1164"/>
      <c r="AQ1021" s="473"/>
      <c r="AR1021" s="473"/>
      <c r="AS1021" s="1236"/>
      <c r="AT1021" s="473"/>
      <c r="AU1021" s="473"/>
      <c r="AV1021" s="1164"/>
      <c r="AW1021" s="1164"/>
      <c r="AX1021" s="1236"/>
      <c r="AY1021" s="473"/>
      <c r="AZ1021" s="1236"/>
      <c r="BA1021" s="473"/>
      <c r="BB1021" s="473"/>
      <c r="BC1021" s="1164"/>
      <c r="BD1021" s="20"/>
      <c r="BE1021" s="473"/>
      <c r="BF1021" s="610"/>
      <c r="BG1021" s="610"/>
      <c r="BH1021" s="610"/>
      <c r="BI1021" s="610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</row>
    <row r="1022" spans="1:148" s="22" customFormat="1" x14ac:dyDescent="0.25">
      <c r="A1022" s="20"/>
      <c r="B1022" s="16"/>
      <c r="C1022" s="473"/>
      <c r="D1022" s="473"/>
      <c r="E1022" s="1164"/>
      <c r="F1022" s="473"/>
      <c r="G1022" s="473"/>
      <c r="H1022" s="1164"/>
      <c r="I1022" s="473"/>
      <c r="J1022" s="473"/>
      <c r="K1022" s="1164"/>
      <c r="L1022" s="473"/>
      <c r="M1022" s="473"/>
      <c r="N1022" s="1164"/>
      <c r="O1022" s="473"/>
      <c r="P1022" s="473"/>
      <c r="Q1022" s="1164"/>
      <c r="R1022" s="473"/>
      <c r="S1022" s="473"/>
      <c r="T1022" s="1164"/>
      <c r="U1022" s="1164"/>
      <c r="V1022" s="473"/>
      <c r="W1022" s="473"/>
      <c r="X1022" s="1164"/>
      <c r="Y1022" s="473"/>
      <c r="Z1022" s="473"/>
      <c r="AA1022" s="1164"/>
      <c r="AB1022" s="473"/>
      <c r="AC1022" s="1164"/>
      <c r="AD1022" s="473"/>
      <c r="AE1022" s="1164"/>
      <c r="AF1022" s="473"/>
      <c r="AG1022" s="1164"/>
      <c r="AH1022" s="473"/>
      <c r="AI1022" s="473"/>
      <c r="AJ1022" s="1164"/>
      <c r="AK1022" s="473"/>
      <c r="AL1022" s="473"/>
      <c r="AM1022" s="1164"/>
      <c r="AN1022" s="473"/>
      <c r="AO1022" s="473"/>
      <c r="AP1022" s="1164"/>
      <c r="AQ1022" s="473"/>
      <c r="AR1022" s="473"/>
      <c r="AS1022" s="1236"/>
      <c r="AT1022" s="473"/>
      <c r="AU1022" s="473"/>
      <c r="AV1022" s="1164"/>
      <c r="AW1022" s="1164"/>
      <c r="AX1022" s="1236"/>
      <c r="AY1022" s="473"/>
      <c r="AZ1022" s="1236"/>
      <c r="BA1022" s="473"/>
      <c r="BB1022" s="473"/>
      <c r="BC1022" s="1164"/>
      <c r="BD1022" s="20"/>
      <c r="BE1022" s="473"/>
      <c r="BF1022" s="610"/>
      <c r="BG1022" s="610"/>
      <c r="BH1022" s="610"/>
      <c r="BI1022" s="610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</row>
    <row r="1023" spans="1:148" s="22" customFormat="1" x14ac:dyDescent="0.25">
      <c r="A1023" s="20"/>
      <c r="B1023" s="16"/>
      <c r="C1023" s="473"/>
      <c r="D1023" s="473"/>
      <c r="E1023" s="1164"/>
      <c r="F1023" s="473"/>
      <c r="G1023" s="473"/>
      <c r="H1023" s="1164"/>
      <c r="I1023" s="473"/>
      <c r="J1023" s="473"/>
      <c r="K1023" s="1164"/>
      <c r="L1023" s="473"/>
      <c r="M1023" s="473"/>
      <c r="N1023" s="1164"/>
      <c r="O1023" s="473"/>
      <c r="P1023" s="473"/>
      <c r="Q1023" s="1164"/>
      <c r="R1023" s="473"/>
      <c r="S1023" s="473"/>
      <c r="T1023" s="1164"/>
      <c r="U1023" s="1164"/>
      <c r="V1023" s="473"/>
      <c r="W1023" s="473"/>
      <c r="X1023" s="1164"/>
      <c r="Y1023" s="473"/>
      <c r="Z1023" s="473"/>
      <c r="AA1023" s="1164"/>
      <c r="AB1023" s="473"/>
      <c r="AC1023" s="1164"/>
      <c r="AD1023" s="473"/>
      <c r="AE1023" s="1164"/>
      <c r="AF1023" s="473"/>
      <c r="AG1023" s="1164"/>
      <c r="AH1023" s="473"/>
      <c r="AI1023" s="473"/>
      <c r="AJ1023" s="1164"/>
      <c r="AK1023" s="473"/>
      <c r="AL1023" s="473"/>
      <c r="AM1023" s="1164"/>
      <c r="AN1023" s="473"/>
      <c r="AO1023" s="473"/>
      <c r="AP1023" s="1164"/>
      <c r="AQ1023" s="473"/>
      <c r="AR1023" s="473"/>
      <c r="AS1023" s="1236"/>
      <c r="AT1023" s="473"/>
      <c r="AU1023" s="473"/>
      <c r="AV1023" s="1164"/>
      <c r="AW1023" s="1164"/>
      <c r="AX1023" s="1236"/>
      <c r="AY1023" s="473"/>
      <c r="AZ1023" s="1236"/>
      <c r="BA1023" s="473"/>
      <c r="BB1023" s="473"/>
      <c r="BC1023" s="1164"/>
      <c r="BD1023" s="20"/>
      <c r="BE1023" s="473"/>
      <c r="BF1023" s="610"/>
      <c r="BG1023" s="610"/>
      <c r="BH1023" s="610"/>
      <c r="BI1023" s="610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</row>
    <row r="1024" spans="1:148" s="22" customFormat="1" x14ac:dyDescent="0.25">
      <c r="A1024" s="20"/>
      <c r="B1024" s="16"/>
      <c r="C1024" s="473"/>
      <c r="D1024" s="473"/>
      <c r="E1024" s="1164"/>
      <c r="F1024" s="473"/>
      <c r="G1024" s="473"/>
      <c r="H1024" s="1164"/>
      <c r="I1024" s="473"/>
      <c r="J1024" s="473"/>
      <c r="K1024" s="1164"/>
      <c r="L1024" s="473"/>
      <c r="M1024" s="473"/>
      <c r="N1024" s="1164"/>
      <c r="O1024" s="473"/>
      <c r="P1024" s="473"/>
      <c r="Q1024" s="1164"/>
      <c r="R1024" s="473"/>
      <c r="S1024" s="473"/>
      <c r="T1024" s="1164"/>
      <c r="U1024" s="1164"/>
      <c r="V1024" s="473"/>
      <c r="W1024" s="473"/>
      <c r="X1024" s="1164"/>
      <c r="Y1024" s="473"/>
      <c r="Z1024" s="473"/>
      <c r="AA1024" s="1164"/>
      <c r="AB1024" s="473"/>
      <c r="AC1024" s="1164"/>
      <c r="AD1024" s="473"/>
      <c r="AE1024" s="1164"/>
      <c r="AF1024" s="473"/>
      <c r="AG1024" s="1164"/>
      <c r="AH1024" s="473"/>
      <c r="AI1024" s="473"/>
      <c r="AJ1024" s="1164"/>
      <c r="AK1024" s="473"/>
      <c r="AL1024" s="473"/>
      <c r="AM1024" s="1164"/>
      <c r="AN1024" s="473"/>
      <c r="AO1024" s="473"/>
      <c r="AP1024" s="1164"/>
      <c r="AQ1024" s="473"/>
      <c r="AR1024" s="473"/>
      <c r="AS1024" s="1236"/>
      <c r="AT1024" s="473"/>
      <c r="AU1024" s="473"/>
      <c r="AV1024" s="1164"/>
      <c r="AW1024" s="1164"/>
      <c r="AX1024" s="1236"/>
      <c r="AY1024" s="473"/>
      <c r="AZ1024" s="1236"/>
      <c r="BA1024" s="473"/>
      <c r="BB1024" s="473"/>
      <c r="BC1024" s="1164"/>
      <c r="BD1024" s="20"/>
      <c r="BE1024" s="473"/>
      <c r="BF1024" s="610"/>
      <c r="BG1024" s="610"/>
      <c r="BH1024" s="610"/>
      <c r="BI1024" s="610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</row>
    <row r="1025" spans="1:148" s="22" customFormat="1" x14ac:dyDescent="0.25">
      <c r="A1025" s="20"/>
      <c r="B1025" s="16"/>
      <c r="C1025" s="473"/>
      <c r="D1025" s="473"/>
      <c r="E1025" s="1164"/>
      <c r="F1025" s="473"/>
      <c r="G1025" s="473"/>
      <c r="H1025" s="1164"/>
      <c r="I1025" s="473"/>
      <c r="J1025" s="473"/>
      <c r="K1025" s="1164"/>
      <c r="L1025" s="473"/>
      <c r="M1025" s="473"/>
      <c r="N1025" s="1164"/>
      <c r="O1025" s="473"/>
      <c r="P1025" s="473"/>
      <c r="Q1025" s="1164"/>
      <c r="R1025" s="473"/>
      <c r="S1025" s="473"/>
      <c r="T1025" s="1164"/>
      <c r="U1025" s="1164"/>
      <c r="V1025" s="473"/>
      <c r="W1025" s="473"/>
      <c r="X1025" s="1164"/>
      <c r="Y1025" s="473"/>
      <c r="Z1025" s="473"/>
      <c r="AA1025" s="1164"/>
      <c r="AB1025" s="473"/>
      <c r="AC1025" s="1164"/>
      <c r="AD1025" s="473"/>
      <c r="AE1025" s="1164"/>
      <c r="AF1025" s="473"/>
      <c r="AG1025" s="1164"/>
      <c r="AH1025" s="473"/>
      <c r="AI1025" s="473"/>
      <c r="AJ1025" s="1164"/>
      <c r="AK1025" s="473"/>
      <c r="AL1025" s="473"/>
      <c r="AM1025" s="1164"/>
      <c r="AN1025" s="473"/>
      <c r="AO1025" s="473"/>
      <c r="AP1025" s="1164"/>
      <c r="AQ1025" s="473"/>
      <c r="AR1025" s="473"/>
      <c r="AS1025" s="1236"/>
      <c r="AT1025" s="473"/>
      <c r="AU1025" s="473"/>
      <c r="AV1025" s="1164"/>
      <c r="AW1025" s="1164"/>
      <c r="AX1025" s="1236"/>
      <c r="AY1025" s="473"/>
      <c r="AZ1025" s="1236"/>
      <c r="BA1025" s="473"/>
      <c r="BB1025" s="473"/>
      <c r="BC1025" s="1164"/>
      <c r="BD1025" s="20"/>
      <c r="BE1025" s="473"/>
      <c r="BF1025" s="610"/>
      <c r="BG1025" s="610"/>
      <c r="BH1025" s="610"/>
      <c r="BI1025" s="610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</row>
    <row r="1026" spans="1:148" s="22" customFormat="1" x14ac:dyDescent="0.25">
      <c r="A1026" s="20"/>
      <c r="B1026" s="16"/>
      <c r="C1026" s="473"/>
      <c r="D1026" s="473"/>
      <c r="E1026" s="1164"/>
      <c r="F1026" s="473"/>
      <c r="G1026" s="473"/>
      <c r="H1026" s="1164"/>
      <c r="I1026" s="473"/>
      <c r="J1026" s="473"/>
      <c r="K1026" s="1164"/>
      <c r="L1026" s="473"/>
      <c r="M1026" s="473"/>
      <c r="N1026" s="1164"/>
      <c r="O1026" s="473"/>
      <c r="P1026" s="473"/>
      <c r="Q1026" s="1164"/>
      <c r="R1026" s="473"/>
      <c r="S1026" s="473"/>
      <c r="T1026" s="1164"/>
      <c r="U1026" s="1164"/>
      <c r="V1026" s="473"/>
      <c r="W1026" s="473"/>
      <c r="X1026" s="1164"/>
      <c r="Y1026" s="473"/>
      <c r="Z1026" s="473"/>
      <c r="AA1026" s="1164"/>
      <c r="AB1026" s="473"/>
      <c r="AC1026" s="1164"/>
      <c r="AD1026" s="473"/>
      <c r="AE1026" s="1164"/>
      <c r="AF1026" s="473"/>
      <c r="AG1026" s="1164"/>
      <c r="AH1026" s="473"/>
      <c r="AI1026" s="473"/>
      <c r="AJ1026" s="1164"/>
      <c r="AK1026" s="473"/>
      <c r="AL1026" s="473"/>
      <c r="AM1026" s="1164"/>
      <c r="AN1026" s="473"/>
      <c r="AO1026" s="473"/>
      <c r="AP1026" s="1164"/>
      <c r="AQ1026" s="473"/>
      <c r="AR1026" s="473"/>
      <c r="AS1026" s="1236"/>
      <c r="AT1026" s="473"/>
      <c r="AU1026" s="473"/>
      <c r="AV1026" s="1164"/>
      <c r="AW1026" s="1164"/>
      <c r="AX1026" s="1236"/>
      <c r="AY1026" s="473"/>
      <c r="AZ1026" s="1236"/>
      <c r="BA1026" s="473"/>
      <c r="BB1026" s="473"/>
      <c r="BC1026" s="1164"/>
      <c r="BD1026" s="20"/>
      <c r="BE1026" s="473"/>
      <c r="BF1026" s="610"/>
      <c r="BG1026" s="610"/>
      <c r="BH1026" s="610"/>
      <c r="BI1026" s="610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</row>
    <row r="1027" spans="1:148" s="22" customFormat="1" x14ac:dyDescent="0.25">
      <c r="A1027" s="20"/>
      <c r="B1027" s="16"/>
      <c r="C1027" s="473"/>
      <c r="D1027" s="473"/>
      <c r="E1027" s="1164"/>
      <c r="F1027" s="473"/>
      <c r="G1027" s="473"/>
      <c r="H1027" s="1164"/>
      <c r="I1027" s="473"/>
      <c r="J1027" s="473"/>
      <c r="K1027" s="1164"/>
      <c r="L1027" s="473"/>
      <c r="M1027" s="473"/>
      <c r="N1027" s="1164"/>
      <c r="O1027" s="473"/>
      <c r="P1027" s="473"/>
      <c r="Q1027" s="1164"/>
      <c r="R1027" s="473"/>
      <c r="S1027" s="473"/>
      <c r="T1027" s="1164"/>
      <c r="U1027" s="1164"/>
      <c r="V1027" s="473"/>
      <c r="W1027" s="473"/>
      <c r="X1027" s="1164"/>
      <c r="Y1027" s="473"/>
      <c r="Z1027" s="473"/>
      <c r="AA1027" s="1164"/>
      <c r="AB1027" s="473"/>
      <c r="AC1027" s="1164"/>
      <c r="AD1027" s="473"/>
      <c r="AE1027" s="1164"/>
      <c r="AF1027" s="473"/>
      <c r="AG1027" s="1164"/>
      <c r="AH1027" s="473"/>
      <c r="AI1027" s="473"/>
      <c r="AJ1027" s="1164"/>
      <c r="AK1027" s="473"/>
      <c r="AL1027" s="473"/>
      <c r="AM1027" s="1164"/>
      <c r="AN1027" s="473"/>
      <c r="AO1027" s="473"/>
      <c r="AP1027" s="1164"/>
      <c r="AQ1027" s="473"/>
      <c r="AR1027" s="473"/>
      <c r="AS1027" s="1236"/>
      <c r="AT1027" s="473"/>
      <c r="AU1027" s="473"/>
      <c r="AV1027" s="1164"/>
      <c r="AW1027" s="1164"/>
      <c r="AX1027" s="1236"/>
      <c r="AY1027" s="473"/>
      <c r="AZ1027" s="1236"/>
      <c r="BA1027" s="473"/>
      <c r="BB1027" s="473"/>
      <c r="BC1027" s="1164"/>
      <c r="BD1027" s="20"/>
      <c r="BE1027" s="473"/>
      <c r="BF1027" s="610"/>
      <c r="BG1027" s="610"/>
      <c r="BH1027" s="610"/>
      <c r="BI1027" s="610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</row>
    <row r="1028" spans="1:148" s="22" customFormat="1" x14ac:dyDescent="0.25">
      <c r="A1028" s="20"/>
      <c r="B1028" s="16"/>
      <c r="C1028" s="473"/>
      <c r="D1028" s="473"/>
      <c r="E1028" s="1164"/>
      <c r="F1028" s="473"/>
      <c r="G1028" s="473"/>
      <c r="H1028" s="1164"/>
      <c r="I1028" s="473"/>
      <c r="J1028" s="473"/>
      <c r="K1028" s="1164"/>
      <c r="L1028" s="473"/>
      <c r="M1028" s="473"/>
      <c r="N1028" s="1164"/>
      <c r="O1028" s="473"/>
      <c r="P1028" s="473"/>
      <c r="Q1028" s="1164"/>
      <c r="R1028" s="473"/>
      <c r="S1028" s="473"/>
      <c r="T1028" s="1164"/>
      <c r="U1028" s="1164"/>
      <c r="V1028" s="473"/>
      <c r="W1028" s="473"/>
      <c r="X1028" s="1164"/>
      <c r="Y1028" s="473"/>
      <c r="Z1028" s="473"/>
      <c r="AA1028" s="1164"/>
      <c r="AB1028" s="473"/>
      <c r="AC1028" s="1164"/>
      <c r="AD1028" s="473"/>
      <c r="AE1028" s="1164"/>
      <c r="AF1028" s="473"/>
      <c r="AG1028" s="1164"/>
      <c r="AH1028" s="473"/>
      <c r="AI1028" s="473"/>
      <c r="AJ1028" s="1164"/>
      <c r="AK1028" s="473"/>
      <c r="AL1028" s="473"/>
      <c r="AM1028" s="1164"/>
      <c r="AN1028" s="473"/>
      <c r="AO1028" s="473"/>
      <c r="AP1028" s="1164"/>
      <c r="AQ1028" s="473"/>
      <c r="AR1028" s="473"/>
      <c r="AS1028" s="1236"/>
      <c r="AT1028" s="473"/>
      <c r="AU1028" s="473"/>
      <c r="AV1028" s="1164"/>
      <c r="AW1028" s="1164"/>
      <c r="AX1028" s="1236"/>
      <c r="AY1028" s="473"/>
      <c r="AZ1028" s="1236"/>
      <c r="BA1028" s="473"/>
      <c r="BB1028" s="473"/>
      <c r="BC1028" s="1164"/>
      <c r="BD1028" s="20"/>
      <c r="BE1028" s="473"/>
      <c r="BF1028" s="610"/>
      <c r="BG1028" s="610"/>
      <c r="BH1028" s="610"/>
      <c r="BI1028" s="610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</row>
    <row r="1029" spans="1:148" s="22" customFormat="1" x14ac:dyDescent="0.25">
      <c r="A1029" s="20"/>
      <c r="B1029" s="16"/>
      <c r="C1029" s="473"/>
      <c r="D1029" s="473"/>
      <c r="E1029" s="1164"/>
      <c r="F1029" s="473"/>
      <c r="G1029" s="473"/>
      <c r="H1029" s="1164"/>
      <c r="I1029" s="473"/>
      <c r="J1029" s="473"/>
      <c r="K1029" s="1164"/>
      <c r="L1029" s="473"/>
      <c r="M1029" s="473"/>
      <c r="N1029" s="1164"/>
      <c r="O1029" s="473"/>
      <c r="P1029" s="473"/>
      <c r="Q1029" s="1164"/>
      <c r="R1029" s="473"/>
      <c r="S1029" s="473"/>
      <c r="T1029" s="1164"/>
      <c r="U1029" s="1164"/>
      <c r="V1029" s="473"/>
      <c r="W1029" s="473"/>
      <c r="X1029" s="1164"/>
      <c r="Y1029" s="473"/>
      <c r="Z1029" s="473"/>
      <c r="AA1029" s="1164"/>
      <c r="AB1029" s="473"/>
      <c r="AC1029" s="1164"/>
      <c r="AD1029" s="473"/>
      <c r="AE1029" s="1164"/>
      <c r="AF1029" s="473"/>
      <c r="AG1029" s="1164"/>
      <c r="AH1029" s="473"/>
      <c r="AI1029" s="473"/>
      <c r="AJ1029" s="1164"/>
      <c r="AK1029" s="473"/>
      <c r="AL1029" s="473"/>
      <c r="AM1029" s="1164"/>
      <c r="AN1029" s="473"/>
      <c r="AO1029" s="473"/>
      <c r="AP1029" s="1164"/>
      <c r="AQ1029" s="473"/>
      <c r="AR1029" s="473"/>
      <c r="AS1029" s="1236"/>
      <c r="AT1029" s="473"/>
      <c r="AU1029" s="473"/>
      <c r="AV1029" s="1164"/>
      <c r="AW1029" s="1164"/>
      <c r="AX1029" s="1236"/>
      <c r="AY1029" s="473"/>
      <c r="AZ1029" s="1236"/>
      <c r="BA1029" s="473"/>
      <c r="BB1029" s="473"/>
      <c r="BC1029" s="1164"/>
      <c r="BD1029" s="20"/>
      <c r="BE1029" s="473"/>
      <c r="BF1029" s="610"/>
      <c r="BG1029" s="610"/>
      <c r="BH1029" s="610"/>
      <c r="BI1029" s="610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</row>
    <row r="1030" spans="1:148" s="22" customFormat="1" x14ac:dyDescent="0.25">
      <c r="A1030" s="20"/>
      <c r="B1030" s="16"/>
      <c r="C1030" s="473"/>
      <c r="D1030" s="473"/>
      <c r="E1030" s="1164"/>
      <c r="F1030" s="473"/>
      <c r="G1030" s="473"/>
      <c r="H1030" s="1164"/>
      <c r="I1030" s="473"/>
      <c r="J1030" s="473"/>
      <c r="K1030" s="1164"/>
      <c r="L1030" s="473"/>
      <c r="M1030" s="473"/>
      <c r="N1030" s="1164"/>
      <c r="O1030" s="473"/>
      <c r="P1030" s="473"/>
      <c r="Q1030" s="1164"/>
      <c r="R1030" s="473"/>
      <c r="S1030" s="473"/>
      <c r="T1030" s="1164"/>
      <c r="U1030" s="1164"/>
      <c r="V1030" s="473"/>
      <c r="W1030" s="473"/>
      <c r="X1030" s="1164"/>
      <c r="Y1030" s="473"/>
      <c r="Z1030" s="473"/>
      <c r="AA1030" s="1164"/>
      <c r="AB1030" s="473"/>
      <c r="AC1030" s="1164"/>
      <c r="AD1030" s="473"/>
      <c r="AE1030" s="1164"/>
      <c r="AF1030" s="473"/>
      <c r="AG1030" s="1164"/>
      <c r="AH1030" s="473"/>
      <c r="AI1030" s="473"/>
      <c r="AJ1030" s="1164"/>
      <c r="AK1030" s="473"/>
      <c r="AL1030" s="473"/>
      <c r="AM1030" s="1164"/>
      <c r="AN1030" s="473"/>
      <c r="AO1030" s="473"/>
      <c r="AP1030" s="1164"/>
      <c r="AQ1030" s="473"/>
      <c r="AR1030" s="473"/>
      <c r="AS1030" s="1236"/>
      <c r="AT1030" s="473"/>
      <c r="AU1030" s="473"/>
      <c r="AV1030" s="1164"/>
      <c r="AW1030" s="1164"/>
      <c r="AX1030" s="1236"/>
      <c r="AY1030" s="473"/>
      <c r="AZ1030" s="1236"/>
      <c r="BA1030" s="473"/>
      <c r="BB1030" s="473"/>
      <c r="BC1030" s="1164"/>
      <c r="BD1030" s="20"/>
      <c r="BE1030" s="473"/>
      <c r="BF1030" s="610"/>
      <c r="BG1030" s="610"/>
      <c r="BH1030" s="610"/>
      <c r="BI1030" s="610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</row>
    <row r="1031" spans="1:148" s="22" customFormat="1" x14ac:dyDescent="0.25">
      <c r="A1031" s="20"/>
      <c r="B1031" s="16"/>
      <c r="C1031" s="473"/>
      <c r="D1031" s="473"/>
      <c r="E1031" s="1164"/>
      <c r="F1031" s="473"/>
      <c r="G1031" s="473"/>
      <c r="H1031" s="1164"/>
      <c r="I1031" s="473"/>
      <c r="J1031" s="473"/>
      <c r="K1031" s="1164"/>
      <c r="L1031" s="473"/>
      <c r="M1031" s="473"/>
      <c r="N1031" s="1164"/>
      <c r="O1031" s="473"/>
      <c r="P1031" s="473"/>
      <c r="Q1031" s="1164"/>
      <c r="R1031" s="473"/>
      <c r="S1031" s="473"/>
      <c r="T1031" s="1164"/>
      <c r="U1031" s="1164"/>
      <c r="V1031" s="473"/>
      <c r="W1031" s="473"/>
      <c r="X1031" s="1164"/>
      <c r="Y1031" s="473"/>
      <c r="Z1031" s="473"/>
      <c r="AA1031" s="1164"/>
      <c r="AB1031" s="473"/>
      <c r="AC1031" s="1164"/>
      <c r="AD1031" s="473"/>
      <c r="AE1031" s="1164"/>
      <c r="AF1031" s="473"/>
      <c r="AG1031" s="1164"/>
      <c r="AH1031" s="473"/>
      <c r="AI1031" s="473"/>
      <c r="AJ1031" s="1164"/>
      <c r="AK1031" s="473"/>
      <c r="AL1031" s="473"/>
      <c r="AM1031" s="1164"/>
      <c r="AN1031" s="473"/>
      <c r="AO1031" s="473"/>
      <c r="AP1031" s="1164"/>
      <c r="AQ1031" s="473"/>
      <c r="AR1031" s="473"/>
      <c r="AS1031" s="1236"/>
      <c r="AT1031" s="473"/>
      <c r="AU1031" s="473"/>
      <c r="AV1031" s="1164"/>
      <c r="AW1031" s="1164"/>
      <c r="AX1031" s="1236"/>
      <c r="AY1031" s="473"/>
      <c r="AZ1031" s="1236"/>
      <c r="BA1031" s="473"/>
      <c r="BB1031" s="473"/>
      <c r="BC1031" s="1164"/>
      <c r="BD1031" s="20"/>
      <c r="BE1031" s="473"/>
      <c r="BF1031" s="610"/>
      <c r="BG1031" s="610"/>
      <c r="BH1031" s="610"/>
      <c r="BI1031" s="610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</row>
    <row r="1032" spans="1:148" s="22" customFormat="1" x14ac:dyDescent="0.25">
      <c r="A1032" s="20"/>
      <c r="B1032" s="16"/>
      <c r="C1032" s="473"/>
      <c r="D1032" s="473"/>
      <c r="E1032" s="1164"/>
      <c r="F1032" s="473"/>
      <c r="G1032" s="473"/>
      <c r="H1032" s="1164"/>
      <c r="I1032" s="473"/>
      <c r="J1032" s="473"/>
      <c r="K1032" s="1164"/>
      <c r="L1032" s="473"/>
      <c r="M1032" s="473"/>
      <c r="N1032" s="1164"/>
      <c r="O1032" s="473"/>
      <c r="P1032" s="473"/>
      <c r="Q1032" s="1164"/>
      <c r="R1032" s="473"/>
      <c r="S1032" s="473"/>
      <c r="T1032" s="1164"/>
      <c r="U1032" s="1164"/>
      <c r="V1032" s="473"/>
      <c r="W1032" s="473"/>
      <c r="X1032" s="1164"/>
      <c r="Y1032" s="473"/>
      <c r="Z1032" s="473"/>
      <c r="AA1032" s="1164"/>
      <c r="AB1032" s="473"/>
      <c r="AC1032" s="1164"/>
      <c r="AD1032" s="473"/>
      <c r="AE1032" s="1164"/>
      <c r="AF1032" s="473"/>
      <c r="AG1032" s="1164"/>
      <c r="AH1032" s="473"/>
      <c r="AI1032" s="473"/>
      <c r="AJ1032" s="1164"/>
      <c r="AK1032" s="473"/>
      <c r="AL1032" s="473"/>
      <c r="AM1032" s="1164"/>
      <c r="AN1032" s="473"/>
      <c r="AO1032" s="473"/>
      <c r="AP1032" s="1164"/>
      <c r="AQ1032" s="473"/>
      <c r="AR1032" s="473"/>
      <c r="AS1032" s="1236"/>
      <c r="AT1032" s="473"/>
      <c r="AU1032" s="473"/>
      <c r="AV1032" s="1164"/>
      <c r="AW1032" s="1164"/>
      <c r="AX1032" s="1236"/>
      <c r="AY1032" s="473"/>
      <c r="AZ1032" s="1236"/>
      <c r="BA1032" s="473"/>
      <c r="BB1032" s="473"/>
      <c r="BC1032" s="1164"/>
      <c r="BD1032" s="20"/>
      <c r="BE1032" s="473"/>
      <c r="BF1032" s="610"/>
      <c r="BG1032" s="610"/>
      <c r="BH1032" s="610"/>
      <c r="BI1032" s="610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</row>
    <row r="1033" spans="1:148" s="22" customFormat="1" x14ac:dyDescent="0.25">
      <c r="A1033" s="20"/>
      <c r="B1033" s="16"/>
      <c r="C1033" s="473"/>
      <c r="D1033" s="473"/>
      <c r="E1033" s="1164"/>
      <c r="F1033" s="473"/>
      <c r="G1033" s="473"/>
      <c r="H1033" s="1164"/>
      <c r="I1033" s="473"/>
      <c r="J1033" s="473"/>
      <c r="K1033" s="1164"/>
      <c r="L1033" s="473"/>
      <c r="M1033" s="473"/>
      <c r="N1033" s="1164"/>
      <c r="O1033" s="473"/>
      <c r="P1033" s="473"/>
      <c r="Q1033" s="1164"/>
      <c r="R1033" s="473"/>
      <c r="S1033" s="473"/>
      <c r="T1033" s="1164"/>
      <c r="U1033" s="1164"/>
      <c r="V1033" s="473"/>
      <c r="W1033" s="473"/>
      <c r="X1033" s="1164"/>
      <c r="Y1033" s="473"/>
      <c r="Z1033" s="473"/>
      <c r="AA1033" s="1164"/>
      <c r="AB1033" s="473"/>
      <c r="AC1033" s="1164"/>
      <c r="AD1033" s="473"/>
      <c r="AE1033" s="1164"/>
      <c r="AF1033" s="473"/>
      <c r="AG1033" s="1164"/>
      <c r="AH1033" s="473"/>
      <c r="AI1033" s="473"/>
      <c r="AJ1033" s="1164"/>
      <c r="AK1033" s="473"/>
      <c r="AL1033" s="473"/>
      <c r="AM1033" s="1164"/>
      <c r="AN1033" s="473"/>
      <c r="AO1033" s="473"/>
      <c r="AP1033" s="1164"/>
      <c r="AQ1033" s="473"/>
      <c r="AR1033" s="473"/>
      <c r="AS1033" s="1236"/>
      <c r="AT1033" s="473"/>
      <c r="AU1033" s="473"/>
      <c r="AV1033" s="1164"/>
      <c r="AW1033" s="1164"/>
      <c r="AX1033" s="1236"/>
      <c r="AY1033" s="473"/>
      <c r="AZ1033" s="1236"/>
      <c r="BA1033" s="473"/>
      <c r="BB1033" s="473"/>
      <c r="BC1033" s="1164"/>
      <c r="BD1033" s="20"/>
      <c r="BE1033" s="473"/>
      <c r="BF1033" s="610"/>
      <c r="BG1033" s="610"/>
      <c r="BH1033" s="610"/>
      <c r="BI1033" s="610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</row>
    <row r="1034" spans="1:148" s="22" customFormat="1" x14ac:dyDescent="0.25">
      <c r="A1034" s="20"/>
      <c r="B1034" s="16"/>
      <c r="C1034" s="473"/>
      <c r="D1034" s="473"/>
      <c r="E1034" s="1164"/>
      <c r="F1034" s="473"/>
      <c r="G1034" s="473"/>
      <c r="H1034" s="1164"/>
      <c r="I1034" s="473"/>
      <c r="J1034" s="473"/>
      <c r="K1034" s="1164"/>
      <c r="L1034" s="473"/>
      <c r="M1034" s="473"/>
      <c r="N1034" s="1164"/>
      <c r="O1034" s="473"/>
      <c r="P1034" s="473"/>
      <c r="Q1034" s="1164"/>
      <c r="R1034" s="473"/>
      <c r="S1034" s="473"/>
      <c r="T1034" s="1164"/>
      <c r="U1034" s="1164"/>
      <c r="V1034" s="473"/>
      <c r="W1034" s="473"/>
      <c r="X1034" s="1164"/>
      <c r="Y1034" s="473"/>
      <c r="Z1034" s="473"/>
      <c r="AA1034" s="1164"/>
      <c r="AB1034" s="473"/>
      <c r="AC1034" s="1164"/>
      <c r="AD1034" s="473"/>
      <c r="AE1034" s="1164"/>
      <c r="AF1034" s="473"/>
      <c r="AG1034" s="1164"/>
      <c r="AH1034" s="473"/>
      <c r="AI1034" s="473"/>
      <c r="AJ1034" s="1164"/>
      <c r="AK1034" s="473"/>
      <c r="AL1034" s="473"/>
      <c r="AM1034" s="1164"/>
      <c r="AN1034" s="473"/>
      <c r="AO1034" s="473"/>
      <c r="AP1034" s="1164"/>
      <c r="AQ1034" s="473"/>
      <c r="AR1034" s="473"/>
      <c r="AS1034" s="1236"/>
      <c r="AT1034" s="473"/>
      <c r="AU1034" s="473"/>
      <c r="AV1034" s="1164"/>
      <c r="AW1034" s="1164"/>
      <c r="AX1034" s="1236"/>
      <c r="AY1034" s="473"/>
      <c r="AZ1034" s="1236"/>
      <c r="BA1034" s="473"/>
      <c r="BB1034" s="473"/>
      <c r="BC1034" s="1164"/>
      <c r="BD1034" s="20"/>
      <c r="BE1034" s="473"/>
      <c r="BF1034" s="610"/>
      <c r="BG1034" s="610"/>
      <c r="BH1034" s="610"/>
      <c r="BI1034" s="610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</row>
    <row r="1035" spans="1:148" s="22" customFormat="1" x14ac:dyDescent="0.25">
      <c r="A1035" s="20"/>
      <c r="B1035" s="16"/>
      <c r="C1035" s="473"/>
      <c r="D1035" s="473"/>
      <c r="E1035" s="1164"/>
      <c r="F1035" s="473"/>
      <c r="G1035" s="473"/>
      <c r="H1035" s="1164"/>
      <c r="I1035" s="473"/>
      <c r="J1035" s="473"/>
      <c r="K1035" s="1164"/>
      <c r="L1035" s="473"/>
      <c r="M1035" s="473"/>
      <c r="N1035" s="1164"/>
      <c r="O1035" s="473"/>
      <c r="P1035" s="473"/>
      <c r="Q1035" s="1164"/>
      <c r="R1035" s="473"/>
      <c r="S1035" s="473"/>
      <c r="T1035" s="1164"/>
      <c r="U1035" s="1164"/>
      <c r="V1035" s="473"/>
      <c r="W1035" s="473"/>
      <c r="X1035" s="1164"/>
      <c r="Y1035" s="473"/>
      <c r="Z1035" s="473"/>
      <c r="AA1035" s="1164"/>
      <c r="AB1035" s="473"/>
      <c r="AC1035" s="1164"/>
      <c r="AD1035" s="473"/>
      <c r="AE1035" s="1164"/>
      <c r="AF1035" s="473"/>
      <c r="AG1035" s="1164"/>
      <c r="AH1035" s="473"/>
      <c r="AI1035" s="473"/>
      <c r="AJ1035" s="1164"/>
      <c r="AK1035" s="473"/>
      <c r="AL1035" s="473"/>
      <c r="AM1035" s="1164"/>
      <c r="AN1035" s="473"/>
      <c r="AO1035" s="473"/>
      <c r="AP1035" s="1164"/>
      <c r="AQ1035" s="473"/>
      <c r="AR1035" s="473"/>
      <c r="AS1035" s="1236"/>
      <c r="AT1035" s="473"/>
      <c r="AU1035" s="473"/>
      <c r="AV1035" s="1164"/>
      <c r="AW1035" s="1164"/>
      <c r="AX1035" s="1236"/>
      <c r="AY1035" s="473"/>
      <c r="AZ1035" s="1236"/>
      <c r="BA1035" s="473"/>
      <c r="BB1035" s="473"/>
      <c r="BC1035" s="1164"/>
      <c r="BD1035" s="20"/>
      <c r="BE1035" s="473"/>
      <c r="BF1035" s="610"/>
      <c r="BG1035" s="610"/>
      <c r="BH1035" s="610"/>
      <c r="BI1035" s="610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</row>
    <row r="1036" spans="1:148" s="22" customFormat="1" x14ac:dyDescent="0.25">
      <c r="A1036" s="20"/>
      <c r="B1036" s="16"/>
      <c r="C1036" s="473"/>
      <c r="D1036" s="473"/>
      <c r="E1036" s="1164"/>
      <c r="F1036" s="473"/>
      <c r="G1036" s="473"/>
      <c r="H1036" s="1164"/>
      <c r="I1036" s="473"/>
      <c r="J1036" s="473"/>
      <c r="K1036" s="1164"/>
      <c r="L1036" s="473"/>
      <c r="M1036" s="473"/>
      <c r="N1036" s="1164"/>
      <c r="O1036" s="473"/>
      <c r="P1036" s="473"/>
      <c r="Q1036" s="1164"/>
      <c r="R1036" s="473"/>
      <c r="S1036" s="473"/>
      <c r="T1036" s="1164"/>
      <c r="U1036" s="1164"/>
      <c r="V1036" s="473"/>
      <c r="W1036" s="473"/>
      <c r="X1036" s="1164"/>
      <c r="Y1036" s="473"/>
      <c r="Z1036" s="473"/>
      <c r="AA1036" s="1164"/>
      <c r="AB1036" s="473"/>
      <c r="AC1036" s="1164"/>
      <c r="AD1036" s="473"/>
      <c r="AE1036" s="1164"/>
      <c r="AF1036" s="473"/>
      <c r="AG1036" s="1164"/>
      <c r="AH1036" s="473"/>
      <c r="AI1036" s="473"/>
      <c r="AJ1036" s="1164"/>
      <c r="AK1036" s="473"/>
      <c r="AL1036" s="473"/>
      <c r="AM1036" s="1164"/>
      <c r="AN1036" s="473"/>
      <c r="AO1036" s="473"/>
      <c r="AP1036" s="1164"/>
      <c r="AQ1036" s="473"/>
      <c r="AR1036" s="473"/>
      <c r="AS1036" s="1236"/>
      <c r="AT1036" s="473"/>
      <c r="AU1036" s="473"/>
      <c r="AV1036" s="1164"/>
      <c r="AW1036" s="1164"/>
      <c r="AX1036" s="1236"/>
      <c r="AY1036" s="473"/>
      <c r="AZ1036" s="1236"/>
      <c r="BA1036" s="473"/>
      <c r="BB1036" s="473"/>
      <c r="BC1036" s="1164"/>
      <c r="BD1036" s="20"/>
      <c r="BE1036" s="473"/>
      <c r="BF1036" s="610"/>
      <c r="BG1036" s="610"/>
      <c r="BH1036" s="610"/>
      <c r="BI1036" s="610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</row>
    <row r="1037" spans="1:148" s="22" customFormat="1" x14ac:dyDescent="0.25">
      <c r="A1037" s="20"/>
      <c r="B1037" s="16"/>
      <c r="C1037" s="473"/>
      <c r="D1037" s="473"/>
      <c r="E1037" s="1164"/>
      <c r="F1037" s="473"/>
      <c r="G1037" s="473"/>
      <c r="H1037" s="1164"/>
      <c r="I1037" s="473"/>
      <c r="J1037" s="473"/>
      <c r="K1037" s="1164"/>
      <c r="L1037" s="473"/>
      <c r="M1037" s="473"/>
      <c r="N1037" s="1164"/>
      <c r="O1037" s="473"/>
      <c r="P1037" s="473"/>
      <c r="Q1037" s="1164"/>
      <c r="R1037" s="473"/>
      <c r="S1037" s="473"/>
      <c r="T1037" s="1164"/>
      <c r="U1037" s="1164"/>
      <c r="V1037" s="473"/>
      <c r="W1037" s="473"/>
      <c r="X1037" s="1164"/>
      <c r="Y1037" s="473"/>
      <c r="Z1037" s="473"/>
      <c r="AA1037" s="1164"/>
      <c r="AB1037" s="473"/>
      <c r="AC1037" s="1164"/>
      <c r="AD1037" s="473"/>
      <c r="AE1037" s="1164"/>
      <c r="AF1037" s="473"/>
      <c r="AG1037" s="1164"/>
      <c r="AH1037" s="473"/>
      <c r="AI1037" s="473"/>
      <c r="AJ1037" s="1164"/>
      <c r="AK1037" s="473"/>
      <c r="AL1037" s="473"/>
      <c r="AM1037" s="1164"/>
      <c r="AN1037" s="473"/>
      <c r="AO1037" s="473"/>
      <c r="AP1037" s="1164"/>
      <c r="AQ1037" s="473"/>
      <c r="AR1037" s="473"/>
      <c r="AS1037" s="1236"/>
      <c r="AT1037" s="473"/>
      <c r="AU1037" s="473"/>
      <c r="AV1037" s="1164"/>
      <c r="AW1037" s="1164"/>
      <c r="AX1037" s="1236"/>
      <c r="AY1037" s="473"/>
      <c r="AZ1037" s="1236"/>
      <c r="BA1037" s="473"/>
      <c r="BB1037" s="473"/>
      <c r="BC1037" s="1164"/>
      <c r="BD1037" s="20"/>
      <c r="BE1037" s="473"/>
      <c r="BF1037" s="610"/>
      <c r="BG1037" s="610"/>
      <c r="BH1037" s="610"/>
      <c r="BI1037" s="610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</row>
    <row r="1038" spans="1:148" s="22" customFormat="1" x14ac:dyDescent="0.25">
      <c r="A1038" s="20"/>
      <c r="B1038" s="16"/>
      <c r="C1038" s="473"/>
      <c r="D1038" s="473"/>
      <c r="E1038" s="1164"/>
      <c r="F1038" s="473"/>
      <c r="G1038" s="473"/>
      <c r="H1038" s="1164"/>
      <c r="I1038" s="473"/>
      <c r="J1038" s="473"/>
      <c r="K1038" s="1164"/>
      <c r="L1038" s="473"/>
      <c r="M1038" s="473"/>
      <c r="N1038" s="1164"/>
      <c r="O1038" s="473"/>
      <c r="P1038" s="473"/>
      <c r="Q1038" s="1164"/>
      <c r="R1038" s="473"/>
      <c r="S1038" s="473"/>
      <c r="T1038" s="1164"/>
      <c r="U1038" s="1164"/>
      <c r="V1038" s="473"/>
      <c r="W1038" s="473"/>
      <c r="X1038" s="1164"/>
      <c r="Y1038" s="473"/>
      <c r="Z1038" s="473"/>
      <c r="AA1038" s="1164"/>
      <c r="AB1038" s="473"/>
      <c r="AC1038" s="1164"/>
      <c r="AD1038" s="473"/>
      <c r="AE1038" s="1164"/>
      <c r="AF1038" s="473"/>
      <c r="AG1038" s="1164"/>
      <c r="AH1038" s="473"/>
      <c r="AI1038" s="473"/>
      <c r="AJ1038" s="1164"/>
      <c r="AK1038" s="473"/>
      <c r="AL1038" s="473"/>
      <c r="AM1038" s="1164"/>
      <c r="AN1038" s="473"/>
      <c r="AO1038" s="473"/>
      <c r="AP1038" s="1164"/>
      <c r="AQ1038" s="473"/>
      <c r="AR1038" s="473"/>
      <c r="AS1038" s="1236"/>
      <c r="AT1038" s="473"/>
      <c r="AU1038" s="473"/>
      <c r="AV1038" s="1164"/>
      <c r="AW1038" s="1164"/>
      <c r="AX1038" s="1236"/>
      <c r="AY1038" s="473"/>
      <c r="AZ1038" s="1236"/>
      <c r="BA1038" s="473"/>
      <c r="BB1038" s="473"/>
      <c r="BC1038" s="1164"/>
      <c r="BD1038" s="20"/>
      <c r="BE1038" s="473"/>
      <c r="BF1038" s="610"/>
      <c r="BG1038" s="610"/>
      <c r="BH1038" s="610"/>
      <c r="BI1038" s="610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</row>
    <row r="1039" spans="1:148" s="22" customFormat="1" x14ac:dyDescent="0.25">
      <c r="A1039" s="20"/>
      <c r="B1039" s="16"/>
      <c r="C1039" s="473"/>
      <c r="D1039" s="473"/>
      <c r="E1039" s="1164"/>
      <c r="F1039" s="473"/>
      <c r="G1039" s="473"/>
      <c r="H1039" s="1164"/>
      <c r="I1039" s="473"/>
      <c r="J1039" s="473"/>
      <c r="K1039" s="1164"/>
      <c r="L1039" s="473"/>
      <c r="M1039" s="473"/>
      <c r="N1039" s="1164"/>
      <c r="O1039" s="473"/>
      <c r="P1039" s="473"/>
      <c r="Q1039" s="1164"/>
      <c r="R1039" s="473"/>
      <c r="S1039" s="473"/>
      <c r="T1039" s="1164"/>
      <c r="U1039" s="1164"/>
      <c r="V1039" s="473"/>
      <c r="W1039" s="473"/>
      <c r="X1039" s="1164"/>
      <c r="Y1039" s="473"/>
      <c r="Z1039" s="473"/>
      <c r="AA1039" s="1164"/>
      <c r="AB1039" s="473"/>
      <c r="AC1039" s="1164"/>
      <c r="AD1039" s="473"/>
      <c r="AE1039" s="1164"/>
      <c r="AF1039" s="473"/>
      <c r="AG1039" s="1164"/>
      <c r="AH1039" s="473"/>
      <c r="AI1039" s="473"/>
      <c r="AJ1039" s="1164"/>
      <c r="AK1039" s="473"/>
      <c r="AL1039" s="473"/>
      <c r="AM1039" s="1164"/>
      <c r="AN1039" s="473"/>
      <c r="AO1039" s="473"/>
      <c r="AP1039" s="1164"/>
      <c r="AQ1039" s="473"/>
      <c r="AR1039" s="473"/>
      <c r="AS1039" s="1236"/>
      <c r="AT1039" s="473"/>
      <c r="AU1039" s="473"/>
      <c r="AV1039" s="1164"/>
      <c r="AW1039" s="1164"/>
      <c r="AX1039" s="1236"/>
      <c r="AY1039" s="473"/>
      <c r="AZ1039" s="1236"/>
      <c r="BA1039" s="473"/>
      <c r="BB1039" s="473"/>
      <c r="BC1039" s="1164"/>
      <c r="BD1039" s="20"/>
      <c r="BE1039" s="473"/>
      <c r="BF1039" s="610"/>
      <c r="BG1039" s="610"/>
      <c r="BH1039" s="610"/>
      <c r="BI1039" s="610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</row>
    <row r="1040" spans="1:148" s="22" customFormat="1" x14ac:dyDescent="0.25">
      <c r="A1040" s="20"/>
      <c r="B1040" s="16"/>
      <c r="C1040" s="473"/>
      <c r="D1040" s="473"/>
      <c r="E1040" s="1164"/>
      <c r="F1040" s="473"/>
      <c r="G1040" s="473"/>
      <c r="H1040" s="1164"/>
      <c r="I1040" s="473"/>
      <c r="J1040" s="473"/>
      <c r="K1040" s="1164"/>
      <c r="L1040" s="473"/>
      <c r="M1040" s="473"/>
      <c r="N1040" s="1164"/>
      <c r="O1040" s="473"/>
      <c r="P1040" s="473"/>
      <c r="Q1040" s="1164"/>
      <c r="R1040" s="473"/>
      <c r="S1040" s="473"/>
      <c r="T1040" s="1164"/>
      <c r="U1040" s="1164"/>
      <c r="V1040" s="473"/>
      <c r="W1040" s="473"/>
      <c r="X1040" s="1164"/>
      <c r="Y1040" s="473"/>
      <c r="Z1040" s="473"/>
      <c r="AA1040" s="1164"/>
      <c r="AB1040" s="473"/>
      <c r="AC1040" s="1164"/>
      <c r="AD1040" s="473"/>
      <c r="AE1040" s="1164"/>
      <c r="AF1040" s="473"/>
      <c r="AG1040" s="1164"/>
      <c r="AH1040" s="473"/>
      <c r="AI1040" s="473"/>
      <c r="AJ1040" s="1164"/>
      <c r="AK1040" s="473"/>
      <c r="AL1040" s="473"/>
      <c r="AM1040" s="1164"/>
      <c r="AN1040" s="473"/>
      <c r="AO1040" s="473"/>
      <c r="AP1040" s="1164"/>
      <c r="AQ1040" s="473"/>
      <c r="AR1040" s="473"/>
      <c r="AS1040" s="1236"/>
      <c r="AT1040" s="473"/>
      <c r="AU1040" s="473"/>
      <c r="AV1040" s="1164"/>
      <c r="AW1040" s="1164"/>
      <c r="AX1040" s="1236"/>
      <c r="AY1040" s="473"/>
      <c r="AZ1040" s="1236"/>
      <c r="BA1040" s="473"/>
      <c r="BB1040" s="473"/>
      <c r="BC1040" s="1164"/>
      <c r="BD1040" s="20"/>
      <c r="BE1040" s="473"/>
      <c r="BF1040" s="610"/>
      <c r="BG1040" s="610"/>
      <c r="BH1040" s="610"/>
      <c r="BI1040" s="610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</row>
    <row r="1041" spans="1:148" s="22" customFormat="1" x14ac:dyDescent="0.25">
      <c r="A1041" s="20"/>
      <c r="B1041" s="16"/>
      <c r="C1041" s="473"/>
      <c r="D1041" s="473"/>
      <c r="E1041" s="1164"/>
      <c r="F1041" s="473"/>
      <c r="G1041" s="473"/>
      <c r="H1041" s="1164"/>
      <c r="I1041" s="473"/>
      <c r="J1041" s="473"/>
      <c r="K1041" s="1164"/>
      <c r="L1041" s="473"/>
      <c r="M1041" s="473"/>
      <c r="N1041" s="1164"/>
      <c r="O1041" s="473"/>
      <c r="P1041" s="473"/>
      <c r="Q1041" s="1164"/>
      <c r="R1041" s="473"/>
      <c r="S1041" s="473"/>
      <c r="T1041" s="1164"/>
      <c r="U1041" s="1164"/>
      <c r="V1041" s="473"/>
      <c r="W1041" s="473"/>
      <c r="X1041" s="1164"/>
      <c r="Y1041" s="473"/>
      <c r="Z1041" s="473"/>
      <c r="AA1041" s="1164"/>
      <c r="AB1041" s="473"/>
      <c r="AC1041" s="1164"/>
      <c r="AD1041" s="473"/>
      <c r="AE1041" s="1164"/>
      <c r="AF1041" s="473"/>
      <c r="AG1041" s="1164"/>
      <c r="AH1041" s="473"/>
      <c r="AI1041" s="473"/>
      <c r="AJ1041" s="1164"/>
      <c r="AK1041" s="473"/>
      <c r="AL1041" s="473"/>
      <c r="AM1041" s="1164"/>
      <c r="AN1041" s="473"/>
      <c r="AO1041" s="473"/>
      <c r="AP1041" s="1164"/>
      <c r="AQ1041" s="473"/>
      <c r="AR1041" s="473"/>
      <c r="AS1041" s="1236"/>
      <c r="AT1041" s="473"/>
      <c r="AU1041" s="473"/>
      <c r="AV1041" s="1164"/>
      <c r="AW1041" s="1164"/>
      <c r="AX1041" s="1236"/>
      <c r="AY1041" s="473"/>
      <c r="AZ1041" s="1236"/>
      <c r="BA1041" s="473"/>
      <c r="BB1041" s="473"/>
      <c r="BC1041" s="1164"/>
      <c r="BD1041" s="20"/>
      <c r="BE1041" s="473"/>
      <c r="BF1041" s="610"/>
      <c r="BG1041" s="610"/>
      <c r="BH1041" s="610"/>
      <c r="BI1041" s="610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</row>
    <row r="1042" spans="1:148" s="22" customFormat="1" x14ac:dyDescent="0.25">
      <c r="A1042" s="20"/>
      <c r="B1042" s="16"/>
      <c r="C1042" s="473"/>
      <c r="D1042" s="473"/>
      <c r="E1042" s="1164"/>
      <c r="F1042" s="473"/>
      <c r="G1042" s="473"/>
      <c r="H1042" s="1164"/>
      <c r="I1042" s="473"/>
      <c r="J1042" s="473"/>
      <c r="K1042" s="1164"/>
      <c r="L1042" s="473"/>
      <c r="M1042" s="473"/>
      <c r="N1042" s="1164"/>
      <c r="O1042" s="473"/>
      <c r="P1042" s="473"/>
      <c r="Q1042" s="1164"/>
      <c r="R1042" s="473"/>
      <c r="S1042" s="473"/>
      <c r="T1042" s="1164"/>
      <c r="U1042" s="1164"/>
      <c r="V1042" s="473"/>
      <c r="W1042" s="473"/>
      <c r="X1042" s="1164"/>
      <c r="Y1042" s="473"/>
      <c r="Z1042" s="473"/>
      <c r="AA1042" s="1164"/>
      <c r="AB1042" s="473"/>
      <c r="AC1042" s="1164"/>
      <c r="AD1042" s="473"/>
      <c r="AE1042" s="1164"/>
      <c r="AF1042" s="473"/>
      <c r="AG1042" s="1164"/>
      <c r="AH1042" s="473"/>
      <c r="AI1042" s="473"/>
      <c r="AJ1042" s="1164"/>
      <c r="AK1042" s="473"/>
      <c r="AL1042" s="473"/>
      <c r="AM1042" s="1164"/>
      <c r="AN1042" s="473"/>
      <c r="AO1042" s="473"/>
      <c r="AP1042" s="1164"/>
      <c r="AQ1042" s="473"/>
      <c r="AR1042" s="473"/>
      <c r="AS1042" s="1236"/>
      <c r="AT1042" s="473"/>
      <c r="AU1042" s="473"/>
      <c r="AV1042" s="1164"/>
      <c r="AW1042" s="1164"/>
      <c r="AX1042" s="1236"/>
      <c r="AY1042" s="473"/>
      <c r="AZ1042" s="1236"/>
      <c r="BA1042" s="473"/>
      <c r="BB1042" s="473"/>
      <c r="BC1042" s="1164"/>
      <c r="BD1042" s="20"/>
      <c r="BE1042" s="473"/>
      <c r="BF1042" s="610"/>
      <c r="BG1042" s="610"/>
      <c r="BH1042" s="610"/>
      <c r="BI1042" s="610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</row>
    <row r="1043" spans="1:148" s="22" customFormat="1" x14ac:dyDescent="0.25">
      <c r="A1043" s="20"/>
      <c r="B1043" s="16"/>
      <c r="C1043" s="473"/>
      <c r="D1043" s="473"/>
      <c r="E1043" s="1164"/>
      <c r="F1043" s="473"/>
      <c r="G1043" s="473"/>
      <c r="H1043" s="1164"/>
      <c r="I1043" s="473"/>
      <c r="J1043" s="473"/>
      <c r="K1043" s="1164"/>
      <c r="L1043" s="473"/>
      <c r="M1043" s="473"/>
      <c r="N1043" s="1164"/>
      <c r="O1043" s="473"/>
      <c r="P1043" s="473"/>
      <c r="Q1043" s="1164"/>
      <c r="R1043" s="473"/>
      <c r="S1043" s="473"/>
      <c r="T1043" s="1164"/>
      <c r="U1043" s="1164"/>
      <c r="V1043" s="473"/>
      <c r="W1043" s="473"/>
      <c r="X1043" s="1164"/>
      <c r="Y1043" s="473"/>
      <c r="Z1043" s="473"/>
      <c r="AA1043" s="1164"/>
      <c r="AB1043" s="473"/>
      <c r="AC1043" s="1164"/>
      <c r="AD1043" s="473"/>
      <c r="AE1043" s="1164"/>
      <c r="AF1043" s="473"/>
      <c r="AG1043" s="1164"/>
      <c r="AH1043" s="473"/>
      <c r="AI1043" s="473"/>
      <c r="AJ1043" s="1164"/>
      <c r="AK1043" s="473"/>
      <c r="AL1043" s="473"/>
      <c r="AM1043" s="1164"/>
      <c r="AN1043" s="473"/>
      <c r="AO1043" s="473"/>
      <c r="AP1043" s="1164"/>
      <c r="AQ1043" s="473"/>
      <c r="AR1043" s="473"/>
      <c r="AS1043" s="1236"/>
      <c r="AT1043" s="473"/>
      <c r="AU1043" s="473"/>
      <c r="AV1043" s="1164"/>
      <c r="AW1043" s="1164"/>
      <c r="AX1043" s="1236"/>
      <c r="AY1043" s="473"/>
      <c r="AZ1043" s="1236"/>
      <c r="BA1043" s="473"/>
      <c r="BB1043" s="473"/>
      <c r="BC1043" s="1164"/>
      <c r="BD1043" s="20"/>
      <c r="BE1043" s="473"/>
      <c r="BF1043" s="610"/>
      <c r="BG1043" s="610"/>
      <c r="BH1043" s="610"/>
      <c r="BI1043" s="610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</row>
    <row r="1044" spans="1:148" s="22" customFormat="1" x14ac:dyDescent="0.25">
      <c r="A1044" s="20"/>
      <c r="B1044" s="16"/>
      <c r="C1044" s="473"/>
      <c r="D1044" s="473"/>
      <c r="E1044" s="1164"/>
      <c r="F1044" s="473"/>
      <c r="G1044" s="473"/>
      <c r="H1044" s="1164"/>
      <c r="I1044" s="473"/>
      <c r="J1044" s="473"/>
      <c r="K1044" s="1164"/>
      <c r="L1044" s="473"/>
      <c r="M1044" s="473"/>
      <c r="N1044" s="1164"/>
      <c r="O1044" s="473"/>
      <c r="P1044" s="473"/>
      <c r="Q1044" s="1164"/>
      <c r="R1044" s="473"/>
      <c r="S1044" s="473"/>
      <c r="T1044" s="1164"/>
      <c r="U1044" s="1164"/>
      <c r="V1044" s="473"/>
      <c r="W1044" s="473"/>
      <c r="X1044" s="1164"/>
      <c r="Y1044" s="473"/>
      <c r="Z1044" s="473"/>
      <c r="AA1044" s="1164"/>
      <c r="AB1044" s="473"/>
      <c r="AC1044" s="1164"/>
      <c r="AD1044" s="473"/>
      <c r="AE1044" s="1164"/>
      <c r="AF1044" s="473"/>
      <c r="AG1044" s="1164"/>
      <c r="AH1044" s="473"/>
      <c r="AI1044" s="473"/>
      <c r="AJ1044" s="1164"/>
      <c r="AK1044" s="473"/>
      <c r="AL1044" s="473"/>
      <c r="AM1044" s="1164"/>
      <c r="AN1044" s="473"/>
      <c r="AO1044" s="473"/>
      <c r="AP1044" s="1164"/>
      <c r="AQ1044" s="473"/>
      <c r="AR1044" s="473"/>
      <c r="AS1044" s="1236"/>
      <c r="AT1044" s="473"/>
      <c r="AU1044" s="473"/>
      <c r="AV1044" s="1164"/>
      <c r="AW1044" s="1164"/>
      <c r="AX1044" s="1236"/>
      <c r="AY1044" s="473"/>
      <c r="AZ1044" s="1236"/>
      <c r="BA1044" s="473"/>
      <c r="BB1044" s="473"/>
      <c r="BC1044" s="1164"/>
      <c r="BD1044" s="20"/>
      <c r="BE1044" s="473"/>
      <c r="BF1044" s="610"/>
      <c r="BG1044" s="610"/>
      <c r="BH1044" s="610"/>
      <c r="BI1044" s="610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</row>
    <row r="1045" spans="1:148" s="22" customFormat="1" x14ac:dyDescent="0.25">
      <c r="A1045" s="20"/>
      <c r="B1045" s="16"/>
      <c r="C1045" s="473"/>
      <c r="D1045" s="473"/>
      <c r="E1045" s="1164"/>
      <c r="F1045" s="473"/>
      <c r="G1045" s="473"/>
      <c r="H1045" s="1164"/>
      <c r="I1045" s="473"/>
      <c r="J1045" s="473"/>
      <c r="K1045" s="1164"/>
      <c r="L1045" s="473"/>
      <c r="M1045" s="473"/>
      <c r="N1045" s="1164"/>
      <c r="O1045" s="473"/>
      <c r="P1045" s="473"/>
      <c r="Q1045" s="1164"/>
      <c r="R1045" s="473"/>
      <c r="S1045" s="473"/>
      <c r="T1045" s="1164"/>
      <c r="U1045" s="1164"/>
      <c r="V1045" s="473"/>
      <c r="W1045" s="473"/>
      <c r="X1045" s="1164"/>
      <c r="Y1045" s="473"/>
      <c r="Z1045" s="473"/>
      <c r="AA1045" s="1164"/>
      <c r="AB1045" s="473"/>
      <c r="AC1045" s="1164"/>
      <c r="AD1045" s="473"/>
      <c r="AE1045" s="1164"/>
      <c r="AF1045" s="473"/>
      <c r="AG1045" s="1164"/>
      <c r="AH1045" s="473"/>
      <c r="AI1045" s="473"/>
      <c r="AJ1045" s="1164"/>
      <c r="AK1045" s="473"/>
      <c r="AL1045" s="473"/>
      <c r="AM1045" s="1164"/>
      <c r="AN1045" s="473"/>
      <c r="AO1045" s="473"/>
      <c r="AP1045" s="1164"/>
      <c r="AQ1045" s="473"/>
      <c r="AR1045" s="473"/>
      <c r="AS1045" s="1236"/>
      <c r="AT1045" s="473"/>
      <c r="AU1045" s="473"/>
      <c r="AV1045" s="1164"/>
      <c r="AW1045" s="1164"/>
      <c r="AX1045" s="1236"/>
      <c r="AY1045" s="473"/>
      <c r="AZ1045" s="1236"/>
      <c r="BA1045" s="473"/>
      <c r="BB1045" s="473"/>
      <c r="BC1045" s="1164"/>
      <c r="BD1045" s="20"/>
      <c r="BE1045" s="473"/>
      <c r="BF1045" s="610"/>
      <c r="BG1045" s="610"/>
      <c r="BH1045" s="610"/>
      <c r="BI1045" s="610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</row>
    <row r="1046" spans="1:148" s="22" customFormat="1" x14ac:dyDescent="0.25">
      <c r="A1046" s="20"/>
      <c r="B1046" s="16"/>
      <c r="C1046" s="473"/>
      <c r="D1046" s="473"/>
      <c r="E1046" s="1164"/>
      <c r="F1046" s="473"/>
      <c r="G1046" s="473"/>
      <c r="H1046" s="1164"/>
      <c r="I1046" s="473"/>
      <c r="J1046" s="473"/>
      <c r="K1046" s="1164"/>
      <c r="L1046" s="473"/>
      <c r="M1046" s="473"/>
      <c r="N1046" s="1164"/>
      <c r="O1046" s="473"/>
      <c r="P1046" s="473"/>
      <c r="Q1046" s="1164"/>
      <c r="R1046" s="473"/>
      <c r="S1046" s="473"/>
      <c r="T1046" s="1164"/>
      <c r="U1046" s="1164"/>
      <c r="V1046" s="473"/>
      <c r="W1046" s="473"/>
      <c r="X1046" s="1164"/>
      <c r="Y1046" s="473"/>
      <c r="Z1046" s="473"/>
      <c r="AA1046" s="1164"/>
      <c r="AB1046" s="473"/>
      <c r="AC1046" s="1164"/>
      <c r="AD1046" s="473"/>
      <c r="AE1046" s="1164"/>
      <c r="AF1046" s="473"/>
      <c r="AG1046" s="1164"/>
      <c r="AH1046" s="473"/>
      <c r="AI1046" s="473"/>
      <c r="AJ1046" s="1164"/>
      <c r="AK1046" s="473"/>
      <c r="AL1046" s="473"/>
      <c r="AM1046" s="1164"/>
      <c r="AN1046" s="473"/>
      <c r="AO1046" s="473"/>
      <c r="AP1046" s="1164"/>
      <c r="AQ1046" s="473"/>
      <c r="AR1046" s="473"/>
      <c r="AS1046" s="1236"/>
      <c r="AT1046" s="473"/>
      <c r="AU1046" s="473"/>
      <c r="AV1046" s="1164"/>
      <c r="AW1046" s="1164"/>
      <c r="AX1046" s="1236"/>
      <c r="AY1046" s="473"/>
      <c r="AZ1046" s="1236"/>
      <c r="BA1046" s="473"/>
      <c r="BB1046" s="473"/>
      <c r="BC1046" s="1164"/>
      <c r="BD1046" s="20"/>
      <c r="BE1046" s="473"/>
      <c r="BF1046" s="610"/>
      <c r="BG1046" s="610"/>
      <c r="BH1046" s="610"/>
      <c r="BI1046" s="610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</row>
    <row r="1047" spans="1:148" s="22" customFormat="1" x14ac:dyDescent="0.25">
      <c r="A1047" s="20"/>
      <c r="B1047" s="16"/>
      <c r="C1047" s="473"/>
      <c r="D1047" s="473"/>
      <c r="E1047" s="1164"/>
      <c r="F1047" s="473"/>
      <c r="G1047" s="473"/>
      <c r="H1047" s="1164"/>
      <c r="I1047" s="473"/>
      <c r="J1047" s="473"/>
      <c r="K1047" s="1164"/>
      <c r="L1047" s="473"/>
      <c r="M1047" s="473"/>
      <c r="N1047" s="1164"/>
      <c r="O1047" s="473"/>
      <c r="P1047" s="473"/>
      <c r="Q1047" s="1164"/>
      <c r="R1047" s="473"/>
      <c r="S1047" s="473"/>
      <c r="T1047" s="1164"/>
      <c r="U1047" s="1164"/>
      <c r="V1047" s="473"/>
      <c r="W1047" s="473"/>
      <c r="X1047" s="1164"/>
      <c r="Y1047" s="473"/>
      <c r="Z1047" s="473"/>
      <c r="AA1047" s="1164"/>
      <c r="AB1047" s="473"/>
      <c r="AC1047" s="1164"/>
      <c r="AD1047" s="473"/>
      <c r="AE1047" s="1164"/>
      <c r="AF1047" s="473"/>
      <c r="AG1047" s="1164"/>
      <c r="AH1047" s="473"/>
      <c r="AI1047" s="473"/>
      <c r="AJ1047" s="1164"/>
      <c r="AK1047" s="473"/>
      <c r="AL1047" s="473"/>
      <c r="AM1047" s="1164"/>
      <c r="AN1047" s="473"/>
      <c r="AO1047" s="473"/>
      <c r="AP1047" s="1164"/>
      <c r="AQ1047" s="473"/>
      <c r="AR1047" s="473"/>
      <c r="AS1047" s="1236"/>
      <c r="AT1047" s="473"/>
      <c r="AU1047" s="473"/>
      <c r="AV1047" s="1164"/>
      <c r="AW1047" s="1164"/>
      <c r="AX1047" s="1236"/>
      <c r="AY1047" s="473"/>
      <c r="AZ1047" s="1236"/>
      <c r="BA1047" s="473"/>
      <c r="BB1047" s="473"/>
      <c r="BC1047" s="1164"/>
      <c r="BD1047" s="20"/>
      <c r="BE1047" s="473"/>
      <c r="BF1047" s="610"/>
      <c r="BG1047" s="610"/>
      <c r="BH1047" s="610"/>
      <c r="BI1047" s="610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</row>
    <row r="1048" spans="1:148" s="22" customFormat="1" x14ac:dyDescent="0.25">
      <c r="A1048" s="20"/>
      <c r="B1048" s="16"/>
      <c r="C1048" s="473"/>
      <c r="D1048" s="473"/>
      <c r="E1048" s="1164"/>
      <c r="F1048" s="473"/>
      <c r="G1048" s="473"/>
      <c r="H1048" s="1164"/>
      <c r="I1048" s="473"/>
      <c r="J1048" s="473"/>
      <c r="K1048" s="1164"/>
      <c r="L1048" s="473"/>
      <c r="M1048" s="473"/>
      <c r="N1048" s="1164"/>
      <c r="O1048" s="473"/>
      <c r="P1048" s="473"/>
      <c r="Q1048" s="1164"/>
      <c r="R1048" s="473"/>
      <c r="S1048" s="473"/>
      <c r="T1048" s="1164"/>
      <c r="U1048" s="1164"/>
      <c r="V1048" s="473"/>
      <c r="W1048" s="473"/>
      <c r="X1048" s="1164"/>
      <c r="Y1048" s="473"/>
      <c r="Z1048" s="473"/>
      <c r="AA1048" s="1164"/>
      <c r="AB1048" s="473"/>
      <c r="AC1048" s="1164"/>
      <c r="AD1048" s="473"/>
      <c r="AE1048" s="1164"/>
      <c r="AF1048" s="473"/>
      <c r="AG1048" s="1164"/>
      <c r="AH1048" s="473"/>
      <c r="AI1048" s="473"/>
      <c r="AJ1048" s="1164"/>
      <c r="AK1048" s="473"/>
      <c r="AL1048" s="473"/>
      <c r="AM1048" s="1164"/>
      <c r="AN1048" s="473"/>
      <c r="AO1048" s="473"/>
      <c r="AP1048" s="1164"/>
      <c r="AQ1048" s="473"/>
      <c r="AR1048" s="473"/>
      <c r="AS1048" s="1236"/>
      <c r="AT1048" s="473"/>
      <c r="AU1048" s="473"/>
      <c r="AV1048" s="1164"/>
      <c r="AW1048" s="1164"/>
      <c r="AX1048" s="1236"/>
      <c r="AY1048" s="473"/>
      <c r="AZ1048" s="1236"/>
      <c r="BA1048" s="473"/>
      <c r="BB1048" s="473"/>
      <c r="BC1048" s="1164"/>
      <c r="BD1048" s="20"/>
      <c r="BE1048" s="473"/>
      <c r="BF1048" s="610"/>
      <c r="BG1048" s="610"/>
      <c r="BH1048" s="610"/>
      <c r="BI1048" s="610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</row>
    <row r="1049" spans="1:148" s="22" customFormat="1" x14ac:dyDescent="0.25">
      <c r="A1049" s="20"/>
      <c r="B1049" s="16"/>
      <c r="C1049" s="473"/>
      <c r="D1049" s="473"/>
      <c r="E1049" s="1164"/>
      <c r="F1049" s="473"/>
      <c r="G1049" s="473"/>
      <c r="H1049" s="1164"/>
      <c r="I1049" s="473"/>
      <c r="J1049" s="473"/>
      <c r="K1049" s="1164"/>
      <c r="L1049" s="473"/>
      <c r="M1049" s="473"/>
      <c r="N1049" s="1164"/>
      <c r="O1049" s="473"/>
      <c r="P1049" s="473"/>
      <c r="Q1049" s="1164"/>
      <c r="R1049" s="473"/>
      <c r="S1049" s="473"/>
      <c r="T1049" s="1164"/>
      <c r="U1049" s="1164"/>
      <c r="V1049" s="473"/>
      <c r="W1049" s="473"/>
      <c r="X1049" s="1164"/>
      <c r="Y1049" s="473"/>
      <c r="Z1049" s="473"/>
      <c r="AA1049" s="1164"/>
      <c r="AB1049" s="473"/>
      <c r="AC1049" s="1164"/>
      <c r="AD1049" s="473"/>
      <c r="AE1049" s="1164"/>
      <c r="AF1049" s="473"/>
      <c r="AG1049" s="1164"/>
      <c r="AH1049" s="473"/>
      <c r="AI1049" s="473"/>
      <c r="AJ1049" s="1164"/>
      <c r="AK1049" s="473"/>
      <c r="AL1049" s="473"/>
      <c r="AM1049" s="1164"/>
      <c r="AN1049" s="473"/>
      <c r="AO1049" s="473"/>
      <c r="AP1049" s="1164"/>
      <c r="AQ1049" s="473"/>
      <c r="AR1049" s="473"/>
      <c r="AS1049" s="1236"/>
      <c r="AT1049" s="473"/>
      <c r="AU1049" s="473"/>
      <c r="AV1049" s="1164"/>
      <c r="AW1049" s="1164"/>
      <c r="AX1049" s="1236"/>
      <c r="AY1049" s="473"/>
      <c r="AZ1049" s="1236"/>
      <c r="BA1049" s="473"/>
      <c r="BB1049" s="473"/>
      <c r="BC1049" s="1164"/>
      <c r="BD1049" s="20"/>
      <c r="BE1049" s="473"/>
      <c r="BF1049" s="610"/>
      <c r="BG1049" s="610"/>
      <c r="BH1049" s="610"/>
      <c r="BI1049" s="610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</row>
    <row r="1050" spans="1:148" s="22" customFormat="1" x14ac:dyDescent="0.25">
      <c r="A1050" s="20"/>
      <c r="B1050" s="16"/>
      <c r="C1050" s="473"/>
      <c r="D1050" s="473"/>
      <c r="E1050" s="1164"/>
      <c r="F1050" s="473"/>
      <c r="G1050" s="473"/>
      <c r="H1050" s="1164"/>
      <c r="I1050" s="473"/>
      <c r="J1050" s="473"/>
      <c r="K1050" s="1164"/>
      <c r="L1050" s="473"/>
      <c r="M1050" s="473"/>
      <c r="N1050" s="1164"/>
      <c r="O1050" s="473"/>
      <c r="P1050" s="473"/>
      <c r="Q1050" s="1164"/>
      <c r="R1050" s="473"/>
      <c r="S1050" s="473"/>
      <c r="T1050" s="1164"/>
      <c r="U1050" s="1164"/>
      <c r="V1050" s="473"/>
      <c r="W1050" s="473"/>
      <c r="X1050" s="1164"/>
      <c r="Y1050" s="473"/>
      <c r="Z1050" s="473"/>
      <c r="AA1050" s="1164"/>
      <c r="AB1050" s="473"/>
      <c r="AC1050" s="1164"/>
      <c r="AD1050" s="473"/>
      <c r="AE1050" s="1164"/>
      <c r="AF1050" s="473"/>
      <c r="AG1050" s="1164"/>
      <c r="AH1050" s="473"/>
      <c r="AI1050" s="473"/>
      <c r="AJ1050" s="1164"/>
      <c r="AK1050" s="473"/>
      <c r="AL1050" s="473"/>
      <c r="AM1050" s="1164"/>
      <c r="AN1050" s="473"/>
      <c r="AO1050" s="473"/>
      <c r="AP1050" s="1164"/>
      <c r="AQ1050" s="473"/>
      <c r="AR1050" s="473"/>
      <c r="AS1050" s="1236"/>
      <c r="AT1050" s="473"/>
      <c r="AU1050" s="473"/>
      <c r="AV1050" s="1164"/>
      <c r="AW1050" s="1164"/>
      <c r="AX1050" s="1236"/>
      <c r="AY1050" s="473"/>
      <c r="AZ1050" s="1236"/>
      <c r="BA1050" s="473"/>
      <c r="BB1050" s="473"/>
      <c r="BC1050" s="1164"/>
      <c r="BD1050" s="20"/>
      <c r="BE1050" s="473"/>
      <c r="BF1050" s="610"/>
      <c r="BG1050" s="610"/>
      <c r="BH1050" s="610"/>
      <c r="BI1050" s="610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</row>
    <row r="1051" spans="1:148" s="22" customFormat="1" x14ac:dyDescent="0.25">
      <c r="A1051" s="20"/>
      <c r="B1051" s="16"/>
      <c r="C1051" s="473"/>
      <c r="D1051" s="473"/>
      <c r="E1051" s="1164"/>
      <c r="F1051" s="473"/>
      <c r="G1051" s="473"/>
      <c r="H1051" s="1164"/>
      <c r="I1051" s="473"/>
      <c r="J1051" s="473"/>
      <c r="K1051" s="1164"/>
      <c r="L1051" s="473"/>
      <c r="M1051" s="473"/>
      <c r="N1051" s="1164"/>
      <c r="O1051" s="473"/>
      <c r="P1051" s="473"/>
      <c r="Q1051" s="1164"/>
      <c r="R1051" s="473"/>
      <c r="S1051" s="473"/>
      <c r="T1051" s="1164"/>
      <c r="U1051" s="1164"/>
      <c r="V1051" s="473"/>
      <c r="W1051" s="473"/>
      <c r="X1051" s="1164"/>
      <c r="Y1051" s="473"/>
      <c r="Z1051" s="473"/>
      <c r="AA1051" s="1164"/>
      <c r="AB1051" s="473"/>
      <c r="AC1051" s="1164"/>
      <c r="AD1051" s="473"/>
      <c r="AE1051" s="1164"/>
      <c r="AF1051" s="473"/>
      <c r="AG1051" s="1164"/>
      <c r="AH1051" s="473"/>
      <c r="AI1051" s="473"/>
      <c r="AJ1051" s="1164"/>
      <c r="AK1051" s="473"/>
      <c r="AL1051" s="473"/>
      <c r="AM1051" s="1164"/>
      <c r="AN1051" s="473"/>
      <c r="AO1051" s="473"/>
      <c r="AP1051" s="1164"/>
      <c r="AQ1051" s="473"/>
      <c r="AR1051" s="473"/>
      <c r="AS1051" s="1236"/>
      <c r="AT1051" s="473"/>
      <c r="AU1051" s="473"/>
      <c r="AV1051" s="1164"/>
      <c r="AW1051" s="1164"/>
      <c r="AX1051" s="1236"/>
      <c r="AY1051" s="473"/>
      <c r="AZ1051" s="1236"/>
      <c r="BA1051" s="473"/>
      <c r="BB1051" s="473"/>
      <c r="BC1051" s="1164"/>
      <c r="BD1051" s="20"/>
      <c r="BE1051" s="473"/>
      <c r="BF1051" s="610"/>
      <c r="BG1051" s="610"/>
      <c r="BH1051" s="610"/>
      <c r="BI1051" s="610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</row>
    <row r="1052" spans="1:148" s="22" customFormat="1" x14ac:dyDescent="0.25">
      <c r="A1052" s="20"/>
      <c r="B1052" s="16"/>
      <c r="C1052" s="473"/>
      <c r="D1052" s="473"/>
      <c r="E1052" s="1164"/>
      <c r="F1052" s="473"/>
      <c r="G1052" s="473"/>
      <c r="H1052" s="1164"/>
      <c r="I1052" s="473"/>
      <c r="J1052" s="473"/>
      <c r="K1052" s="1164"/>
      <c r="L1052" s="473"/>
      <c r="M1052" s="473"/>
      <c r="N1052" s="1164"/>
      <c r="O1052" s="473"/>
      <c r="P1052" s="473"/>
      <c r="Q1052" s="1164"/>
      <c r="R1052" s="473"/>
      <c r="S1052" s="473"/>
      <c r="T1052" s="1164"/>
      <c r="U1052" s="1164"/>
      <c r="V1052" s="473"/>
      <c r="W1052" s="473"/>
      <c r="X1052" s="1164"/>
      <c r="Y1052" s="473"/>
      <c r="Z1052" s="473"/>
      <c r="AA1052" s="1164"/>
      <c r="AB1052" s="473"/>
      <c r="AC1052" s="1164"/>
      <c r="AD1052" s="473"/>
      <c r="AE1052" s="1164"/>
      <c r="AF1052" s="473"/>
      <c r="AG1052" s="1164"/>
      <c r="AH1052" s="473"/>
      <c r="AI1052" s="473"/>
      <c r="AJ1052" s="1164"/>
      <c r="AK1052" s="473"/>
      <c r="AL1052" s="473"/>
      <c r="AM1052" s="1164"/>
      <c r="AN1052" s="473"/>
      <c r="AO1052" s="473"/>
      <c r="AP1052" s="1164"/>
      <c r="AQ1052" s="473"/>
      <c r="AR1052" s="473"/>
      <c r="AS1052" s="1236"/>
      <c r="AT1052" s="473"/>
      <c r="AU1052" s="473"/>
      <c r="AV1052" s="1164"/>
      <c r="AW1052" s="1164"/>
      <c r="AX1052" s="1236"/>
      <c r="AY1052" s="473"/>
      <c r="AZ1052" s="1236"/>
      <c r="BA1052" s="473"/>
      <c r="BB1052" s="473"/>
      <c r="BC1052" s="1164"/>
      <c r="BD1052" s="20"/>
      <c r="BE1052" s="473"/>
      <c r="BF1052" s="610"/>
      <c r="BG1052" s="610"/>
      <c r="BH1052" s="610"/>
      <c r="BI1052" s="610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</row>
    <row r="1053" spans="1:148" s="22" customFormat="1" x14ac:dyDescent="0.25">
      <c r="A1053" s="20"/>
      <c r="B1053" s="16"/>
      <c r="C1053" s="473"/>
      <c r="D1053" s="473"/>
      <c r="E1053" s="1164"/>
      <c r="F1053" s="473"/>
      <c r="G1053" s="473"/>
      <c r="H1053" s="1164"/>
      <c r="I1053" s="473"/>
      <c r="J1053" s="473"/>
      <c r="K1053" s="1164"/>
      <c r="L1053" s="473"/>
      <c r="M1053" s="473"/>
      <c r="N1053" s="1164"/>
      <c r="O1053" s="473"/>
      <c r="P1053" s="473"/>
      <c r="Q1053" s="1164"/>
      <c r="R1053" s="473"/>
      <c r="S1053" s="473"/>
      <c r="T1053" s="1164"/>
      <c r="U1053" s="1164"/>
      <c r="V1053" s="473"/>
      <c r="W1053" s="473"/>
      <c r="X1053" s="1164"/>
      <c r="Y1053" s="473"/>
      <c r="Z1053" s="473"/>
      <c r="AA1053" s="1164"/>
      <c r="AB1053" s="473"/>
      <c r="AC1053" s="1164"/>
      <c r="AD1053" s="473"/>
      <c r="AE1053" s="1164"/>
      <c r="AF1053" s="473"/>
      <c r="AG1053" s="1164"/>
      <c r="AH1053" s="473"/>
      <c r="AI1053" s="473"/>
      <c r="AJ1053" s="1164"/>
      <c r="AK1053" s="473"/>
      <c r="AL1053" s="473"/>
      <c r="AM1053" s="1164"/>
      <c r="AN1053" s="473"/>
      <c r="AO1053" s="473"/>
      <c r="AP1053" s="1164"/>
      <c r="AQ1053" s="473"/>
      <c r="AR1053" s="473"/>
      <c r="AS1053" s="1236"/>
      <c r="AT1053" s="473"/>
      <c r="AU1053" s="473"/>
      <c r="AV1053" s="1164"/>
      <c r="AW1053" s="1164"/>
      <c r="AX1053" s="1236"/>
      <c r="AY1053" s="473"/>
      <c r="AZ1053" s="1236"/>
      <c r="BA1053" s="473"/>
      <c r="BB1053" s="473"/>
      <c r="BC1053" s="1164"/>
      <c r="BD1053" s="20"/>
      <c r="BE1053" s="473"/>
      <c r="BF1053" s="610"/>
      <c r="BG1053" s="610"/>
      <c r="BH1053" s="610"/>
      <c r="BI1053" s="610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</row>
    <row r="1054" spans="1:148" s="22" customFormat="1" x14ac:dyDescent="0.25">
      <c r="A1054" s="20"/>
      <c r="B1054" s="16"/>
      <c r="C1054" s="473"/>
      <c r="D1054" s="473"/>
      <c r="E1054" s="1164"/>
      <c r="F1054" s="473"/>
      <c r="G1054" s="473"/>
      <c r="H1054" s="1164"/>
      <c r="I1054" s="473"/>
      <c r="J1054" s="473"/>
      <c r="K1054" s="1164"/>
      <c r="L1054" s="473"/>
      <c r="M1054" s="473"/>
      <c r="N1054" s="1164"/>
      <c r="O1054" s="473"/>
      <c r="P1054" s="473"/>
      <c r="Q1054" s="1164"/>
      <c r="R1054" s="473"/>
      <c r="S1054" s="473"/>
      <c r="T1054" s="1164"/>
      <c r="U1054" s="1164"/>
      <c r="V1054" s="473"/>
      <c r="W1054" s="473"/>
      <c r="X1054" s="1164"/>
      <c r="Y1054" s="473"/>
      <c r="Z1054" s="473"/>
      <c r="AA1054" s="1164"/>
      <c r="AB1054" s="473"/>
      <c r="AC1054" s="1164"/>
      <c r="AD1054" s="473"/>
      <c r="AE1054" s="1164"/>
      <c r="AF1054" s="473"/>
      <c r="AG1054" s="1164"/>
      <c r="AH1054" s="473"/>
      <c r="AI1054" s="473"/>
      <c r="AJ1054" s="1164"/>
      <c r="AK1054" s="473"/>
      <c r="AL1054" s="473"/>
      <c r="AM1054" s="1164"/>
      <c r="AN1054" s="473"/>
      <c r="AO1054" s="473"/>
      <c r="AP1054" s="1164"/>
      <c r="AQ1054" s="473"/>
      <c r="AR1054" s="473"/>
      <c r="AS1054" s="1236"/>
      <c r="AT1054" s="473"/>
      <c r="AU1054" s="473"/>
      <c r="AV1054" s="1164"/>
      <c r="AW1054" s="1164"/>
      <c r="AX1054" s="1236"/>
      <c r="AY1054" s="473"/>
      <c r="AZ1054" s="1236"/>
      <c r="BA1054" s="473"/>
      <c r="BB1054" s="473"/>
      <c r="BC1054" s="1164"/>
      <c r="BD1054" s="20"/>
      <c r="BE1054" s="473"/>
      <c r="BF1054" s="610"/>
      <c r="BG1054" s="610"/>
      <c r="BH1054" s="610"/>
      <c r="BI1054" s="610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</row>
    <row r="1055" spans="1:148" s="22" customFormat="1" x14ac:dyDescent="0.25">
      <c r="A1055" s="20"/>
      <c r="B1055" s="16"/>
      <c r="C1055" s="473"/>
      <c r="D1055" s="473"/>
      <c r="E1055" s="1164"/>
      <c r="F1055" s="473"/>
      <c r="G1055" s="473"/>
      <c r="H1055" s="1164"/>
      <c r="I1055" s="473"/>
      <c r="J1055" s="473"/>
      <c r="K1055" s="1164"/>
      <c r="L1055" s="473"/>
      <c r="M1055" s="473"/>
      <c r="N1055" s="1164"/>
      <c r="O1055" s="473"/>
      <c r="P1055" s="473"/>
      <c r="Q1055" s="1164"/>
      <c r="R1055" s="473"/>
      <c r="S1055" s="473"/>
      <c r="T1055" s="1164"/>
      <c r="U1055" s="1164"/>
      <c r="V1055" s="473"/>
      <c r="W1055" s="473"/>
      <c r="X1055" s="1164"/>
      <c r="Y1055" s="473"/>
      <c r="Z1055" s="473"/>
      <c r="AA1055" s="1164"/>
      <c r="AB1055" s="473"/>
      <c r="AC1055" s="1164"/>
      <c r="AD1055" s="473"/>
      <c r="AE1055" s="1164"/>
      <c r="AF1055" s="473"/>
      <c r="AG1055" s="1164"/>
      <c r="AH1055" s="473"/>
      <c r="AI1055" s="473"/>
      <c r="AJ1055" s="1164"/>
      <c r="AK1055" s="473"/>
      <c r="AL1055" s="473"/>
      <c r="AM1055" s="1164"/>
      <c r="AN1055" s="473"/>
      <c r="AO1055" s="473"/>
      <c r="AP1055" s="1164"/>
      <c r="AQ1055" s="473"/>
      <c r="AR1055" s="473"/>
      <c r="AS1055" s="1236"/>
      <c r="AT1055" s="473"/>
      <c r="AU1055" s="473"/>
      <c r="AV1055" s="1164"/>
      <c r="AW1055" s="1164"/>
      <c r="AX1055" s="1236"/>
      <c r="AY1055" s="473"/>
      <c r="AZ1055" s="1236"/>
      <c r="BA1055" s="473"/>
      <c r="BB1055" s="473"/>
      <c r="BC1055" s="1164"/>
      <c r="BD1055" s="20"/>
      <c r="BE1055" s="473"/>
      <c r="BF1055" s="610"/>
      <c r="BG1055" s="610"/>
      <c r="BH1055" s="610"/>
      <c r="BI1055" s="610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</row>
    <row r="1056" spans="1:148" s="22" customFormat="1" x14ac:dyDescent="0.25">
      <c r="A1056" s="20"/>
      <c r="B1056" s="16"/>
      <c r="C1056" s="473"/>
      <c r="D1056" s="473"/>
      <c r="E1056" s="1164"/>
      <c r="F1056" s="473"/>
      <c r="G1056" s="473"/>
      <c r="H1056" s="1164"/>
      <c r="I1056" s="473"/>
      <c r="J1056" s="473"/>
      <c r="K1056" s="1164"/>
      <c r="L1056" s="473"/>
      <c r="M1056" s="473"/>
      <c r="N1056" s="1164"/>
      <c r="O1056" s="473"/>
      <c r="P1056" s="473"/>
      <c r="Q1056" s="1164"/>
      <c r="R1056" s="473"/>
      <c r="S1056" s="473"/>
      <c r="T1056" s="1164"/>
      <c r="U1056" s="1164"/>
      <c r="V1056" s="473"/>
      <c r="W1056" s="473"/>
      <c r="X1056" s="1164"/>
      <c r="Y1056" s="473"/>
      <c r="Z1056" s="473"/>
      <c r="AA1056" s="1164"/>
      <c r="AB1056" s="473"/>
      <c r="AC1056" s="1164"/>
      <c r="AD1056" s="473"/>
      <c r="AE1056" s="1164"/>
      <c r="AF1056" s="473"/>
      <c r="AG1056" s="1164"/>
      <c r="AH1056" s="473"/>
      <c r="AI1056" s="473"/>
      <c r="AJ1056" s="1164"/>
      <c r="AK1056" s="473"/>
      <c r="AL1056" s="473"/>
      <c r="AM1056" s="1164"/>
      <c r="AN1056" s="473"/>
      <c r="AO1056" s="473"/>
      <c r="AP1056" s="1164"/>
      <c r="AQ1056" s="473"/>
      <c r="AR1056" s="473"/>
      <c r="AS1056" s="1236"/>
      <c r="AT1056" s="473"/>
      <c r="AU1056" s="473"/>
      <c r="AV1056" s="1164"/>
      <c r="AW1056" s="1164"/>
      <c r="AX1056" s="1236"/>
      <c r="AY1056" s="473"/>
      <c r="AZ1056" s="1236"/>
      <c r="BA1056" s="473"/>
      <c r="BB1056" s="473"/>
      <c r="BC1056" s="1164"/>
      <c r="BD1056" s="20"/>
      <c r="BE1056" s="473"/>
      <c r="BF1056" s="610"/>
      <c r="BG1056" s="610"/>
      <c r="BH1056" s="610"/>
      <c r="BI1056" s="610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</row>
    <row r="1057" spans="1:148" s="22" customFormat="1" x14ac:dyDescent="0.25">
      <c r="A1057" s="20"/>
      <c r="B1057" s="16"/>
      <c r="C1057" s="473"/>
      <c r="D1057" s="473"/>
      <c r="E1057" s="1164"/>
      <c r="F1057" s="473"/>
      <c r="G1057" s="473"/>
      <c r="H1057" s="1164"/>
      <c r="I1057" s="473"/>
      <c r="J1057" s="473"/>
      <c r="K1057" s="1164"/>
      <c r="L1057" s="473"/>
      <c r="M1057" s="473"/>
      <c r="N1057" s="1164"/>
      <c r="O1057" s="473"/>
      <c r="P1057" s="473"/>
      <c r="Q1057" s="1164"/>
      <c r="R1057" s="473"/>
      <c r="S1057" s="473"/>
      <c r="T1057" s="1164"/>
      <c r="U1057" s="1164"/>
      <c r="V1057" s="473"/>
      <c r="W1057" s="473"/>
      <c r="X1057" s="1164"/>
      <c r="Y1057" s="473"/>
      <c r="Z1057" s="473"/>
      <c r="AA1057" s="1164"/>
      <c r="AB1057" s="473"/>
      <c r="AC1057" s="1164"/>
      <c r="AD1057" s="473"/>
      <c r="AE1057" s="1164"/>
      <c r="AF1057" s="473"/>
      <c r="AG1057" s="1164"/>
      <c r="AH1057" s="473"/>
      <c r="AI1057" s="473"/>
      <c r="AJ1057" s="1164"/>
      <c r="AK1057" s="473"/>
      <c r="AL1057" s="473"/>
      <c r="AM1057" s="1164"/>
      <c r="AN1057" s="473"/>
      <c r="AO1057" s="473"/>
      <c r="AP1057" s="1164"/>
      <c r="AQ1057" s="473"/>
      <c r="AR1057" s="473"/>
      <c r="AS1057" s="1236"/>
      <c r="AT1057" s="473"/>
      <c r="AU1057" s="473"/>
      <c r="AV1057" s="1164"/>
      <c r="AW1057" s="1164"/>
      <c r="AX1057" s="1236"/>
      <c r="AY1057" s="473"/>
      <c r="AZ1057" s="1236"/>
      <c r="BA1057" s="473"/>
      <c r="BB1057" s="473"/>
      <c r="BC1057" s="1164"/>
      <c r="BD1057" s="20"/>
      <c r="BE1057" s="473"/>
      <c r="BF1057" s="610"/>
      <c r="BG1057" s="610"/>
      <c r="BH1057" s="610"/>
      <c r="BI1057" s="610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</row>
    <row r="1058" spans="1:148" s="22" customFormat="1" x14ac:dyDescent="0.25">
      <c r="A1058" s="20"/>
      <c r="B1058" s="16"/>
      <c r="C1058" s="473"/>
      <c r="D1058" s="473"/>
      <c r="E1058" s="1164"/>
      <c r="F1058" s="473"/>
      <c r="G1058" s="473"/>
      <c r="H1058" s="1164"/>
      <c r="I1058" s="473"/>
      <c r="J1058" s="473"/>
      <c r="K1058" s="1164"/>
      <c r="L1058" s="473"/>
      <c r="M1058" s="473"/>
      <c r="N1058" s="1164"/>
      <c r="O1058" s="473"/>
      <c r="P1058" s="473"/>
      <c r="Q1058" s="1164"/>
      <c r="R1058" s="473"/>
      <c r="S1058" s="473"/>
      <c r="T1058" s="1164"/>
      <c r="U1058" s="1164"/>
      <c r="V1058" s="473"/>
      <c r="W1058" s="473"/>
      <c r="X1058" s="1164"/>
      <c r="Y1058" s="473"/>
      <c r="Z1058" s="473"/>
      <c r="AA1058" s="1164"/>
      <c r="AB1058" s="473"/>
      <c r="AC1058" s="1164"/>
      <c r="AD1058" s="473"/>
      <c r="AE1058" s="1164"/>
      <c r="AF1058" s="473"/>
      <c r="AG1058" s="1164"/>
      <c r="AH1058" s="473"/>
      <c r="AI1058" s="473"/>
      <c r="AJ1058" s="1164"/>
      <c r="AK1058" s="473"/>
      <c r="AL1058" s="473"/>
      <c r="AM1058" s="1164"/>
      <c r="AN1058" s="473"/>
      <c r="AO1058" s="473"/>
      <c r="AP1058" s="1164"/>
      <c r="AQ1058" s="473"/>
      <c r="AR1058" s="473"/>
      <c r="AS1058" s="1236"/>
      <c r="AT1058" s="473"/>
      <c r="AU1058" s="473"/>
      <c r="AV1058" s="1164"/>
      <c r="AW1058" s="1164"/>
      <c r="AX1058" s="1236"/>
      <c r="AY1058" s="473"/>
      <c r="AZ1058" s="1236"/>
      <c r="BA1058" s="473"/>
      <c r="BB1058" s="473"/>
      <c r="BC1058" s="1164"/>
      <c r="BD1058" s="20"/>
      <c r="BE1058" s="473"/>
      <c r="BF1058" s="610"/>
      <c r="BG1058" s="610"/>
      <c r="BH1058" s="610"/>
      <c r="BI1058" s="610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</row>
    <row r="1059" spans="1:148" s="22" customFormat="1" x14ac:dyDescent="0.25">
      <c r="A1059" s="20"/>
      <c r="B1059" s="16"/>
      <c r="C1059" s="473"/>
      <c r="D1059" s="473"/>
      <c r="E1059" s="1164"/>
      <c r="F1059" s="473"/>
      <c r="G1059" s="473"/>
      <c r="H1059" s="1164"/>
      <c r="I1059" s="473"/>
      <c r="J1059" s="473"/>
      <c r="K1059" s="1164"/>
      <c r="L1059" s="473"/>
      <c r="M1059" s="473"/>
      <c r="N1059" s="1164"/>
      <c r="O1059" s="473"/>
      <c r="P1059" s="473"/>
      <c r="Q1059" s="1164"/>
      <c r="R1059" s="473"/>
      <c r="S1059" s="473"/>
      <c r="T1059" s="1164"/>
      <c r="U1059" s="1164"/>
      <c r="V1059" s="473"/>
      <c r="W1059" s="473"/>
      <c r="X1059" s="1164"/>
      <c r="Y1059" s="473"/>
      <c r="Z1059" s="473"/>
      <c r="AA1059" s="1164"/>
      <c r="AB1059" s="473"/>
      <c r="AC1059" s="1164"/>
      <c r="AD1059" s="473"/>
      <c r="AE1059" s="1164"/>
      <c r="AF1059" s="473"/>
      <c r="AG1059" s="1164"/>
      <c r="AH1059" s="473"/>
      <c r="AI1059" s="473"/>
      <c r="AJ1059" s="1164"/>
      <c r="AK1059" s="473"/>
      <c r="AL1059" s="473"/>
      <c r="AM1059" s="1164"/>
      <c r="AN1059" s="473"/>
      <c r="AO1059" s="473"/>
      <c r="AP1059" s="1164"/>
      <c r="AQ1059" s="473"/>
      <c r="AR1059" s="473"/>
      <c r="AS1059" s="1236"/>
      <c r="AT1059" s="473"/>
      <c r="AU1059" s="473"/>
      <c r="AV1059" s="1164"/>
      <c r="AW1059" s="1164"/>
      <c r="AX1059" s="1236"/>
      <c r="AY1059" s="473"/>
      <c r="AZ1059" s="1236"/>
      <c r="BA1059" s="473"/>
      <c r="BB1059" s="473"/>
      <c r="BC1059" s="1164"/>
      <c r="BD1059" s="20"/>
      <c r="BE1059" s="473"/>
      <c r="BF1059" s="610"/>
      <c r="BG1059" s="610"/>
      <c r="BH1059" s="610"/>
      <c r="BI1059" s="610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</row>
    <row r="1060" spans="1:148" s="22" customFormat="1" x14ac:dyDescent="0.25">
      <c r="A1060" s="20"/>
      <c r="B1060" s="16"/>
      <c r="C1060" s="473"/>
      <c r="D1060" s="473"/>
      <c r="E1060" s="1164"/>
      <c r="F1060" s="473"/>
      <c r="G1060" s="473"/>
      <c r="H1060" s="1164"/>
      <c r="I1060" s="473"/>
      <c r="J1060" s="473"/>
      <c r="K1060" s="1164"/>
      <c r="L1060" s="473"/>
      <c r="M1060" s="473"/>
      <c r="N1060" s="1164"/>
      <c r="O1060" s="473"/>
      <c r="P1060" s="473"/>
      <c r="Q1060" s="1164"/>
      <c r="R1060" s="473"/>
      <c r="S1060" s="473"/>
      <c r="T1060" s="1164"/>
      <c r="U1060" s="1164"/>
      <c r="V1060" s="473"/>
      <c r="W1060" s="473"/>
      <c r="X1060" s="1164"/>
      <c r="Y1060" s="473"/>
      <c r="Z1060" s="473"/>
      <c r="AA1060" s="1164"/>
      <c r="AB1060" s="473"/>
      <c r="AC1060" s="1164"/>
      <c r="AD1060" s="473"/>
      <c r="AE1060" s="1164"/>
      <c r="AF1060" s="473"/>
      <c r="AG1060" s="1164"/>
      <c r="AH1060" s="473"/>
      <c r="AI1060" s="473"/>
      <c r="AJ1060" s="1164"/>
      <c r="AK1060" s="473"/>
      <c r="AL1060" s="473"/>
      <c r="AM1060" s="1164"/>
      <c r="AN1060" s="473"/>
      <c r="AO1060" s="473"/>
      <c r="AP1060" s="1164"/>
      <c r="AQ1060" s="473"/>
      <c r="AR1060" s="473"/>
      <c r="AS1060" s="1236"/>
      <c r="AT1060" s="473"/>
      <c r="AU1060" s="473"/>
      <c r="AV1060" s="1164"/>
      <c r="AW1060" s="1164"/>
      <c r="AX1060" s="1236"/>
      <c r="AY1060" s="473"/>
      <c r="AZ1060" s="1236"/>
      <c r="BA1060" s="473"/>
      <c r="BB1060" s="473"/>
      <c r="BC1060" s="1164"/>
      <c r="BD1060" s="20"/>
      <c r="BE1060" s="473"/>
      <c r="BF1060" s="610"/>
      <c r="BG1060" s="610"/>
      <c r="BH1060" s="610"/>
      <c r="BI1060" s="610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</row>
    <row r="1061" spans="1:148" s="22" customFormat="1" x14ac:dyDescent="0.25">
      <c r="A1061" s="20"/>
      <c r="B1061" s="16"/>
      <c r="C1061" s="473"/>
      <c r="D1061" s="473"/>
      <c r="E1061" s="1164"/>
      <c r="F1061" s="473"/>
      <c r="G1061" s="473"/>
      <c r="H1061" s="1164"/>
      <c r="I1061" s="473"/>
      <c r="J1061" s="473"/>
      <c r="K1061" s="1164"/>
      <c r="L1061" s="473"/>
      <c r="M1061" s="473"/>
      <c r="N1061" s="1164"/>
      <c r="O1061" s="473"/>
      <c r="P1061" s="473"/>
      <c r="Q1061" s="1164"/>
      <c r="R1061" s="473"/>
      <c r="S1061" s="473"/>
      <c r="T1061" s="1164"/>
      <c r="U1061" s="1164"/>
      <c r="V1061" s="473"/>
      <c r="W1061" s="473"/>
      <c r="X1061" s="1164"/>
      <c r="Y1061" s="473"/>
      <c r="Z1061" s="473"/>
      <c r="AA1061" s="1164"/>
      <c r="AB1061" s="473"/>
      <c r="AC1061" s="1164"/>
      <c r="AD1061" s="473"/>
      <c r="AE1061" s="1164"/>
      <c r="AF1061" s="473"/>
      <c r="AG1061" s="1164"/>
      <c r="AH1061" s="473"/>
      <c r="AI1061" s="473"/>
      <c r="AJ1061" s="1164"/>
      <c r="AK1061" s="473"/>
      <c r="AL1061" s="473"/>
      <c r="AM1061" s="1164"/>
      <c r="AN1061" s="473"/>
      <c r="AO1061" s="473"/>
      <c r="AP1061" s="1164"/>
      <c r="AQ1061" s="473"/>
      <c r="AR1061" s="473"/>
      <c r="AS1061" s="1236"/>
      <c r="AT1061" s="473"/>
      <c r="AU1061" s="473"/>
      <c r="AV1061" s="1164"/>
      <c r="AW1061" s="1164"/>
      <c r="AX1061" s="1236"/>
      <c r="AY1061" s="473"/>
      <c r="AZ1061" s="1236"/>
      <c r="BA1061" s="473"/>
      <c r="BB1061" s="473"/>
      <c r="BC1061" s="1164"/>
      <c r="BD1061" s="20"/>
      <c r="BE1061" s="473"/>
      <c r="BF1061" s="610"/>
      <c r="BG1061" s="610"/>
      <c r="BH1061" s="610"/>
      <c r="BI1061" s="610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</row>
    <row r="1062" spans="1:148" s="22" customFormat="1" x14ac:dyDescent="0.25">
      <c r="A1062" s="20"/>
      <c r="B1062" s="16"/>
      <c r="C1062" s="473"/>
      <c r="D1062" s="473"/>
      <c r="E1062" s="1164"/>
      <c r="F1062" s="473"/>
      <c r="G1062" s="473"/>
      <c r="H1062" s="1164"/>
      <c r="I1062" s="473"/>
      <c r="J1062" s="473"/>
      <c r="K1062" s="1164"/>
      <c r="L1062" s="473"/>
      <c r="M1062" s="473"/>
      <c r="N1062" s="1164"/>
      <c r="O1062" s="473"/>
      <c r="P1062" s="473"/>
      <c r="Q1062" s="1164"/>
      <c r="R1062" s="473"/>
      <c r="S1062" s="473"/>
      <c r="T1062" s="1164"/>
      <c r="U1062" s="1164"/>
      <c r="V1062" s="473"/>
      <c r="W1062" s="473"/>
      <c r="X1062" s="1164"/>
      <c r="Y1062" s="473"/>
      <c r="Z1062" s="473"/>
      <c r="AA1062" s="1164"/>
      <c r="AB1062" s="473"/>
      <c r="AC1062" s="1164"/>
      <c r="AD1062" s="473"/>
      <c r="AE1062" s="1164"/>
      <c r="AF1062" s="473"/>
      <c r="AG1062" s="1164"/>
      <c r="AH1062" s="473"/>
      <c r="AI1062" s="473"/>
      <c r="AJ1062" s="1164"/>
      <c r="AK1062" s="473"/>
      <c r="AL1062" s="473"/>
      <c r="AM1062" s="1164"/>
      <c r="AN1062" s="473"/>
      <c r="AO1062" s="473"/>
      <c r="AP1062" s="1164"/>
      <c r="AQ1062" s="473"/>
      <c r="AR1062" s="473"/>
      <c r="AS1062" s="1236"/>
      <c r="AT1062" s="473"/>
      <c r="AU1062" s="473"/>
      <c r="AV1062" s="1164"/>
      <c r="AW1062" s="1164"/>
      <c r="AX1062" s="1236"/>
      <c r="AY1062" s="473"/>
      <c r="AZ1062" s="1236"/>
      <c r="BA1062" s="473"/>
      <c r="BB1062" s="473"/>
      <c r="BC1062" s="1164"/>
      <c r="BD1062" s="20"/>
      <c r="BE1062" s="473"/>
      <c r="BF1062" s="610"/>
      <c r="BG1062" s="610"/>
      <c r="BH1062" s="610"/>
      <c r="BI1062" s="610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</row>
    <row r="1063" spans="1:148" s="22" customFormat="1" x14ac:dyDescent="0.25">
      <c r="A1063" s="20"/>
      <c r="B1063" s="16"/>
      <c r="C1063" s="473"/>
      <c r="D1063" s="473"/>
      <c r="E1063" s="1164"/>
      <c r="F1063" s="473"/>
      <c r="G1063" s="473"/>
      <c r="H1063" s="1164"/>
      <c r="I1063" s="473"/>
      <c r="J1063" s="473"/>
      <c r="K1063" s="1164"/>
      <c r="L1063" s="473"/>
      <c r="M1063" s="473"/>
      <c r="N1063" s="1164"/>
      <c r="O1063" s="473"/>
      <c r="P1063" s="473"/>
      <c r="Q1063" s="1164"/>
      <c r="R1063" s="473"/>
      <c r="S1063" s="473"/>
      <c r="T1063" s="1164"/>
      <c r="U1063" s="1164"/>
      <c r="V1063" s="473"/>
      <c r="W1063" s="473"/>
      <c r="X1063" s="1164"/>
      <c r="Y1063" s="473"/>
      <c r="Z1063" s="473"/>
      <c r="AA1063" s="1164"/>
      <c r="AB1063" s="473"/>
      <c r="AC1063" s="1164"/>
      <c r="AD1063" s="473"/>
      <c r="AE1063" s="1164"/>
      <c r="AF1063" s="473"/>
      <c r="AG1063" s="1164"/>
      <c r="AH1063" s="473"/>
      <c r="AI1063" s="473"/>
      <c r="AJ1063" s="1164"/>
      <c r="AK1063" s="473"/>
      <c r="AL1063" s="473"/>
      <c r="AM1063" s="1164"/>
      <c r="AN1063" s="473"/>
      <c r="AO1063" s="473"/>
      <c r="AP1063" s="1164"/>
      <c r="AQ1063" s="473"/>
      <c r="AR1063" s="473"/>
      <c r="AS1063" s="1236"/>
      <c r="AT1063" s="473"/>
      <c r="AU1063" s="473"/>
      <c r="AV1063" s="1164"/>
      <c r="AW1063" s="1164"/>
      <c r="AX1063" s="1236"/>
      <c r="AY1063" s="473"/>
      <c r="AZ1063" s="1236"/>
      <c r="BA1063" s="473"/>
      <c r="BB1063" s="473"/>
      <c r="BC1063" s="1164"/>
      <c r="BD1063" s="20"/>
      <c r="BE1063" s="473"/>
      <c r="BF1063" s="610"/>
      <c r="BG1063" s="610"/>
      <c r="BH1063" s="610"/>
      <c r="BI1063" s="610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</row>
    <row r="1064" spans="1:148" s="22" customFormat="1" x14ac:dyDescent="0.25">
      <c r="A1064" s="20"/>
      <c r="B1064" s="16"/>
      <c r="C1064" s="473"/>
      <c r="D1064" s="473"/>
      <c r="E1064" s="1164"/>
      <c r="F1064" s="473"/>
      <c r="G1064" s="473"/>
      <c r="H1064" s="1164"/>
      <c r="I1064" s="473"/>
      <c r="J1064" s="473"/>
      <c r="K1064" s="1164"/>
      <c r="L1064" s="473"/>
      <c r="M1064" s="473"/>
      <c r="N1064" s="1164"/>
      <c r="O1064" s="473"/>
      <c r="P1064" s="473"/>
      <c r="Q1064" s="1164"/>
      <c r="R1064" s="473"/>
      <c r="S1064" s="473"/>
      <c r="T1064" s="1164"/>
      <c r="U1064" s="1164"/>
      <c r="V1064" s="473"/>
      <c r="W1064" s="473"/>
      <c r="X1064" s="1164"/>
      <c r="Y1064" s="473"/>
      <c r="Z1064" s="473"/>
      <c r="AA1064" s="1164"/>
      <c r="AB1064" s="473"/>
      <c r="AC1064" s="1164"/>
      <c r="AD1064" s="473"/>
      <c r="AE1064" s="1164"/>
      <c r="AF1064" s="473"/>
      <c r="AG1064" s="1164"/>
      <c r="AH1064" s="473"/>
      <c r="AI1064" s="473"/>
      <c r="AJ1064" s="1164"/>
      <c r="AK1064" s="473"/>
      <c r="AL1064" s="473"/>
      <c r="AM1064" s="1164"/>
      <c r="AN1064" s="473"/>
      <c r="AO1064" s="473"/>
      <c r="AP1064" s="1164"/>
      <c r="AQ1064" s="473"/>
      <c r="AR1064" s="473"/>
      <c r="AS1064" s="1236"/>
      <c r="AT1064" s="473"/>
      <c r="AU1064" s="473"/>
      <c r="AV1064" s="1164"/>
      <c r="AW1064" s="1164"/>
      <c r="AX1064" s="1236"/>
      <c r="AY1064" s="473"/>
      <c r="AZ1064" s="1236"/>
      <c r="BA1064" s="473"/>
      <c r="BB1064" s="473"/>
      <c r="BC1064" s="1164"/>
      <c r="BD1064" s="20"/>
      <c r="BE1064" s="473"/>
      <c r="BF1064" s="610"/>
      <c r="BG1064" s="610"/>
      <c r="BH1064" s="610"/>
      <c r="BI1064" s="610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</row>
    <row r="1065" spans="1:148" s="22" customFormat="1" x14ac:dyDescent="0.25">
      <c r="A1065" s="20"/>
      <c r="B1065" s="16"/>
      <c r="C1065" s="473"/>
      <c r="D1065" s="473"/>
      <c r="E1065" s="1164"/>
      <c r="F1065" s="473"/>
      <c r="G1065" s="473"/>
      <c r="H1065" s="1164"/>
      <c r="I1065" s="473"/>
      <c r="J1065" s="473"/>
      <c r="K1065" s="1164"/>
      <c r="L1065" s="473"/>
      <c r="M1065" s="473"/>
      <c r="N1065" s="1164"/>
      <c r="O1065" s="473"/>
      <c r="P1065" s="473"/>
      <c r="Q1065" s="1164"/>
      <c r="R1065" s="473"/>
      <c r="S1065" s="473"/>
      <c r="T1065" s="1164"/>
      <c r="U1065" s="1164"/>
      <c r="V1065" s="473"/>
      <c r="W1065" s="473"/>
      <c r="X1065" s="1164"/>
      <c r="Y1065" s="473"/>
      <c r="Z1065" s="473"/>
      <c r="AA1065" s="1164"/>
      <c r="AB1065" s="473"/>
      <c r="AC1065" s="1164"/>
      <c r="AD1065" s="473"/>
      <c r="AE1065" s="1164"/>
      <c r="AF1065" s="473"/>
      <c r="AG1065" s="1164"/>
      <c r="AH1065" s="473"/>
      <c r="AI1065" s="473"/>
      <c r="AJ1065" s="1164"/>
      <c r="AK1065" s="473"/>
      <c r="AL1065" s="473"/>
      <c r="AM1065" s="1164"/>
      <c r="AN1065" s="473"/>
      <c r="AO1065" s="473"/>
      <c r="AP1065" s="1164"/>
      <c r="AQ1065" s="473"/>
      <c r="AR1065" s="473"/>
      <c r="AS1065" s="1236"/>
      <c r="AT1065" s="473"/>
      <c r="AU1065" s="473"/>
      <c r="AV1065" s="1164"/>
      <c r="AW1065" s="1164"/>
      <c r="AX1065" s="1236"/>
      <c r="AY1065" s="473"/>
      <c r="AZ1065" s="1236"/>
      <c r="BA1065" s="473"/>
      <c r="BB1065" s="473"/>
      <c r="BC1065" s="1164"/>
      <c r="BD1065" s="20"/>
      <c r="BE1065" s="473"/>
      <c r="BF1065" s="610"/>
      <c r="BG1065" s="610"/>
      <c r="BH1065" s="610"/>
      <c r="BI1065" s="610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</row>
    <row r="1066" spans="1:148" s="22" customFormat="1" x14ac:dyDescent="0.25">
      <c r="A1066" s="20"/>
      <c r="B1066" s="16"/>
      <c r="C1066" s="473"/>
      <c r="D1066" s="473"/>
      <c r="E1066" s="1164"/>
      <c r="F1066" s="473"/>
      <c r="G1066" s="473"/>
      <c r="H1066" s="1164"/>
      <c r="I1066" s="473"/>
      <c r="J1066" s="473"/>
      <c r="K1066" s="1164"/>
      <c r="L1066" s="473"/>
      <c r="M1066" s="473"/>
      <c r="N1066" s="1164"/>
      <c r="O1066" s="473"/>
      <c r="P1066" s="473"/>
      <c r="Q1066" s="1164"/>
      <c r="R1066" s="473"/>
      <c r="S1066" s="473"/>
      <c r="T1066" s="1164"/>
      <c r="U1066" s="1164"/>
      <c r="V1066" s="473"/>
      <c r="W1066" s="473"/>
      <c r="X1066" s="1164"/>
      <c r="Y1066" s="473"/>
      <c r="Z1066" s="473"/>
      <c r="AA1066" s="1164"/>
      <c r="AB1066" s="473"/>
      <c r="AC1066" s="1164"/>
      <c r="AD1066" s="473"/>
      <c r="AE1066" s="1164"/>
      <c r="AF1066" s="473"/>
      <c r="AG1066" s="1164"/>
      <c r="AH1066" s="473"/>
      <c r="AI1066" s="473"/>
      <c r="AJ1066" s="1164"/>
      <c r="AK1066" s="473"/>
      <c r="AL1066" s="473"/>
      <c r="AM1066" s="1164"/>
      <c r="AN1066" s="473"/>
      <c r="AO1066" s="473"/>
      <c r="AP1066" s="1164"/>
      <c r="AQ1066" s="473"/>
      <c r="AR1066" s="473"/>
      <c r="AS1066" s="1236"/>
      <c r="AT1066" s="473"/>
      <c r="AU1066" s="473"/>
      <c r="AV1066" s="1164"/>
      <c r="AW1066" s="1164"/>
      <c r="AX1066" s="1236"/>
      <c r="AY1066" s="473"/>
      <c r="AZ1066" s="1236"/>
      <c r="BA1066" s="473"/>
      <c r="BB1066" s="473"/>
      <c r="BC1066" s="1164"/>
      <c r="BD1066" s="20"/>
      <c r="BE1066" s="473"/>
      <c r="BF1066" s="610"/>
      <c r="BG1066" s="610"/>
      <c r="BH1066" s="610"/>
      <c r="BI1066" s="610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</row>
    <row r="1067" spans="1:148" s="22" customFormat="1" x14ac:dyDescent="0.25">
      <c r="A1067" s="20"/>
      <c r="B1067" s="16"/>
      <c r="C1067" s="473"/>
      <c r="D1067" s="473"/>
      <c r="E1067" s="1164"/>
      <c r="F1067" s="473"/>
      <c r="G1067" s="473"/>
      <c r="H1067" s="1164"/>
      <c r="I1067" s="473"/>
      <c r="J1067" s="473"/>
      <c r="K1067" s="1164"/>
      <c r="L1067" s="473"/>
      <c r="M1067" s="473"/>
      <c r="N1067" s="1164"/>
      <c r="O1067" s="473"/>
      <c r="P1067" s="473"/>
      <c r="Q1067" s="1164"/>
      <c r="R1067" s="473"/>
      <c r="S1067" s="473"/>
      <c r="T1067" s="1164"/>
      <c r="U1067" s="1164"/>
      <c r="V1067" s="473"/>
      <c r="W1067" s="473"/>
      <c r="X1067" s="1164"/>
      <c r="Y1067" s="473"/>
      <c r="Z1067" s="473"/>
      <c r="AA1067" s="1164"/>
      <c r="AB1067" s="473"/>
      <c r="AC1067" s="1164"/>
      <c r="AD1067" s="473"/>
      <c r="AE1067" s="1164"/>
      <c r="AF1067" s="473"/>
      <c r="AG1067" s="1164"/>
      <c r="AH1067" s="473"/>
      <c r="AI1067" s="473"/>
      <c r="AJ1067" s="1164"/>
      <c r="AK1067" s="473"/>
      <c r="AL1067" s="473"/>
      <c r="AM1067" s="1164"/>
      <c r="AN1067" s="473"/>
      <c r="AO1067" s="473"/>
      <c r="AP1067" s="1164"/>
      <c r="AQ1067" s="473"/>
      <c r="AR1067" s="473"/>
      <c r="AS1067" s="1236"/>
      <c r="AT1067" s="473"/>
      <c r="AU1067" s="473"/>
      <c r="AV1067" s="1164"/>
      <c r="AW1067" s="1164"/>
      <c r="AX1067" s="1236"/>
      <c r="AY1067" s="473"/>
      <c r="AZ1067" s="1236"/>
      <c r="BA1067" s="473"/>
      <c r="BB1067" s="473"/>
      <c r="BC1067" s="1164"/>
      <c r="BD1067" s="20"/>
      <c r="BE1067" s="473"/>
      <c r="BF1067" s="610"/>
      <c r="BG1067" s="610"/>
      <c r="BH1067" s="610"/>
      <c r="BI1067" s="610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</row>
    <row r="1068" spans="1:148" s="22" customFormat="1" x14ac:dyDescent="0.25">
      <c r="A1068" s="20"/>
      <c r="B1068" s="16"/>
      <c r="C1068" s="473"/>
      <c r="D1068" s="473"/>
      <c r="E1068" s="1164"/>
      <c r="F1068" s="473"/>
      <c r="G1068" s="473"/>
      <c r="H1068" s="1164"/>
      <c r="I1068" s="473"/>
      <c r="J1068" s="473"/>
      <c r="K1068" s="1164"/>
      <c r="L1068" s="473"/>
      <c r="M1068" s="473"/>
      <c r="N1068" s="1164"/>
      <c r="O1068" s="473"/>
      <c r="P1068" s="473"/>
      <c r="Q1068" s="1164"/>
      <c r="R1068" s="473"/>
      <c r="S1068" s="473"/>
      <c r="T1068" s="1164"/>
      <c r="U1068" s="1164"/>
      <c r="V1068" s="473"/>
      <c r="W1068" s="473"/>
      <c r="X1068" s="1164"/>
      <c r="Y1068" s="473"/>
      <c r="Z1068" s="473"/>
      <c r="AA1068" s="1164"/>
      <c r="AB1068" s="473"/>
      <c r="AC1068" s="1164"/>
      <c r="AD1068" s="473"/>
      <c r="AE1068" s="1164"/>
      <c r="AF1068" s="473"/>
      <c r="AG1068" s="1164"/>
      <c r="AH1068" s="473"/>
      <c r="AI1068" s="473"/>
      <c r="AJ1068" s="1164"/>
      <c r="AK1068" s="473"/>
      <c r="AL1068" s="473"/>
      <c r="AM1068" s="1164"/>
      <c r="AN1068" s="473"/>
      <c r="AO1068" s="473"/>
      <c r="AP1068" s="1164"/>
      <c r="AQ1068" s="473"/>
      <c r="AR1068" s="473"/>
      <c r="AS1068" s="1236"/>
      <c r="AT1068" s="473"/>
      <c r="AU1068" s="473"/>
      <c r="AV1068" s="1164"/>
      <c r="AW1068" s="1164"/>
      <c r="AX1068" s="1236"/>
      <c r="AY1068" s="473"/>
      <c r="AZ1068" s="1236"/>
      <c r="BA1068" s="473"/>
      <c r="BB1068" s="473"/>
      <c r="BC1068" s="1164"/>
      <c r="BD1068" s="20"/>
      <c r="BE1068" s="473"/>
      <c r="BF1068" s="610"/>
      <c r="BG1068" s="610"/>
      <c r="BH1068" s="610"/>
      <c r="BI1068" s="610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</row>
    <row r="1069" spans="1:148" s="22" customFormat="1" x14ac:dyDescent="0.25">
      <c r="A1069" s="20"/>
      <c r="B1069" s="16"/>
      <c r="C1069" s="473"/>
      <c r="D1069" s="473"/>
      <c r="E1069" s="1164"/>
      <c r="F1069" s="473"/>
      <c r="G1069" s="473"/>
      <c r="H1069" s="1164"/>
      <c r="I1069" s="473"/>
      <c r="J1069" s="473"/>
      <c r="K1069" s="1164"/>
      <c r="L1069" s="473"/>
      <c r="M1069" s="473"/>
      <c r="N1069" s="1164"/>
      <c r="O1069" s="473"/>
      <c r="P1069" s="473"/>
      <c r="Q1069" s="1164"/>
      <c r="R1069" s="473"/>
      <c r="S1069" s="473"/>
      <c r="T1069" s="1164"/>
      <c r="U1069" s="1164"/>
      <c r="V1069" s="473"/>
      <c r="W1069" s="473"/>
      <c r="X1069" s="1164"/>
      <c r="Y1069" s="473"/>
      <c r="Z1069" s="473"/>
      <c r="AA1069" s="1164"/>
      <c r="AB1069" s="473"/>
      <c r="AC1069" s="1164"/>
      <c r="AD1069" s="473"/>
      <c r="AE1069" s="1164"/>
      <c r="AF1069" s="473"/>
      <c r="AG1069" s="1164"/>
      <c r="AH1069" s="473"/>
      <c r="AI1069" s="473"/>
      <c r="AJ1069" s="1164"/>
      <c r="AK1069" s="473"/>
      <c r="AL1069" s="473"/>
      <c r="AM1069" s="1164"/>
      <c r="AN1069" s="473"/>
      <c r="AO1069" s="473"/>
      <c r="AP1069" s="1164"/>
      <c r="AQ1069" s="473"/>
      <c r="AR1069" s="473"/>
      <c r="AS1069" s="1236"/>
      <c r="AT1069" s="473"/>
      <c r="AU1069" s="473"/>
      <c r="AV1069" s="1164"/>
      <c r="AW1069" s="1164"/>
      <c r="AX1069" s="1236"/>
      <c r="AY1069" s="473"/>
      <c r="AZ1069" s="1236"/>
      <c r="BA1069" s="473"/>
      <c r="BB1069" s="473"/>
      <c r="BC1069" s="1164"/>
      <c r="BD1069" s="20"/>
      <c r="BE1069" s="473"/>
      <c r="BF1069" s="610"/>
      <c r="BG1069" s="610"/>
      <c r="BH1069" s="610"/>
      <c r="BI1069" s="610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</row>
    <row r="1070" spans="1:148" s="22" customFormat="1" x14ac:dyDescent="0.25">
      <c r="A1070" s="20"/>
      <c r="B1070" s="16"/>
      <c r="C1070" s="473"/>
      <c r="D1070" s="473"/>
      <c r="E1070" s="1164"/>
      <c r="F1070" s="473"/>
      <c r="G1070" s="473"/>
      <c r="H1070" s="1164"/>
      <c r="I1070" s="473"/>
      <c r="J1070" s="473"/>
      <c r="K1070" s="1164"/>
      <c r="L1070" s="473"/>
      <c r="M1070" s="473"/>
      <c r="N1070" s="1164"/>
      <c r="O1070" s="473"/>
      <c r="P1070" s="473"/>
      <c r="Q1070" s="1164"/>
      <c r="R1070" s="473"/>
      <c r="S1070" s="473"/>
      <c r="T1070" s="1164"/>
      <c r="U1070" s="1164"/>
      <c r="V1070" s="473"/>
      <c r="W1070" s="473"/>
      <c r="X1070" s="1164"/>
      <c r="Y1070" s="473"/>
      <c r="Z1070" s="473"/>
      <c r="AA1070" s="1164"/>
      <c r="AB1070" s="473"/>
      <c r="AC1070" s="1164"/>
      <c r="AD1070" s="473"/>
      <c r="AE1070" s="1164"/>
      <c r="AF1070" s="473"/>
      <c r="AG1070" s="1164"/>
      <c r="AH1070" s="473"/>
      <c r="AI1070" s="473"/>
      <c r="AJ1070" s="1164"/>
      <c r="AK1070" s="473"/>
      <c r="AL1070" s="473"/>
      <c r="AM1070" s="1164"/>
      <c r="AN1070" s="473"/>
      <c r="AO1070" s="473"/>
      <c r="AP1070" s="1164"/>
      <c r="AQ1070" s="473"/>
      <c r="AR1070" s="473"/>
      <c r="AS1070" s="1236"/>
      <c r="AT1070" s="473"/>
      <c r="AU1070" s="473"/>
      <c r="AV1070" s="1164"/>
      <c r="AW1070" s="1164"/>
      <c r="AX1070" s="1236"/>
      <c r="AY1070" s="473"/>
      <c r="AZ1070" s="1236"/>
      <c r="BA1070" s="473"/>
      <c r="BB1070" s="473"/>
      <c r="BC1070" s="1164"/>
      <c r="BD1070" s="20"/>
      <c r="BE1070" s="473"/>
      <c r="BF1070" s="610"/>
      <c r="BG1070" s="610"/>
      <c r="BH1070" s="610"/>
      <c r="BI1070" s="610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</row>
    <row r="1071" spans="1:148" s="22" customFormat="1" x14ac:dyDescent="0.25">
      <c r="A1071" s="20"/>
      <c r="B1071" s="16"/>
      <c r="C1071" s="473"/>
      <c r="D1071" s="473"/>
      <c r="E1071" s="1164"/>
      <c r="F1071" s="473"/>
      <c r="G1071" s="473"/>
      <c r="H1071" s="1164"/>
      <c r="I1071" s="473"/>
      <c r="J1071" s="473"/>
      <c r="K1071" s="1164"/>
      <c r="L1071" s="473"/>
      <c r="M1071" s="473"/>
      <c r="N1071" s="1164"/>
      <c r="O1071" s="473"/>
      <c r="P1071" s="473"/>
      <c r="Q1071" s="1164"/>
      <c r="R1071" s="473"/>
      <c r="S1071" s="473"/>
      <c r="T1071" s="1164"/>
      <c r="U1071" s="1164"/>
      <c r="V1071" s="473"/>
      <c r="W1071" s="473"/>
      <c r="X1071" s="1164"/>
      <c r="Y1071" s="473"/>
      <c r="Z1071" s="473"/>
      <c r="AA1071" s="1164"/>
      <c r="AB1071" s="473"/>
      <c r="AC1071" s="1164"/>
      <c r="AD1071" s="473"/>
      <c r="AE1071" s="1164"/>
      <c r="AF1071" s="473"/>
      <c r="AG1071" s="1164"/>
      <c r="AH1071" s="473"/>
      <c r="AI1071" s="473"/>
      <c r="AJ1071" s="1164"/>
      <c r="AK1071" s="473"/>
      <c r="AL1071" s="473"/>
      <c r="AM1071" s="1164"/>
      <c r="AN1071" s="473"/>
      <c r="AO1071" s="473"/>
      <c r="AP1071" s="1164"/>
      <c r="AQ1071" s="473"/>
      <c r="AR1071" s="473"/>
      <c r="AS1071" s="1236"/>
      <c r="AT1071" s="473"/>
      <c r="AU1071" s="473"/>
      <c r="AV1071" s="1164"/>
      <c r="AW1071" s="1164"/>
      <c r="AX1071" s="1236"/>
      <c r="AY1071" s="473"/>
      <c r="AZ1071" s="1236"/>
      <c r="BA1071" s="473"/>
      <c r="BB1071" s="473"/>
      <c r="BC1071" s="1164"/>
      <c r="BD1071" s="20"/>
      <c r="BE1071" s="473"/>
      <c r="BF1071" s="610"/>
      <c r="BG1071" s="610"/>
      <c r="BH1071" s="610"/>
      <c r="BI1071" s="610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</row>
    <row r="1072" spans="1:148" s="22" customFormat="1" x14ac:dyDescent="0.25">
      <c r="A1072" s="20"/>
      <c r="B1072" s="16"/>
      <c r="C1072" s="473"/>
      <c r="D1072" s="473"/>
      <c r="E1072" s="1164"/>
      <c r="F1072" s="473"/>
      <c r="G1072" s="473"/>
      <c r="H1072" s="1164"/>
      <c r="I1072" s="473"/>
      <c r="J1072" s="473"/>
      <c r="K1072" s="1164"/>
      <c r="L1072" s="473"/>
      <c r="M1072" s="473"/>
      <c r="N1072" s="1164"/>
      <c r="O1072" s="473"/>
      <c r="P1072" s="473"/>
      <c r="Q1072" s="1164"/>
      <c r="R1072" s="473"/>
      <c r="S1072" s="473"/>
      <c r="T1072" s="1164"/>
      <c r="U1072" s="1164"/>
      <c r="V1072" s="473"/>
      <c r="W1072" s="473"/>
      <c r="X1072" s="1164"/>
      <c r="Y1072" s="473"/>
      <c r="Z1072" s="473"/>
      <c r="AA1072" s="1164"/>
      <c r="AB1072" s="473"/>
      <c r="AC1072" s="1164"/>
      <c r="AD1072" s="473"/>
      <c r="AE1072" s="1164"/>
      <c r="AF1072" s="473"/>
      <c r="AG1072" s="1164"/>
      <c r="AH1072" s="473"/>
      <c r="AI1072" s="473"/>
      <c r="AJ1072" s="1164"/>
      <c r="AK1072" s="473"/>
      <c r="AL1072" s="473"/>
      <c r="AM1072" s="1164"/>
      <c r="AN1072" s="473"/>
      <c r="AO1072" s="473"/>
      <c r="AP1072" s="1164"/>
      <c r="AQ1072" s="473"/>
      <c r="AR1072" s="473"/>
      <c r="AS1072" s="1236"/>
      <c r="AT1072" s="473"/>
      <c r="AU1072" s="473"/>
      <c r="AV1072" s="1164"/>
      <c r="AW1072" s="1164"/>
      <c r="AX1072" s="1236"/>
      <c r="AY1072" s="473"/>
      <c r="AZ1072" s="1236"/>
      <c r="BA1072" s="473"/>
      <c r="BB1072" s="473"/>
      <c r="BC1072" s="1164"/>
      <c r="BD1072" s="20"/>
      <c r="BE1072" s="473"/>
      <c r="BF1072" s="610"/>
      <c r="BG1072" s="610"/>
      <c r="BH1072" s="610"/>
      <c r="BI1072" s="610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</row>
    <row r="1073" spans="1:148" s="22" customFormat="1" x14ac:dyDescent="0.25">
      <c r="A1073" s="20"/>
      <c r="B1073" s="16"/>
      <c r="C1073" s="473"/>
      <c r="D1073" s="473"/>
      <c r="E1073" s="1164"/>
      <c r="F1073" s="473"/>
      <c r="G1073" s="473"/>
      <c r="H1073" s="1164"/>
      <c r="I1073" s="473"/>
      <c r="J1073" s="473"/>
      <c r="K1073" s="1164"/>
      <c r="L1073" s="473"/>
      <c r="M1073" s="473"/>
      <c r="N1073" s="1164"/>
      <c r="O1073" s="473"/>
      <c r="P1073" s="473"/>
      <c r="Q1073" s="1164"/>
      <c r="R1073" s="473"/>
      <c r="S1073" s="473"/>
      <c r="T1073" s="1164"/>
      <c r="U1073" s="1164"/>
      <c r="V1073" s="473"/>
      <c r="W1073" s="473"/>
      <c r="X1073" s="1164"/>
      <c r="Y1073" s="473"/>
      <c r="Z1073" s="473"/>
      <c r="AA1073" s="1164"/>
      <c r="AB1073" s="473"/>
      <c r="AC1073" s="1164"/>
      <c r="AD1073" s="473"/>
      <c r="AE1073" s="1164"/>
      <c r="AF1073" s="473"/>
      <c r="AG1073" s="1164"/>
      <c r="AH1073" s="473"/>
      <c r="AI1073" s="473"/>
      <c r="AJ1073" s="1164"/>
      <c r="AK1073" s="473"/>
      <c r="AL1073" s="473"/>
      <c r="AM1073" s="1164"/>
      <c r="AN1073" s="473"/>
      <c r="AO1073" s="473"/>
      <c r="AP1073" s="1164"/>
      <c r="AQ1073" s="473"/>
      <c r="AR1073" s="473"/>
      <c r="AS1073" s="1236"/>
      <c r="AT1073" s="473"/>
      <c r="AU1073" s="473"/>
      <c r="AV1073" s="1164"/>
      <c r="AW1073" s="1164"/>
      <c r="AX1073" s="1236"/>
      <c r="AY1073" s="473"/>
      <c r="AZ1073" s="1236"/>
      <c r="BA1073" s="473"/>
      <c r="BB1073" s="473"/>
      <c r="BC1073" s="1164"/>
      <c r="BD1073" s="20"/>
      <c r="BE1073" s="473"/>
      <c r="BF1073" s="610"/>
      <c r="BG1073" s="610"/>
      <c r="BH1073" s="610"/>
      <c r="BI1073" s="610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</row>
    <row r="1074" spans="1:148" s="22" customFormat="1" x14ac:dyDescent="0.25">
      <c r="A1074" s="20"/>
      <c r="B1074" s="16"/>
      <c r="C1074" s="473"/>
      <c r="D1074" s="473"/>
      <c r="E1074" s="1164"/>
      <c r="F1074" s="473"/>
      <c r="G1074" s="473"/>
      <c r="H1074" s="1164"/>
      <c r="I1074" s="473"/>
      <c r="J1074" s="473"/>
      <c r="K1074" s="1164"/>
      <c r="L1074" s="473"/>
      <c r="M1074" s="473"/>
      <c r="N1074" s="1164"/>
      <c r="O1074" s="473"/>
      <c r="P1074" s="473"/>
      <c r="Q1074" s="1164"/>
      <c r="R1074" s="473"/>
      <c r="S1074" s="473"/>
      <c r="T1074" s="1164"/>
      <c r="U1074" s="1164"/>
      <c r="V1074" s="473"/>
      <c r="W1074" s="473"/>
      <c r="X1074" s="1164"/>
      <c r="Y1074" s="473"/>
      <c r="Z1074" s="473"/>
      <c r="AA1074" s="1164"/>
      <c r="AB1074" s="473"/>
      <c r="AC1074" s="1164"/>
      <c r="AD1074" s="473"/>
      <c r="AE1074" s="1164"/>
      <c r="AF1074" s="473"/>
      <c r="AG1074" s="1164"/>
      <c r="AH1074" s="473"/>
      <c r="AI1074" s="473"/>
      <c r="AJ1074" s="1164"/>
      <c r="AK1074" s="473"/>
      <c r="AL1074" s="473"/>
      <c r="AM1074" s="1164"/>
      <c r="AN1074" s="473"/>
      <c r="AO1074" s="473"/>
      <c r="AP1074" s="1164"/>
      <c r="AQ1074" s="473"/>
      <c r="AR1074" s="473"/>
      <c r="AS1074" s="1236"/>
      <c r="AT1074" s="473"/>
      <c r="AU1074" s="473"/>
      <c r="AV1074" s="1164"/>
      <c r="AW1074" s="1164"/>
      <c r="AX1074" s="1236"/>
      <c r="AY1074" s="473"/>
      <c r="AZ1074" s="1236"/>
      <c r="BA1074" s="473"/>
      <c r="BB1074" s="473"/>
      <c r="BC1074" s="1164"/>
      <c r="BD1074" s="20"/>
      <c r="BE1074" s="473"/>
      <c r="BF1074" s="610"/>
      <c r="BG1074" s="610"/>
      <c r="BH1074" s="610"/>
      <c r="BI1074" s="610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</row>
    <row r="1075" spans="1:148" s="22" customFormat="1" x14ac:dyDescent="0.25">
      <c r="A1075" s="20"/>
      <c r="B1075" s="16"/>
      <c r="C1075" s="473"/>
      <c r="D1075" s="473"/>
      <c r="E1075" s="1164"/>
      <c r="F1075" s="473"/>
      <c r="G1075" s="473"/>
      <c r="H1075" s="1164"/>
      <c r="I1075" s="473"/>
      <c r="J1075" s="473"/>
      <c r="K1075" s="1164"/>
      <c r="L1075" s="473"/>
      <c r="M1075" s="473"/>
      <c r="N1075" s="1164"/>
      <c r="O1075" s="473"/>
      <c r="P1075" s="473"/>
      <c r="Q1075" s="1164"/>
      <c r="R1075" s="473"/>
      <c r="S1075" s="473"/>
      <c r="T1075" s="1164"/>
      <c r="U1075" s="1164"/>
      <c r="V1075" s="473"/>
      <c r="W1075" s="473"/>
      <c r="X1075" s="1164"/>
      <c r="Y1075" s="473"/>
      <c r="Z1075" s="473"/>
      <c r="AA1075" s="1164"/>
      <c r="AB1075" s="473"/>
      <c r="AC1075" s="1164"/>
      <c r="AD1075" s="473"/>
      <c r="AE1075" s="1164"/>
      <c r="AF1075" s="473"/>
      <c r="AG1075" s="1164"/>
      <c r="AH1075" s="473"/>
      <c r="AI1075" s="473"/>
      <c r="AJ1075" s="1164"/>
      <c r="AK1075" s="473"/>
      <c r="AL1075" s="473"/>
      <c r="AM1075" s="1164"/>
      <c r="AN1075" s="473"/>
      <c r="AO1075" s="473"/>
      <c r="AP1075" s="1164"/>
      <c r="AQ1075" s="473"/>
      <c r="AR1075" s="473"/>
      <c r="AS1075" s="1236"/>
      <c r="AT1075" s="473"/>
      <c r="AU1075" s="473"/>
      <c r="AV1075" s="1164"/>
      <c r="AW1075" s="1164"/>
      <c r="AX1075" s="1236"/>
      <c r="AY1075" s="473"/>
      <c r="AZ1075" s="1236"/>
      <c r="BA1075" s="473"/>
      <c r="BB1075" s="473"/>
      <c r="BC1075" s="1164"/>
      <c r="BD1075" s="20"/>
      <c r="BE1075" s="473"/>
      <c r="BF1075" s="610"/>
      <c r="BG1075" s="610"/>
      <c r="BH1075" s="610"/>
      <c r="BI1075" s="610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</row>
    <row r="1076" spans="1:148" s="22" customFormat="1" x14ac:dyDescent="0.25">
      <c r="A1076" s="20"/>
      <c r="B1076" s="16"/>
      <c r="C1076" s="473"/>
      <c r="D1076" s="473"/>
      <c r="E1076" s="1164"/>
      <c r="F1076" s="473"/>
      <c r="G1076" s="473"/>
      <c r="H1076" s="1164"/>
      <c r="I1076" s="473"/>
      <c r="J1076" s="473"/>
      <c r="K1076" s="1164"/>
      <c r="L1076" s="473"/>
      <c r="M1076" s="473"/>
      <c r="N1076" s="1164"/>
      <c r="O1076" s="473"/>
      <c r="P1076" s="473"/>
      <c r="Q1076" s="1164"/>
      <c r="R1076" s="473"/>
      <c r="S1076" s="473"/>
      <c r="T1076" s="1164"/>
      <c r="U1076" s="1164"/>
      <c r="V1076" s="473"/>
      <c r="W1076" s="473"/>
      <c r="X1076" s="1164"/>
      <c r="Y1076" s="473"/>
      <c r="Z1076" s="473"/>
      <c r="AA1076" s="1164"/>
      <c r="AB1076" s="473"/>
      <c r="AC1076" s="1164"/>
      <c r="AD1076" s="473"/>
      <c r="AE1076" s="1164"/>
      <c r="AF1076" s="473"/>
      <c r="AG1076" s="1164"/>
      <c r="AH1076" s="473"/>
      <c r="AI1076" s="473"/>
      <c r="AJ1076" s="1164"/>
      <c r="AK1076" s="473"/>
      <c r="AL1076" s="473"/>
      <c r="AM1076" s="1164"/>
      <c r="AN1076" s="473"/>
      <c r="AO1076" s="473"/>
      <c r="AP1076" s="1164"/>
      <c r="AQ1076" s="473"/>
      <c r="AR1076" s="473"/>
      <c r="AS1076" s="1236"/>
      <c r="AT1076" s="473"/>
      <c r="AU1076" s="473"/>
      <c r="AV1076" s="1164"/>
      <c r="AW1076" s="1164"/>
      <c r="AX1076" s="1236"/>
      <c r="AY1076" s="473"/>
      <c r="AZ1076" s="1236"/>
      <c r="BA1076" s="473"/>
      <c r="BB1076" s="473"/>
      <c r="BC1076" s="1164"/>
      <c r="BD1076" s="20"/>
      <c r="BE1076" s="473"/>
      <c r="BF1076" s="610"/>
      <c r="BG1076" s="610"/>
      <c r="BH1076" s="610"/>
      <c r="BI1076" s="610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</row>
    <row r="1077" spans="1:148" s="22" customFormat="1" x14ac:dyDescent="0.25">
      <c r="A1077" s="20"/>
      <c r="B1077" s="16"/>
      <c r="C1077" s="473"/>
      <c r="D1077" s="473"/>
      <c r="E1077" s="1164"/>
      <c r="F1077" s="473"/>
      <c r="G1077" s="473"/>
      <c r="H1077" s="1164"/>
      <c r="I1077" s="473"/>
      <c r="J1077" s="473"/>
      <c r="K1077" s="1164"/>
      <c r="L1077" s="473"/>
      <c r="M1077" s="473"/>
      <c r="N1077" s="1164"/>
      <c r="O1077" s="473"/>
      <c r="P1077" s="473"/>
      <c r="Q1077" s="1164"/>
      <c r="R1077" s="473"/>
      <c r="S1077" s="473"/>
      <c r="T1077" s="1164"/>
      <c r="U1077" s="1164"/>
      <c r="V1077" s="473"/>
      <c r="W1077" s="473"/>
      <c r="X1077" s="1164"/>
      <c r="Y1077" s="473"/>
      <c r="Z1077" s="473"/>
      <c r="AA1077" s="1164"/>
      <c r="AB1077" s="473"/>
      <c r="AC1077" s="1164"/>
      <c r="AD1077" s="473"/>
      <c r="AE1077" s="1164"/>
      <c r="AF1077" s="473"/>
      <c r="AG1077" s="1164"/>
      <c r="AH1077" s="473"/>
      <c r="AI1077" s="473"/>
      <c r="AJ1077" s="1164"/>
      <c r="AK1077" s="473"/>
      <c r="AL1077" s="473"/>
      <c r="AM1077" s="1164"/>
      <c r="AN1077" s="473"/>
      <c r="AO1077" s="473"/>
      <c r="AP1077" s="1164"/>
      <c r="AQ1077" s="473"/>
      <c r="AR1077" s="473"/>
      <c r="AS1077" s="1236"/>
      <c r="AT1077" s="473"/>
      <c r="AU1077" s="473"/>
      <c r="AV1077" s="1164"/>
      <c r="AW1077" s="1164"/>
      <c r="AX1077" s="1236"/>
      <c r="AY1077" s="473"/>
      <c r="AZ1077" s="1236"/>
      <c r="BA1077" s="473"/>
      <c r="BB1077" s="473"/>
      <c r="BC1077" s="1164"/>
      <c r="BD1077" s="20"/>
      <c r="BE1077" s="473"/>
      <c r="BF1077" s="610"/>
      <c r="BG1077" s="610"/>
      <c r="BH1077" s="610"/>
      <c r="BI1077" s="610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</row>
    <row r="1078" spans="1:148" s="22" customFormat="1" x14ac:dyDescent="0.25">
      <c r="A1078" s="20"/>
      <c r="B1078" s="16"/>
      <c r="C1078" s="473"/>
      <c r="D1078" s="473"/>
      <c r="E1078" s="1164"/>
      <c r="F1078" s="473"/>
      <c r="G1078" s="473"/>
      <c r="H1078" s="1164"/>
      <c r="I1078" s="473"/>
      <c r="J1078" s="473"/>
      <c r="K1078" s="1164"/>
      <c r="L1078" s="473"/>
      <c r="M1078" s="473"/>
      <c r="N1078" s="1164"/>
      <c r="O1078" s="473"/>
      <c r="P1078" s="473"/>
      <c r="Q1078" s="1164"/>
      <c r="R1078" s="473"/>
      <c r="S1078" s="473"/>
      <c r="T1078" s="1164"/>
      <c r="U1078" s="1164"/>
      <c r="V1078" s="473"/>
      <c r="W1078" s="473"/>
      <c r="X1078" s="1164"/>
      <c r="Y1078" s="473"/>
      <c r="Z1078" s="473"/>
      <c r="AA1078" s="1164"/>
      <c r="AB1078" s="473"/>
      <c r="AC1078" s="1164"/>
      <c r="AD1078" s="473"/>
      <c r="AE1078" s="1164"/>
      <c r="AF1078" s="473"/>
      <c r="AG1078" s="1164"/>
      <c r="AH1078" s="473"/>
      <c r="AI1078" s="473"/>
      <c r="AJ1078" s="1164"/>
      <c r="AK1078" s="473"/>
      <c r="AL1078" s="473"/>
      <c r="AM1078" s="1164"/>
      <c r="AN1078" s="473"/>
      <c r="AO1078" s="473"/>
      <c r="AP1078" s="1164"/>
      <c r="AQ1078" s="473"/>
      <c r="AR1078" s="473"/>
      <c r="AS1078" s="1236"/>
      <c r="AT1078" s="473"/>
      <c r="AU1078" s="473"/>
      <c r="AV1078" s="1164"/>
      <c r="AW1078" s="1164"/>
      <c r="AX1078" s="1236"/>
      <c r="AY1078" s="473"/>
      <c r="AZ1078" s="1236"/>
      <c r="BA1078" s="473"/>
      <c r="BB1078" s="473"/>
      <c r="BC1078" s="1164"/>
      <c r="BD1078" s="20"/>
      <c r="BE1078" s="473"/>
      <c r="BF1078" s="610"/>
      <c r="BG1078" s="610"/>
      <c r="BH1078" s="610"/>
      <c r="BI1078" s="610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</row>
    <row r="1079" spans="1:148" s="22" customFormat="1" x14ac:dyDescent="0.25">
      <c r="A1079" s="20"/>
      <c r="B1079" s="16"/>
      <c r="C1079" s="473"/>
      <c r="D1079" s="473"/>
      <c r="E1079" s="1164"/>
      <c r="F1079" s="473"/>
      <c r="G1079" s="473"/>
      <c r="H1079" s="1164"/>
      <c r="I1079" s="473"/>
      <c r="J1079" s="473"/>
      <c r="K1079" s="1164"/>
      <c r="L1079" s="473"/>
      <c r="M1079" s="473"/>
      <c r="N1079" s="1164"/>
      <c r="O1079" s="473"/>
      <c r="P1079" s="473"/>
      <c r="Q1079" s="1164"/>
      <c r="R1079" s="473"/>
      <c r="S1079" s="473"/>
      <c r="T1079" s="1164"/>
      <c r="U1079" s="1164"/>
      <c r="V1079" s="473"/>
      <c r="W1079" s="473"/>
      <c r="X1079" s="1164"/>
      <c r="Y1079" s="473"/>
      <c r="Z1079" s="473"/>
      <c r="AA1079" s="1164"/>
      <c r="AB1079" s="473"/>
      <c r="AC1079" s="1164"/>
      <c r="AD1079" s="473"/>
      <c r="AE1079" s="1164"/>
      <c r="AF1079" s="473"/>
      <c r="AG1079" s="1164"/>
      <c r="AH1079" s="473"/>
      <c r="AI1079" s="473"/>
      <c r="AJ1079" s="1164"/>
      <c r="AK1079" s="473"/>
      <c r="AL1079" s="473"/>
      <c r="AM1079" s="1164"/>
      <c r="AN1079" s="473"/>
      <c r="AO1079" s="473"/>
      <c r="AP1079" s="1164"/>
      <c r="AQ1079" s="473"/>
      <c r="AR1079" s="473"/>
      <c r="AS1079" s="1236"/>
      <c r="AT1079" s="473"/>
      <c r="AU1079" s="473"/>
      <c r="AV1079" s="1164"/>
      <c r="AW1079" s="1164"/>
      <c r="AX1079" s="1236"/>
      <c r="AY1079" s="473"/>
      <c r="AZ1079" s="1236"/>
      <c r="BA1079" s="473"/>
      <c r="BB1079" s="473"/>
      <c r="BC1079" s="1164"/>
      <c r="BD1079" s="20"/>
      <c r="BE1079" s="473"/>
      <c r="BF1079" s="610"/>
      <c r="BG1079" s="610"/>
      <c r="BH1079" s="610"/>
      <c r="BI1079" s="610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</row>
    <row r="1080" spans="1:148" s="22" customFormat="1" x14ac:dyDescent="0.25">
      <c r="A1080" s="20"/>
      <c r="B1080" s="16"/>
      <c r="C1080" s="473"/>
      <c r="D1080" s="473"/>
      <c r="E1080" s="1164"/>
      <c r="F1080" s="473"/>
      <c r="G1080" s="473"/>
      <c r="H1080" s="1164"/>
      <c r="I1080" s="473"/>
      <c r="J1080" s="473"/>
      <c r="K1080" s="1164"/>
      <c r="L1080" s="473"/>
      <c r="M1080" s="473"/>
      <c r="N1080" s="1164"/>
      <c r="O1080" s="473"/>
      <c r="P1080" s="473"/>
      <c r="Q1080" s="1164"/>
      <c r="R1080" s="473"/>
      <c r="S1080" s="473"/>
      <c r="T1080" s="1164"/>
      <c r="U1080" s="1164"/>
      <c r="V1080" s="473"/>
      <c r="W1080" s="473"/>
      <c r="X1080" s="1164"/>
      <c r="Y1080" s="473"/>
      <c r="Z1080" s="473"/>
      <c r="AA1080" s="1164"/>
      <c r="AB1080" s="473"/>
      <c r="AC1080" s="1164"/>
      <c r="AD1080" s="473"/>
      <c r="AE1080" s="1164"/>
      <c r="AF1080" s="473"/>
      <c r="AG1080" s="1164"/>
      <c r="AH1080" s="473"/>
      <c r="AI1080" s="473"/>
      <c r="AJ1080" s="1164"/>
      <c r="AK1080" s="473"/>
      <c r="AL1080" s="473"/>
      <c r="AM1080" s="1164"/>
      <c r="AN1080" s="473"/>
      <c r="AO1080" s="473"/>
      <c r="AP1080" s="1164"/>
      <c r="AQ1080" s="473"/>
      <c r="AR1080" s="473"/>
      <c r="AS1080" s="1236"/>
      <c r="AT1080" s="473"/>
      <c r="AU1080" s="473"/>
      <c r="AV1080" s="1164"/>
      <c r="AW1080" s="1164"/>
      <c r="AX1080" s="1236"/>
      <c r="AY1080" s="473"/>
      <c r="AZ1080" s="1236"/>
      <c r="BA1080" s="473"/>
      <c r="BB1080" s="473"/>
      <c r="BC1080" s="1164"/>
      <c r="BD1080" s="20"/>
      <c r="BE1080" s="473"/>
      <c r="BF1080" s="610"/>
      <c r="BG1080" s="610"/>
      <c r="BH1080" s="610"/>
      <c r="BI1080" s="610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</row>
    <row r="1081" spans="1:148" s="22" customFormat="1" x14ac:dyDescent="0.25">
      <c r="A1081" s="20"/>
      <c r="B1081" s="16"/>
      <c r="C1081" s="473"/>
      <c r="D1081" s="473"/>
      <c r="E1081" s="1164"/>
      <c r="F1081" s="473"/>
      <c r="G1081" s="473"/>
      <c r="H1081" s="1164"/>
      <c r="I1081" s="473"/>
      <c r="J1081" s="473"/>
      <c r="K1081" s="1164"/>
      <c r="L1081" s="473"/>
      <c r="M1081" s="473"/>
      <c r="N1081" s="1164"/>
      <c r="O1081" s="473"/>
      <c r="P1081" s="473"/>
      <c r="Q1081" s="1164"/>
      <c r="R1081" s="473"/>
      <c r="S1081" s="473"/>
      <c r="T1081" s="1164"/>
      <c r="U1081" s="1164"/>
      <c r="V1081" s="473"/>
      <c r="W1081" s="473"/>
      <c r="X1081" s="1164"/>
      <c r="Y1081" s="473"/>
      <c r="Z1081" s="473"/>
      <c r="AA1081" s="1164"/>
      <c r="AB1081" s="473"/>
      <c r="AC1081" s="1164"/>
      <c r="AD1081" s="473"/>
      <c r="AE1081" s="1164"/>
      <c r="AF1081" s="473"/>
      <c r="AG1081" s="1164"/>
      <c r="AH1081" s="473"/>
      <c r="AI1081" s="473"/>
      <c r="AJ1081" s="1164"/>
      <c r="AK1081" s="473"/>
      <c r="AL1081" s="473"/>
      <c r="AM1081" s="1164"/>
      <c r="AN1081" s="473"/>
      <c r="AO1081" s="473"/>
      <c r="AP1081" s="1164"/>
      <c r="AQ1081" s="473"/>
      <c r="AR1081" s="473"/>
      <c r="AS1081" s="1236"/>
      <c r="AT1081" s="473"/>
      <c r="AU1081" s="473"/>
      <c r="AV1081" s="1164"/>
      <c r="AW1081" s="1164"/>
      <c r="AX1081" s="1236"/>
      <c r="AY1081" s="473"/>
      <c r="AZ1081" s="1236"/>
      <c r="BA1081" s="473"/>
      <c r="BB1081" s="473"/>
      <c r="BC1081" s="1164"/>
      <c r="BD1081" s="20"/>
      <c r="BE1081" s="473"/>
      <c r="BF1081" s="610"/>
      <c r="BG1081" s="610"/>
      <c r="BH1081" s="610"/>
      <c r="BI1081" s="610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</row>
    <row r="1082" spans="1:148" s="22" customFormat="1" x14ac:dyDescent="0.25">
      <c r="A1082" s="20"/>
      <c r="B1082" s="16"/>
      <c r="C1082" s="473"/>
      <c r="D1082" s="473"/>
      <c r="E1082" s="1164"/>
      <c r="F1082" s="473"/>
      <c r="G1082" s="473"/>
      <c r="H1082" s="1164"/>
      <c r="I1082" s="473"/>
      <c r="J1082" s="473"/>
      <c r="K1082" s="1164"/>
      <c r="L1082" s="473"/>
      <c r="M1082" s="473"/>
      <c r="N1082" s="1164"/>
      <c r="O1082" s="473"/>
      <c r="P1082" s="473"/>
      <c r="Q1082" s="1164"/>
      <c r="R1082" s="473"/>
      <c r="S1082" s="473"/>
      <c r="T1082" s="1164"/>
      <c r="U1082" s="1164"/>
      <c r="V1082" s="473"/>
      <c r="W1082" s="473"/>
      <c r="X1082" s="1164"/>
      <c r="Y1082" s="473"/>
      <c r="Z1082" s="473"/>
      <c r="AA1082" s="1164"/>
      <c r="AB1082" s="473"/>
      <c r="AC1082" s="1164"/>
      <c r="AD1082" s="473"/>
      <c r="AE1082" s="1164"/>
      <c r="AF1082" s="473"/>
      <c r="AG1082" s="1164"/>
      <c r="AH1082" s="473"/>
      <c r="AI1082" s="473"/>
      <c r="AJ1082" s="1164"/>
      <c r="AK1082" s="473"/>
      <c r="AL1082" s="473"/>
      <c r="AM1082" s="1164"/>
      <c r="AN1082" s="473"/>
      <c r="AO1082" s="473"/>
      <c r="AP1082" s="1164"/>
      <c r="AQ1082" s="473"/>
      <c r="AR1082" s="473"/>
      <c r="AS1082" s="1236"/>
      <c r="AT1082" s="473"/>
      <c r="AU1082" s="473"/>
      <c r="AV1082" s="1164"/>
      <c r="AW1082" s="1164"/>
      <c r="AX1082" s="1236"/>
      <c r="AY1082" s="473"/>
      <c r="AZ1082" s="1236"/>
      <c r="BA1082" s="473"/>
      <c r="BB1082" s="473"/>
      <c r="BC1082" s="1164"/>
      <c r="BD1082" s="20"/>
      <c r="BE1082" s="473"/>
      <c r="BF1082" s="610"/>
      <c r="BG1082" s="610"/>
      <c r="BH1082" s="610"/>
      <c r="BI1082" s="610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</row>
    <row r="1083" spans="1:148" s="22" customFormat="1" x14ac:dyDescent="0.25">
      <c r="A1083" s="20"/>
      <c r="B1083" s="16"/>
      <c r="C1083" s="473"/>
      <c r="D1083" s="473"/>
      <c r="E1083" s="1164"/>
      <c r="F1083" s="473"/>
      <c r="G1083" s="473"/>
      <c r="H1083" s="1164"/>
      <c r="I1083" s="473"/>
      <c r="J1083" s="473"/>
      <c r="K1083" s="1164"/>
      <c r="L1083" s="473"/>
      <c r="M1083" s="473"/>
      <c r="N1083" s="1164"/>
      <c r="O1083" s="473"/>
      <c r="P1083" s="473"/>
      <c r="Q1083" s="1164"/>
      <c r="R1083" s="473"/>
      <c r="S1083" s="473"/>
      <c r="T1083" s="1164"/>
      <c r="U1083" s="1164"/>
      <c r="V1083" s="473"/>
      <c r="W1083" s="473"/>
      <c r="X1083" s="1164"/>
      <c r="Y1083" s="473"/>
      <c r="Z1083" s="473"/>
      <c r="AA1083" s="1164"/>
      <c r="AB1083" s="473"/>
      <c r="AC1083" s="1164"/>
      <c r="AD1083" s="473"/>
      <c r="AE1083" s="1164"/>
      <c r="AF1083" s="473"/>
      <c r="AG1083" s="1164"/>
      <c r="AH1083" s="473"/>
      <c r="AI1083" s="473"/>
      <c r="AJ1083" s="1164"/>
      <c r="AK1083" s="473"/>
      <c r="AL1083" s="473"/>
      <c r="AM1083" s="1164"/>
      <c r="AN1083" s="473"/>
      <c r="AO1083" s="473"/>
      <c r="AP1083" s="1164"/>
      <c r="AQ1083" s="473"/>
      <c r="AR1083" s="473"/>
      <c r="AS1083" s="1236"/>
      <c r="AT1083" s="473"/>
      <c r="AU1083" s="473"/>
      <c r="AV1083" s="1164"/>
      <c r="AW1083" s="1164"/>
      <c r="AX1083" s="1236"/>
      <c r="AY1083" s="473"/>
      <c r="AZ1083" s="1236"/>
      <c r="BA1083" s="473"/>
      <c r="BB1083" s="473"/>
      <c r="BC1083" s="1164"/>
      <c r="BD1083" s="20"/>
      <c r="BE1083" s="473"/>
      <c r="BF1083" s="610"/>
      <c r="BG1083" s="610"/>
      <c r="BH1083" s="610"/>
      <c r="BI1083" s="610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</row>
    <row r="1084" spans="1:148" s="22" customFormat="1" x14ac:dyDescent="0.25">
      <c r="A1084" s="20"/>
      <c r="B1084" s="16"/>
      <c r="C1084" s="473"/>
      <c r="D1084" s="473"/>
      <c r="E1084" s="1164"/>
      <c r="F1084" s="473"/>
      <c r="G1084" s="473"/>
      <c r="H1084" s="1164"/>
      <c r="I1084" s="473"/>
      <c r="J1084" s="473"/>
      <c r="K1084" s="1164"/>
      <c r="L1084" s="473"/>
      <c r="M1084" s="473"/>
      <c r="N1084" s="1164"/>
      <c r="O1084" s="473"/>
      <c r="P1084" s="473"/>
      <c r="Q1084" s="1164"/>
      <c r="R1084" s="473"/>
      <c r="S1084" s="473"/>
      <c r="T1084" s="1164"/>
      <c r="U1084" s="1164"/>
      <c r="V1084" s="473"/>
      <c r="W1084" s="473"/>
      <c r="X1084" s="1164"/>
      <c r="Y1084" s="473"/>
      <c r="Z1084" s="473"/>
      <c r="AA1084" s="1164"/>
      <c r="AB1084" s="473"/>
      <c r="AC1084" s="1164"/>
      <c r="AD1084" s="473"/>
      <c r="AE1084" s="1164"/>
      <c r="AF1084" s="473"/>
      <c r="AG1084" s="1164"/>
      <c r="AH1084" s="473"/>
      <c r="AI1084" s="473"/>
      <c r="AJ1084" s="1164"/>
      <c r="AK1084" s="473"/>
      <c r="AL1084" s="473"/>
      <c r="AM1084" s="1164"/>
      <c r="AN1084" s="473"/>
      <c r="AO1084" s="473"/>
      <c r="AP1084" s="1164"/>
      <c r="AQ1084" s="473"/>
      <c r="AR1084" s="473"/>
      <c r="AS1084" s="1236"/>
      <c r="AT1084" s="473"/>
      <c r="AU1084" s="473"/>
      <c r="AV1084" s="1164"/>
      <c r="AW1084" s="1164"/>
      <c r="AX1084" s="1236"/>
      <c r="AY1084" s="473"/>
      <c r="AZ1084" s="1236"/>
      <c r="BA1084" s="473"/>
      <c r="BB1084" s="473"/>
      <c r="BC1084" s="1164"/>
      <c r="BD1084" s="20"/>
      <c r="BE1084" s="473"/>
      <c r="BF1084" s="610"/>
      <c r="BG1084" s="610"/>
      <c r="BH1084" s="610"/>
      <c r="BI1084" s="610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</row>
    <row r="1085" spans="1:148" s="22" customFormat="1" x14ac:dyDescent="0.25">
      <c r="A1085" s="20"/>
      <c r="B1085" s="16"/>
      <c r="C1085" s="473"/>
      <c r="D1085" s="473"/>
      <c r="E1085" s="1164"/>
      <c r="F1085" s="473"/>
      <c r="G1085" s="473"/>
      <c r="H1085" s="1164"/>
      <c r="I1085" s="473"/>
      <c r="J1085" s="473"/>
      <c r="K1085" s="1164"/>
      <c r="L1085" s="473"/>
      <c r="M1085" s="473"/>
      <c r="N1085" s="1164"/>
      <c r="O1085" s="473"/>
      <c r="P1085" s="473"/>
      <c r="Q1085" s="1164"/>
      <c r="R1085" s="473"/>
      <c r="S1085" s="473"/>
      <c r="T1085" s="1164"/>
      <c r="U1085" s="1164"/>
      <c r="V1085" s="473"/>
      <c r="W1085" s="473"/>
      <c r="X1085" s="1164"/>
      <c r="Y1085" s="473"/>
      <c r="Z1085" s="473"/>
      <c r="AA1085" s="1164"/>
      <c r="AB1085" s="473"/>
      <c r="AC1085" s="1164"/>
      <c r="AD1085" s="473"/>
      <c r="AE1085" s="1164"/>
      <c r="AF1085" s="473"/>
      <c r="AG1085" s="1164"/>
      <c r="AH1085" s="473"/>
      <c r="AI1085" s="473"/>
      <c r="AJ1085" s="1164"/>
      <c r="AK1085" s="473"/>
      <c r="AL1085" s="473"/>
      <c r="AM1085" s="1164"/>
      <c r="AN1085" s="473"/>
      <c r="AO1085" s="473"/>
      <c r="AP1085" s="1164"/>
      <c r="AQ1085" s="473"/>
      <c r="AR1085" s="473"/>
      <c r="AS1085" s="1236"/>
      <c r="AT1085" s="473"/>
      <c r="AU1085" s="473"/>
      <c r="AV1085" s="1164"/>
      <c r="AW1085" s="1164"/>
      <c r="AX1085" s="1236"/>
      <c r="AY1085" s="473"/>
      <c r="AZ1085" s="1236"/>
      <c r="BA1085" s="473"/>
      <c r="BB1085" s="473"/>
      <c r="BC1085" s="1164"/>
      <c r="BD1085" s="20"/>
      <c r="BE1085" s="473"/>
      <c r="BF1085" s="610"/>
      <c r="BG1085" s="610"/>
      <c r="BH1085" s="610"/>
      <c r="BI1085" s="610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</row>
    <row r="1086" spans="1:148" s="22" customFormat="1" x14ac:dyDescent="0.25">
      <c r="A1086" s="20"/>
      <c r="B1086" s="16"/>
      <c r="C1086" s="473"/>
      <c r="D1086" s="473"/>
      <c r="E1086" s="1164"/>
      <c r="F1086" s="473"/>
      <c r="G1086" s="473"/>
      <c r="H1086" s="1164"/>
      <c r="I1086" s="473"/>
      <c r="J1086" s="473"/>
      <c r="K1086" s="1164"/>
      <c r="L1086" s="473"/>
      <c r="M1086" s="473"/>
      <c r="N1086" s="1164"/>
      <c r="O1086" s="473"/>
      <c r="P1086" s="473"/>
      <c r="Q1086" s="1164"/>
      <c r="R1086" s="473"/>
      <c r="S1086" s="473"/>
      <c r="T1086" s="1164"/>
      <c r="U1086" s="1164"/>
      <c r="V1086" s="473"/>
      <c r="W1086" s="473"/>
      <c r="X1086" s="1164"/>
      <c r="Y1086" s="473"/>
      <c r="Z1086" s="473"/>
      <c r="AA1086" s="1164"/>
      <c r="AB1086" s="473"/>
      <c r="AC1086" s="1164"/>
      <c r="AD1086" s="473"/>
      <c r="AE1086" s="1164"/>
      <c r="AF1086" s="473"/>
      <c r="AG1086" s="1164"/>
      <c r="AH1086" s="473"/>
      <c r="AI1086" s="473"/>
      <c r="AJ1086" s="1164"/>
      <c r="AK1086" s="473"/>
      <c r="AL1086" s="473"/>
      <c r="AM1086" s="1164"/>
      <c r="AN1086" s="473"/>
      <c r="AO1086" s="473"/>
      <c r="AP1086" s="1164"/>
      <c r="AQ1086" s="473"/>
      <c r="AR1086" s="473"/>
      <c r="AS1086" s="1236"/>
      <c r="AT1086" s="473"/>
      <c r="AU1086" s="473"/>
      <c r="AV1086" s="1164"/>
      <c r="AW1086" s="1164"/>
      <c r="AX1086" s="1236"/>
      <c r="AY1086" s="473"/>
      <c r="AZ1086" s="1236"/>
      <c r="BA1086" s="473"/>
      <c r="BB1086" s="473"/>
      <c r="BC1086" s="1164"/>
      <c r="BD1086" s="20"/>
      <c r="BE1086" s="473"/>
      <c r="BF1086" s="610"/>
      <c r="BG1086" s="610"/>
      <c r="BH1086" s="610"/>
      <c r="BI1086" s="610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</row>
    <row r="1087" spans="1:148" s="22" customFormat="1" x14ac:dyDescent="0.25">
      <c r="A1087" s="20"/>
      <c r="B1087" s="16"/>
      <c r="C1087" s="473"/>
      <c r="D1087" s="473"/>
      <c r="E1087" s="1164"/>
      <c r="F1087" s="473"/>
      <c r="G1087" s="473"/>
      <c r="H1087" s="1164"/>
      <c r="I1087" s="473"/>
      <c r="J1087" s="473"/>
      <c r="K1087" s="1164"/>
      <c r="L1087" s="473"/>
      <c r="M1087" s="473"/>
      <c r="N1087" s="1164"/>
      <c r="O1087" s="473"/>
      <c r="P1087" s="473"/>
      <c r="Q1087" s="1164"/>
      <c r="R1087" s="473"/>
      <c r="S1087" s="473"/>
      <c r="T1087" s="1164"/>
      <c r="U1087" s="1164"/>
      <c r="V1087" s="473"/>
      <c r="W1087" s="473"/>
      <c r="X1087" s="1164"/>
      <c r="Y1087" s="473"/>
      <c r="Z1087" s="473"/>
      <c r="AA1087" s="1164"/>
      <c r="AB1087" s="473"/>
      <c r="AC1087" s="1164"/>
      <c r="AD1087" s="473"/>
      <c r="AE1087" s="1164"/>
      <c r="AF1087" s="473"/>
      <c r="AG1087" s="1164"/>
      <c r="AH1087" s="473"/>
      <c r="AI1087" s="473"/>
      <c r="AJ1087" s="1164"/>
      <c r="AK1087" s="473"/>
      <c r="AL1087" s="473"/>
      <c r="AM1087" s="1164"/>
      <c r="AN1087" s="473"/>
      <c r="AO1087" s="473"/>
      <c r="AP1087" s="1164"/>
      <c r="AQ1087" s="473"/>
      <c r="AR1087" s="473"/>
      <c r="AS1087" s="1236"/>
      <c r="AT1087" s="473"/>
      <c r="AU1087" s="473"/>
      <c r="AV1087" s="1164"/>
      <c r="AW1087" s="1164"/>
      <c r="AX1087" s="1236"/>
      <c r="AY1087" s="473"/>
      <c r="AZ1087" s="1236"/>
      <c r="BA1087" s="473"/>
      <c r="BB1087" s="473"/>
      <c r="BC1087" s="1164"/>
      <c r="BD1087" s="20"/>
      <c r="BE1087" s="473"/>
      <c r="BF1087" s="610"/>
      <c r="BG1087" s="610"/>
      <c r="BH1087" s="610"/>
      <c r="BI1087" s="610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</row>
    <row r="1088" spans="1:148" s="22" customFormat="1" x14ac:dyDescent="0.25">
      <c r="A1088" s="20"/>
      <c r="B1088" s="16"/>
      <c r="C1088" s="473"/>
      <c r="D1088" s="473"/>
      <c r="E1088" s="1164"/>
      <c r="F1088" s="473"/>
      <c r="G1088" s="473"/>
      <c r="H1088" s="1164"/>
      <c r="I1088" s="473"/>
      <c r="J1088" s="473"/>
      <c r="K1088" s="1164"/>
      <c r="L1088" s="473"/>
      <c r="M1088" s="473"/>
      <c r="N1088" s="1164"/>
      <c r="O1088" s="473"/>
      <c r="P1088" s="473"/>
      <c r="Q1088" s="1164"/>
      <c r="R1088" s="473"/>
      <c r="S1088" s="473"/>
      <c r="T1088" s="1164"/>
      <c r="U1088" s="1164"/>
      <c r="V1088" s="473"/>
      <c r="W1088" s="473"/>
      <c r="X1088" s="1164"/>
      <c r="Y1088" s="473"/>
      <c r="Z1088" s="473"/>
      <c r="AA1088" s="1164"/>
      <c r="AB1088" s="473"/>
      <c r="AC1088" s="1164"/>
      <c r="AD1088" s="473"/>
      <c r="AE1088" s="1164"/>
      <c r="AF1088" s="473"/>
      <c r="AG1088" s="1164"/>
      <c r="AH1088" s="473"/>
      <c r="AI1088" s="473"/>
      <c r="AJ1088" s="1164"/>
      <c r="AK1088" s="473"/>
      <c r="AL1088" s="473"/>
      <c r="AM1088" s="1164"/>
      <c r="AN1088" s="473"/>
      <c r="AO1088" s="473"/>
      <c r="AP1088" s="1164"/>
      <c r="AQ1088" s="473"/>
      <c r="AR1088" s="473"/>
      <c r="AS1088" s="1236"/>
      <c r="AT1088" s="473"/>
      <c r="AU1088" s="473"/>
      <c r="AV1088" s="1164"/>
      <c r="AW1088" s="1164"/>
      <c r="AX1088" s="1236"/>
      <c r="AY1088" s="473"/>
      <c r="AZ1088" s="1236"/>
      <c r="BA1088" s="473"/>
      <c r="BB1088" s="473"/>
      <c r="BC1088" s="1164"/>
      <c r="BD1088" s="20"/>
      <c r="BE1088" s="473"/>
      <c r="BF1088" s="610"/>
      <c r="BG1088" s="610"/>
      <c r="BH1088" s="610"/>
      <c r="BI1088" s="610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</row>
    <row r="1089" spans="1:148" s="22" customFormat="1" x14ac:dyDescent="0.25">
      <c r="A1089" s="20"/>
      <c r="B1089" s="16"/>
      <c r="C1089" s="473"/>
      <c r="D1089" s="473"/>
      <c r="E1089" s="1164"/>
      <c r="F1089" s="473"/>
      <c r="G1089" s="473"/>
      <c r="H1089" s="1164"/>
      <c r="I1089" s="473"/>
      <c r="J1089" s="473"/>
      <c r="K1089" s="1164"/>
      <c r="L1089" s="473"/>
      <c r="M1089" s="473"/>
      <c r="N1089" s="1164"/>
      <c r="O1089" s="473"/>
      <c r="P1089" s="473"/>
      <c r="Q1089" s="1164"/>
      <c r="R1089" s="473"/>
      <c r="S1089" s="473"/>
      <c r="T1089" s="1164"/>
      <c r="U1089" s="1164"/>
      <c r="V1089" s="473"/>
      <c r="W1089" s="473"/>
      <c r="X1089" s="1164"/>
      <c r="Y1089" s="473"/>
      <c r="Z1089" s="473"/>
      <c r="AA1089" s="1164"/>
      <c r="AB1089" s="473"/>
      <c r="AC1089" s="1164"/>
      <c r="AD1089" s="473"/>
      <c r="AE1089" s="1164"/>
      <c r="AF1089" s="473"/>
      <c r="AG1089" s="1164"/>
      <c r="AH1089" s="473"/>
      <c r="AI1089" s="473"/>
      <c r="AJ1089" s="1164"/>
      <c r="AK1089" s="473"/>
      <c r="AL1089" s="473"/>
      <c r="AM1089" s="1164"/>
      <c r="AN1089" s="473"/>
      <c r="AO1089" s="473"/>
      <c r="AP1089" s="1164"/>
      <c r="AQ1089" s="473"/>
      <c r="AR1089" s="473"/>
      <c r="AS1089" s="1236"/>
      <c r="AT1089" s="473"/>
      <c r="AU1089" s="473"/>
      <c r="AV1089" s="1164"/>
      <c r="AW1089" s="1164"/>
      <c r="AX1089" s="1236"/>
      <c r="AY1089" s="473"/>
      <c r="AZ1089" s="1236"/>
      <c r="BA1089" s="473"/>
      <c r="BB1089" s="473"/>
      <c r="BC1089" s="1164"/>
      <c r="BD1089" s="20"/>
      <c r="BE1089" s="473"/>
      <c r="BF1089" s="610"/>
      <c r="BG1089" s="610"/>
      <c r="BH1089" s="610"/>
      <c r="BI1089" s="610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</row>
    <row r="1090" spans="1:148" s="22" customFormat="1" x14ac:dyDescent="0.25">
      <c r="A1090" s="20"/>
      <c r="B1090" s="16"/>
      <c r="C1090" s="473"/>
      <c r="D1090" s="473"/>
      <c r="E1090" s="1164"/>
      <c r="F1090" s="473"/>
      <c r="G1090" s="473"/>
      <c r="H1090" s="1164"/>
      <c r="I1090" s="473"/>
      <c r="J1090" s="473"/>
      <c r="K1090" s="1164"/>
      <c r="L1090" s="473"/>
      <c r="M1090" s="473"/>
      <c r="N1090" s="1164"/>
      <c r="O1090" s="473"/>
      <c r="P1090" s="473"/>
      <c r="Q1090" s="1164"/>
      <c r="R1090" s="473"/>
      <c r="S1090" s="473"/>
      <c r="T1090" s="1164"/>
      <c r="U1090" s="1164"/>
      <c r="V1090" s="473"/>
      <c r="W1090" s="473"/>
      <c r="X1090" s="1164"/>
      <c r="Y1090" s="473"/>
      <c r="Z1090" s="473"/>
      <c r="AA1090" s="1164"/>
      <c r="AB1090" s="473"/>
      <c r="AC1090" s="1164"/>
      <c r="AD1090" s="473"/>
      <c r="AE1090" s="1164"/>
      <c r="AF1090" s="473"/>
      <c r="AG1090" s="1164"/>
      <c r="AH1090" s="473"/>
      <c r="AI1090" s="473"/>
      <c r="AJ1090" s="1164"/>
      <c r="AK1090" s="473"/>
      <c r="AL1090" s="473"/>
      <c r="AM1090" s="1164"/>
      <c r="AN1090" s="473"/>
      <c r="AO1090" s="473"/>
      <c r="AP1090" s="1164"/>
      <c r="AQ1090" s="473"/>
      <c r="AR1090" s="473"/>
      <c r="AS1090" s="1236"/>
      <c r="AT1090" s="473"/>
      <c r="AU1090" s="473"/>
      <c r="AV1090" s="1164"/>
      <c r="AW1090" s="1164"/>
      <c r="AX1090" s="1236"/>
      <c r="AY1090" s="473"/>
      <c r="AZ1090" s="1236"/>
      <c r="BA1090" s="473"/>
      <c r="BB1090" s="473"/>
      <c r="BC1090" s="1164"/>
      <c r="BD1090" s="20"/>
      <c r="BE1090" s="473"/>
      <c r="BF1090" s="610"/>
      <c r="BG1090" s="610"/>
      <c r="BH1090" s="610"/>
      <c r="BI1090" s="610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</row>
    <row r="1091" spans="1:148" s="22" customFormat="1" x14ac:dyDescent="0.25">
      <c r="A1091" s="20"/>
      <c r="B1091" s="16"/>
      <c r="C1091" s="473"/>
      <c r="D1091" s="473"/>
      <c r="E1091" s="1164"/>
      <c r="F1091" s="473"/>
      <c r="G1091" s="473"/>
      <c r="H1091" s="1164"/>
      <c r="I1091" s="473"/>
      <c r="J1091" s="473"/>
      <c r="K1091" s="1164"/>
      <c r="L1091" s="473"/>
      <c r="M1091" s="473"/>
      <c r="N1091" s="1164"/>
      <c r="O1091" s="473"/>
      <c r="P1091" s="473"/>
      <c r="Q1091" s="1164"/>
      <c r="R1091" s="473"/>
      <c r="S1091" s="473"/>
      <c r="T1091" s="1164"/>
      <c r="U1091" s="1164"/>
      <c r="V1091" s="473"/>
      <c r="W1091" s="473"/>
      <c r="X1091" s="1164"/>
      <c r="Y1091" s="473"/>
      <c r="Z1091" s="473"/>
      <c r="AA1091" s="1164"/>
      <c r="AB1091" s="473"/>
      <c r="AC1091" s="1164"/>
      <c r="AD1091" s="473"/>
      <c r="AE1091" s="1164"/>
      <c r="AF1091" s="473"/>
      <c r="AG1091" s="1164"/>
      <c r="AH1091" s="473"/>
      <c r="AI1091" s="473"/>
      <c r="AJ1091" s="1164"/>
      <c r="AK1091" s="473"/>
      <c r="AL1091" s="473"/>
      <c r="AM1091" s="1164"/>
      <c r="AN1091" s="473"/>
      <c r="AO1091" s="473"/>
      <c r="AP1091" s="1164"/>
      <c r="AQ1091" s="473"/>
      <c r="AR1091" s="473"/>
      <c r="AS1091" s="1236"/>
      <c r="AT1091" s="473"/>
      <c r="AU1091" s="473"/>
      <c r="AV1091" s="1164"/>
      <c r="AW1091" s="1164"/>
      <c r="AX1091" s="1236"/>
      <c r="AY1091" s="473"/>
      <c r="AZ1091" s="1236"/>
      <c r="BA1091" s="473"/>
      <c r="BB1091" s="473"/>
      <c r="BC1091" s="1164"/>
      <c r="BD1091" s="20"/>
      <c r="BE1091" s="473"/>
      <c r="BF1091" s="610"/>
      <c r="BG1091" s="610"/>
      <c r="BH1091" s="610"/>
      <c r="BI1091" s="610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</row>
    <row r="1092" spans="1:148" s="22" customFormat="1" x14ac:dyDescent="0.25">
      <c r="A1092" s="20"/>
      <c r="B1092" s="16"/>
      <c r="C1092" s="473"/>
      <c r="D1092" s="473"/>
      <c r="E1092" s="1164"/>
      <c r="F1092" s="473"/>
      <c r="G1092" s="473"/>
      <c r="H1092" s="1164"/>
      <c r="I1092" s="473"/>
      <c r="J1092" s="473"/>
      <c r="K1092" s="1164"/>
      <c r="L1092" s="473"/>
      <c r="M1092" s="473"/>
      <c r="N1092" s="1164"/>
      <c r="O1092" s="473"/>
      <c r="P1092" s="473"/>
      <c r="Q1092" s="1164"/>
      <c r="R1092" s="473"/>
      <c r="S1092" s="473"/>
      <c r="T1092" s="1164"/>
      <c r="U1092" s="1164"/>
      <c r="V1092" s="473"/>
      <c r="W1092" s="473"/>
      <c r="X1092" s="1164"/>
      <c r="Y1092" s="473"/>
      <c r="Z1092" s="473"/>
      <c r="AA1092" s="1164"/>
      <c r="AB1092" s="473"/>
      <c r="AC1092" s="1164"/>
      <c r="AD1092" s="473"/>
      <c r="AE1092" s="1164"/>
      <c r="AF1092" s="473"/>
      <c r="AG1092" s="1164"/>
      <c r="AH1092" s="473"/>
      <c r="AI1092" s="473"/>
      <c r="AJ1092" s="1164"/>
      <c r="AK1092" s="473"/>
      <c r="AL1092" s="473"/>
      <c r="AM1092" s="1164"/>
      <c r="AN1092" s="473"/>
      <c r="AO1092" s="473"/>
      <c r="AP1092" s="1164"/>
      <c r="AQ1092" s="473"/>
      <c r="AR1092" s="473"/>
      <c r="AS1092" s="1236"/>
      <c r="AT1092" s="473"/>
      <c r="AU1092" s="473"/>
      <c r="AV1092" s="1164"/>
      <c r="AW1092" s="1164"/>
      <c r="AX1092" s="1236"/>
      <c r="AY1092" s="473"/>
      <c r="AZ1092" s="1236"/>
      <c r="BA1092" s="473"/>
      <c r="BB1092" s="473"/>
      <c r="BC1092" s="1164"/>
      <c r="BD1092" s="20"/>
      <c r="BE1092" s="473"/>
      <c r="BF1092" s="610"/>
      <c r="BG1092" s="610"/>
      <c r="BH1092" s="610"/>
      <c r="BI1092" s="610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</row>
    <row r="1093" spans="1:148" s="22" customFormat="1" x14ac:dyDescent="0.25">
      <c r="A1093" s="20"/>
      <c r="B1093" s="16"/>
      <c r="C1093" s="473"/>
      <c r="D1093" s="473"/>
      <c r="E1093" s="1164"/>
      <c r="F1093" s="473"/>
      <c r="G1093" s="473"/>
      <c r="H1093" s="1164"/>
      <c r="I1093" s="473"/>
      <c r="J1093" s="473"/>
      <c r="K1093" s="1164"/>
      <c r="L1093" s="473"/>
      <c r="M1093" s="473"/>
      <c r="N1093" s="1164"/>
      <c r="O1093" s="473"/>
      <c r="P1093" s="473"/>
      <c r="Q1093" s="1164"/>
      <c r="R1093" s="473"/>
      <c r="S1093" s="473"/>
      <c r="T1093" s="1164"/>
      <c r="U1093" s="1164"/>
      <c r="V1093" s="473"/>
      <c r="W1093" s="473"/>
      <c r="X1093" s="1164"/>
      <c r="Y1093" s="473"/>
      <c r="Z1093" s="473"/>
      <c r="AA1093" s="1164"/>
      <c r="AB1093" s="473"/>
      <c r="AC1093" s="1164"/>
      <c r="AD1093" s="473"/>
      <c r="AE1093" s="1164"/>
      <c r="AF1093" s="473"/>
      <c r="AG1093" s="1164"/>
      <c r="AH1093" s="473"/>
      <c r="AI1093" s="473"/>
      <c r="AJ1093" s="1164"/>
      <c r="AK1093" s="473"/>
      <c r="AL1093" s="473"/>
      <c r="AM1093" s="1164"/>
      <c r="AN1093" s="473"/>
      <c r="AO1093" s="473"/>
      <c r="AP1093" s="1164"/>
      <c r="AQ1093" s="473"/>
      <c r="AR1093" s="473"/>
      <c r="AS1093" s="1236"/>
      <c r="AT1093" s="473"/>
      <c r="AU1093" s="473"/>
      <c r="AV1093" s="1164"/>
      <c r="AW1093" s="1164"/>
      <c r="AX1093" s="1236"/>
      <c r="AY1093" s="473"/>
      <c r="AZ1093" s="1236"/>
      <c r="BA1093" s="473"/>
      <c r="BB1093" s="473"/>
      <c r="BC1093" s="1164"/>
      <c r="BD1093" s="20"/>
      <c r="BE1093" s="473"/>
      <c r="BF1093" s="610"/>
      <c r="BG1093" s="610"/>
      <c r="BH1093" s="610"/>
      <c r="BI1093" s="610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</row>
    <row r="1094" spans="1:148" s="22" customFormat="1" x14ac:dyDescent="0.25">
      <c r="A1094" s="20"/>
      <c r="B1094" s="16"/>
      <c r="C1094" s="473"/>
      <c r="D1094" s="473"/>
      <c r="E1094" s="1164"/>
      <c r="F1094" s="473"/>
      <c r="G1094" s="473"/>
      <c r="H1094" s="1164"/>
      <c r="I1094" s="473"/>
      <c r="J1094" s="473"/>
      <c r="K1094" s="1164"/>
      <c r="L1094" s="473"/>
      <c r="M1094" s="473"/>
      <c r="N1094" s="1164"/>
      <c r="O1094" s="473"/>
      <c r="P1094" s="473"/>
      <c r="Q1094" s="1164"/>
      <c r="R1094" s="473"/>
      <c r="S1094" s="473"/>
      <c r="T1094" s="1164"/>
      <c r="U1094" s="1164"/>
      <c r="V1094" s="473"/>
      <c r="W1094" s="473"/>
      <c r="X1094" s="1164"/>
      <c r="Y1094" s="473"/>
      <c r="Z1094" s="473"/>
      <c r="AA1094" s="1164"/>
      <c r="AB1094" s="473"/>
      <c r="AC1094" s="1164"/>
      <c r="AD1094" s="473"/>
      <c r="AE1094" s="1164"/>
      <c r="AF1094" s="473"/>
      <c r="AG1094" s="1164"/>
      <c r="AH1094" s="473"/>
      <c r="AI1094" s="473"/>
      <c r="AJ1094" s="1164"/>
      <c r="AK1094" s="473"/>
      <c r="AL1094" s="473"/>
      <c r="AM1094" s="1164"/>
      <c r="AN1094" s="473"/>
      <c r="AO1094" s="473"/>
      <c r="AP1094" s="1164"/>
      <c r="AQ1094" s="473"/>
      <c r="AR1094" s="473"/>
      <c r="AS1094" s="1236"/>
      <c r="AT1094" s="473"/>
      <c r="AU1094" s="473"/>
      <c r="AV1094" s="1164"/>
      <c r="AW1094" s="1164"/>
      <c r="AX1094" s="1236"/>
      <c r="AY1094" s="473"/>
      <c r="AZ1094" s="1236"/>
      <c r="BA1094" s="473"/>
      <c r="BB1094" s="473"/>
      <c r="BC1094" s="1164"/>
      <c r="BD1094" s="20"/>
      <c r="BE1094" s="473"/>
      <c r="BF1094" s="610"/>
      <c r="BG1094" s="610"/>
      <c r="BH1094" s="610"/>
      <c r="BI1094" s="610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</row>
    <row r="1095" spans="1:148" s="22" customFormat="1" x14ac:dyDescent="0.25">
      <c r="A1095" s="20"/>
      <c r="B1095" s="16"/>
      <c r="C1095" s="473"/>
      <c r="D1095" s="473"/>
      <c r="E1095" s="1164"/>
      <c r="F1095" s="473"/>
      <c r="G1095" s="473"/>
      <c r="H1095" s="1164"/>
      <c r="I1095" s="473"/>
      <c r="J1095" s="473"/>
      <c r="K1095" s="1164"/>
      <c r="L1095" s="473"/>
      <c r="M1095" s="473"/>
      <c r="N1095" s="1164"/>
      <c r="O1095" s="473"/>
      <c r="P1095" s="473"/>
      <c r="Q1095" s="1164"/>
      <c r="R1095" s="473"/>
      <c r="S1095" s="473"/>
      <c r="T1095" s="1164"/>
      <c r="U1095" s="1164"/>
      <c r="V1095" s="473"/>
      <c r="W1095" s="473"/>
      <c r="X1095" s="1164"/>
      <c r="Y1095" s="473"/>
      <c r="Z1095" s="473"/>
      <c r="AA1095" s="1164"/>
      <c r="AB1095" s="473"/>
      <c r="AC1095" s="1164"/>
      <c r="AD1095" s="473"/>
      <c r="AE1095" s="1164"/>
      <c r="AF1095" s="473"/>
      <c r="AG1095" s="1164"/>
      <c r="AH1095" s="473"/>
      <c r="AI1095" s="473"/>
      <c r="AJ1095" s="1164"/>
      <c r="AK1095" s="473"/>
      <c r="AL1095" s="473"/>
      <c r="AM1095" s="1164"/>
      <c r="AN1095" s="473"/>
      <c r="AO1095" s="473"/>
      <c r="AP1095" s="1164"/>
      <c r="AQ1095" s="473"/>
      <c r="AR1095" s="473"/>
      <c r="AS1095" s="1236"/>
      <c r="AT1095" s="473"/>
      <c r="AU1095" s="473"/>
      <c r="AV1095" s="1164"/>
      <c r="AW1095" s="1164"/>
      <c r="AX1095" s="1236"/>
      <c r="AY1095" s="473"/>
      <c r="AZ1095" s="1236"/>
      <c r="BA1095" s="473"/>
      <c r="BB1095" s="473"/>
      <c r="BC1095" s="1164"/>
      <c r="BD1095" s="20"/>
      <c r="BE1095" s="473"/>
      <c r="BF1095" s="610"/>
      <c r="BG1095" s="610"/>
      <c r="BH1095" s="610"/>
      <c r="BI1095" s="610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</row>
    <row r="1096" spans="1:148" s="22" customFormat="1" x14ac:dyDescent="0.25">
      <c r="A1096" s="20"/>
      <c r="B1096" s="16"/>
      <c r="C1096" s="473"/>
      <c r="D1096" s="473"/>
      <c r="E1096" s="1164"/>
      <c r="F1096" s="473"/>
      <c r="G1096" s="473"/>
      <c r="H1096" s="1164"/>
      <c r="I1096" s="473"/>
      <c r="J1096" s="473"/>
      <c r="K1096" s="1164"/>
      <c r="L1096" s="473"/>
      <c r="M1096" s="473"/>
      <c r="N1096" s="1164"/>
      <c r="O1096" s="473"/>
      <c r="P1096" s="473"/>
      <c r="Q1096" s="1164"/>
      <c r="R1096" s="473"/>
      <c r="S1096" s="473"/>
      <c r="T1096" s="1164"/>
      <c r="U1096" s="1164"/>
      <c r="V1096" s="473"/>
      <c r="W1096" s="473"/>
      <c r="X1096" s="1164"/>
      <c r="Y1096" s="473"/>
      <c r="Z1096" s="473"/>
      <c r="AA1096" s="1164"/>
      <c r="AB1096" s="473"/>
      <c r="AC1096" s="1164"/>
      <c r="AD1096" s="473"/>
      <c r="AE1096" s="1164"/>
      <c r="AF1096" s="473"/>
      <c r="AG1096" s="1164"/>
      <c r="AH1096" s="473"/>
      <c r="AI1096" s="473"/>
      <c r="AJ1096" s="1164"/>
      <c r="AK1096" s="473"/>
      <c r="AL1096" s="473"/>
      <c r="AM1096" s="1164"/>
      <c r="AN1096" s="473"/>
      <c r="AO1096" s="473"/>
      <c r="AP1096" s="1164"/>
      <c r="AQ1096" s="473"/>
      <c r="AR1096" s="473"/>
      <c r="AS1096" s="1236"/>
      <c r="AT1096" s="473"/>
      <c r="AU1096" s="473"/>
      <c r="AV1096" s="1164"/>
      <c r="AW1096" s="1164"/>
      <c r="AX1096" s="1236"/>
      <c r="AY1096" s="473"/>
      <c r="AZ1096" s="1236"/>
      <c r="BA1096" s="473"/>
      <c r="BB1096" s="473"/>
      <c r="BC1096" s="1164"/>
      <c r="BD1096" s="20"/>
      <c r="BE1096" s="473"/>
      <c r="BF1096" s="610"/>
      <c r="BG1096" s="610"/>
      <c r="BH1096" s="610"/>
      <c r="BI1096" s="610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</row>
    <row r="1097" spans="1:148" s="22" customFormat="1" x14ac:dyDescent="0.25">
      <c r="A1097" s="20"/>
      <c r="B1097" s="16"/>
      <c r="C1097" s="473"/>
      <c r="D1097" s="473"/>
      <c r="E1097" s="1164"/>
      <c r="F1097" s="473"/>
      <c r="G1097" s="473"/>
      <c r="H1097" s="1164"/>
      <c r="I1097" s="473"/>
      <c r="J1097" s="473"/>
      <c r="K1097" s="1164"/>
      <c r="L1097" s="473"/>
      <c r="M1097" s="473"/>
      <c r="N1097" s="1164"/>
      <c r="O1097" s="473"/>
      <c r="P1097" s="473"/>
      <c r="Q1097" s="1164"/>
      <c r="R1097" s="473"/>
      <c r="S1097" s="473"/>
      <c r="T1097" s="1164"/>
      <c r="U1097" s="1164"/>
      <c r="V1097" s="473"/>
      <c r="W1097" s="473"/>
      <c r="X1097" s="1164"/>
      <c r="Y1097" s="473"/>
      <c r="Z1097" s="473"/>
      <c r="AA1097" s="1164"/>
      <c r="AB1097" s="473"/>
      <c r="AC1097" s="1164"/>
      <c r="AD1097" s="473"/>
      <c r="AE1097" s="1164"/>
      <c r="AF1097" s="473"/>
      <c r="AG1097" s="1164"/>
      <c r="AH1097" s="473"/>
      <c r="AI1097" s="473"/>
      <c r="AJ1097" s="1164"/>
      <c r="AK1097" s="473"/>
      <c r="AL1097" s="473"/>
      <c r="AM1097" s="1164"/>
      <c r="AN1097" s="473"/>
      <c r="AO1097" s="473"/>
      <c r="AP1097" s="1164"/>
      <c r="AQ1097" s="473"/>
      <c r="AR1097" s="473"/>
      <c r="AS1097" s="1236"/>
      <c r="AT1097" s="473"/>
      <c r="AU1097" s="473"/>
      <c r="AV1097" s="1164"/>
      <c r="AW1097" s="1164"/>
      <c r="AX1097" s="1236"/>
      <c r="AY1097" s="473"/>
      <c r="AZ1097" s="1236"/>
      <c r="BA1097" s="473"/>
      <c r="BB1097" s="473"/>
      <c r="BC1097" s="1164"/>
      <c r="BD1097" s="20"/>
      <c r="BE1097" s="473"/>
      <c r="BF1097" s="610"/>
      <c r="BG1097" s="610"/>
      <c r="BH1097" s="610"/>
      <c r="BI1097" s="610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</row>
    <row r="1098" spans="1:148" s="22" customFormat="1" x14ac:dyDescent="0.25">
      <c r="A1098" s="20"/>
      <c r="B1098" s="16"/>
      <c r="C1098" s="473"/>
      <c r="D1098" s="473"/>
      <c r="E1098" s="1164"/>
      <c r="F1098" s="473"/>
      <c r="G1098" s="473"/>
      <c r="H1098" s="1164"/>
      <c r="I1098" s="473"/>
      <c r="J1098" s="473"/>
      <c r="K1098" s="1164"/>
      <c r="L1098" s="473"/>
      <c r="M1098" s="473"/>
      <c r="N1098" s="1164"/>
      <c r="O1098" s="473"/>
      <c r="P1098" s="473"/>
      <c r="Q1098" s="1164"/>
      <c r="R1098" s="473"/>
      <c r="S1098" s="473"/>
      <c r="T1098" s="1164"/>
      <c r="U1098" s="1164"/>
      <c r="V1098" s="473"/>
      <c r="W1098" s="473"/>
      <c r="X1098" s="1164"/>
      <c r="Y1098" s="473"/>
      <c r="Z1098" s="473"/>
      <c r="AA1098" s="1164"/>
      <c r="AB1098" s="473"/>
      <c r="AC1098" s="1164"/>
      <c r="AD1098" s="473"/>
      <c r="AE1098" s="1164"/>
      <c r="AF1098" s="473"/>
      <c r="AG1098" s="1164"/>
      <c r="AH1098" s="473"/>
      <c r="AI1098" s="473"/>
      <c r="AJ1098" s="1164"/>
      <c r="AK1098" s="473"/>
      <c r="AL1098" s="473"/>
      <c r="AM1098" s="1164"/>
      <c r="AN1098" s="473"/>
      <c r="AO1098" s="473"/>
      <c r="AP1098" s="1164"/>
      <c r="AQ1098" s="473"/>
      <c r="AR1098" s="473"/>
      <c r="AS1098" s="1236"/>
      <c r="AT1098" s="473"/>
      <c r="AU1098" s="473"/>
      <c r="AV1098" s="1164"/>
      <c r="AW1098" s="1164"/>
      <c r="AX1098" s="1236"/>
      <c r="AY1098" s="473"/>
      <c r="AZ1098" s="1236"/>
      <c r="BA1098" s="473"/>
      <c r="BB1098" s="473"/>
      <c r="BC1098" s="1164"/>
      <c r="BD1098" s="20"/>
      <c r="BE1098" s="473"/>
      <c r="BF1098" s="610"/>
      <c r="BG1098" s="610"/>
      <c r="BH1098" s="610"/>
      <c r="BI1098" s="610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</row>
    <row r="1099" spans="1:148" s="22" customFormat="1" x14ac:dyDescent="0.25">
      <c r="A1099" s="20"/>
      <c r="B1099" s="16"/>
      <c r="C1099" s="473"/>
      <c r="D1099" s="473"/>
      <c r="E1099" s="1164"/>
      <c r="F1099" s="473"/>
      <c r="G1099" s="473"/>
      <c r="H1099" s="1164"/>
      <c r="I1099" s="473"/>
      <c r="J1099" s="473"/>
      <c r="K1099" s="1164"/>
      <c r="L1099" s="473"/>
      <c r="M1099" s="473"/>
      <c r="N1099" s="1164"/>
      <c r="O1099" s="473"/>
      <c r="P1099" s="473"/>
      <c r="Q1099" s="1164"/>
      <c r="R1099" s="473"/>
      <c r="S1099" s="473"/>
      <c r="T1099" s="1164"/>
      <c r="U1099" s="1164"/>
      <c r="V1099" s="473"/>
      <c r="W1099" s="473"/>
      <c r="X1099" s="1164"/>
      <c r="Y1099" s="473"/>
      <c r="Z1099" s="473"/>
      <c r="AA1099" s="1164"/>
      <c r="AB1099" s="473"/>
      <c r="AC1099" s="1164"/>
      <c r="AD1099" s="473"/>
      <c r="AE1099" s="1164"/>
      <c r="AF1099" s="473"/>
      <c r="AG1099" s="1164"/>
      <c r="AH1099" s="473"/>
      <c r="AI1099" s="473"/>
      <c r="AJ1099" s="1164"/>
      <c r="AK1099" s="473"/>
      <c r="AL1099" s="473"/>
      <c r="AM1099" s="1164"/>
      <c r="AN1099" s="473"/>
      <c r="AO1099" s="473"/>
      <c r="AP1099" s="1164"/>
      <c r="AQ1099" s="473"/>
      <c r="AR1099" s="473"/>
      <c r="AS1099" s="1236"/>
      <c r="AT1099" s="473"/>
      <c r="AU1099" s="473"/>
      <c r="AV1099" s="1164"/>
      <c r="AW1099" s="1164"/>
      <c r="AX1099" s="1236"/>
      <c r="AY1099" s="473"/>
      <c r="AZ1099" s="1236"/>
      <c r="BA1099" s="473"/>
      <c r="BB1099" s="473"/>
      <c r="BC1099" s="1164"/>
      <c r="BD1099" s="20"/>
      <c r="BE1099" s="473"/>
      <c r="BF1099" s="610"/>
      <c r="BG1099" s="610"/>
      <c r="BH1099" s="610"/>
      <c r="BI1099" s="610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</row>
    <row r="1100" spans="1:148" s="22" customFormat="1" x14ac:dyDescent="0.25">
      <c r="A1100" s="20"/>
      <c r="B1100" s="16"/>
      <c r="C1100" s="473"/>
      <c r="D1100" s="473"/>
      <c r="E1100" s="1164"/>
      <c r="F1100" s="473"/>
      <c r="G1100" s="473"/>
      <c r="H1100" s="1164"/>
      <c r="I1100" s="473"/>
      <c r="J1100" s="473"/>
      <c r="K1100" s="1164"/>
      <c r="L1100" s="473"/>
      <c r="M1100" s="473"/>
      <c r="N1100" s="1164"/>
      <c r="O1100" s="473"/>
      <c r="P1100" s="473"/>
      <c r="Q1100" s="1164"/>
      <c r="R1100" s="473"/>
      <c r="S1100" s="473"/>
      <c r="T1100" s="1164"/>
      <c r="U1100" s="1164"/>
      <c r="V1100" s="473"/>
      <c r="W1100" s="473"/>
      <c r="X1100" s="1164"/>
      <c r="Y1100" s="473"/>
      <c r="Z1100" s="473"/>
      <c r="AA1100" s="1164"/>
      <c r="AB1100" s="473"/>
      <c r="AC1100" s="1164"/>
      <c r="AD1100" s="473"/>
      <c r="AE1100" s="1164"/>
      <c r="AF1100" s="473"/>
      <c r="AG1100" s="1164"/>
      <c r="AH1100" s="473"/>
      <c r="AI1100" s="473"/>
      <c r="AJ1100" s="1164"/>
      <c r="AK1100" s="473"/>
      <c r="AL1100" s="473"/>
      <c r="AM1100" s="1164"/>
      <c r="AN1100" s="473"/>
      <c r="AO1100" s="473"/>
      <c r="AP1100" s="1164"/>
      <c r="AQ1100" s="473"/>
      <c r="AR1100" s="473"/>
      <c r="AS1100" s="1236"/>
      <c r="AT1100" s="473"/>
      <c r="AU1100" s="473"/>
      <c r="AV1100" s="1164"/>
      <c r="AW1100" s="1164"/>
      <c r="AX1100" s="1236"/>
      <c r="AY1100" s="473"/>
      <c r="AZ1100" s="1236"/>
      <c r="BA1100" s="473"/>
      <c r="BB1100" s="473"/>
      <c r="BC1100" s="1164"/>
      <c r="BD1100" s="20"/>
      <c r="BE1100" s="473"/>
      <c r="BF1100" s="610"/>
      <c r="BG1100" s="610"/>
      <c r="BH1100" s="610"/>
      <c r="BI1100" s="610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</row>
    <row r="1101" spans="1:148" s="22" customFormat="1" x14ac:dyDescent="0.25">
      <c r="A1101" s="20"/>
      <c r="B1101" s="16"/>
      <c r="C1101" s="473"/>
      <c r="D1101" s="473"/>
      <c r="E1101" s="1164"/>
      <c r="F1101" s="473"/>
      <c r="G1101" s="473"/>
      <c r="H1101" s="1164"/>
      <c r="I1101" s="473"/>
      <c r="J1101" s="473"/>
      <c r="K1101" s="1164"/>
      <c r="L1101" s="473"/>
      <c r="M1101" s="473"/>
      <c r="N1101" s="1164"/>
      <c r="O1101" s="473"/>
      <c r="P1101" s="473"/>
      <c r="Q1101" s="1164"/>
      <c r="R1101" s="473"/>
      <c r="S1101" s="473"/>
      <c r="T1101" s="1164"/>
      <c r="U1101" s="1164"/>
      <c r="V1101" s="473"/>
      <c r="W1101" s="473"/>
      <c r="X1101" s="1164"/>
      <c r="Y1101" s="473"/>
      <c r="Z1101" s="473"/>
      <c r="AA1101" s="1164"/>
      <c r="AB1101" s="473"/>
      <c r="AC1101" s="1164"/>
      <c r="AD1101" s="473"/>
      <c r="AE1101" s="1164"/>
      <c r="AF1101" s="473"/>
      <c r="AG1101" s="1164"/>
      <c r="AH1101" s="473"/>
      <c r="AI1101" s="473"/>
      <c r="AJ1101" s="1164"/>
      <c r="AK1101" s="473"/>
      <c r="AL1101" s="473"/>
      <c r="AM1101" s="1164"/>
      <c r="AN1101" s="473"/>
      <c r="AO1101" s="473"/>
      <c r="AP1101" s="1164"/>
      <c r="AQ1101" s="473"/>
      <c r="AR1101" s="473"/>
      <c r="AS1101" s="1236"/>
      <c r="AT1101" s="473"/>
      <c r="AU1101" s="473"/>
      <c r="AV1101" s="1164"/>
      <c r="AW1101" s="1164"/>
      <c r="AX1101" s="1236"/>
      <c r="AY1101" s="473"/>
      <c r="AZ1101" s="1236"/>
      <c r="BA1101" s="473"/>
      <c r="BB1101" s="473"/>
      <c r="BC1101" s="1164"/>
      <c r="BD1101" s="20"/>
      <c r="BE1101" s="473"/>
      <c r="BF1101" s="610"/>
      <c r="BG1101" s="610"/>
      <c r="BH1101" s="610"/>
      <c r="BI1101" s="610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</row>
    <row r="1102" spans="1:148" s="22" customFormat="1" x14ac:dyDescent="0.25">
      <c r="A1102" s="20"/>
      <c r="B1102" s="16"/>
      <c r="C1102" s="473"/>
      <c r="D1102" s="473"/>
      <c r="E1102" s="1164"/>
      <c r="F1102" s="473"/>
      <c r="G1102" s="473"/>
      <c r="H1102" s="1164"/>
      <c r="I1102" s="473"/>
      <c r="J1102" s="473"/>
      <c r="K1102" s="1164"/>
      <c r="L1102" s="473"/>
      <c r="M1102" s="473"/>
      <c r="N1102" s="1164"/>
      <c r="O1102" s="473"/>
      <c r="P1102" s="473"/>
      <c r="Q1102" s="1164"/>
      <c r="R1102" s="473"/>
      <c r="S1102" s="473"/>
      <c r="T1102" s="1164"/>
      <c r="U1102" s="1164"/>
      <c r="V1102" s="473"/>
      <c r="W1102" s="473"/>
      <c r="X1102" s="1164"/>
      <c r="Y1102" s="473"/>
      <c r="Z1102" s="473"/>
      <c r="AA1102" s="1164"/>
      <c r="AB1102" s="473"/>
      <c r="AC1102" s="1164"/>
      <c r="AD1102" s="473"/>
      <c r="AE1102" s="1164"/>
      <c r="AF1102" s="473"/>
      <c r="AG1102" s="1164"/>
      <c r="AH1102" s="473"/>
      <c r="AI1102" s="473"/>
      <c r="AJ1102" s="1164"/>
      <c r="AK1102" s="473"/>
      <c r="AL1102" s="473"/>
      <c r="AM1102" s="1164"/>
      <c r="AN1102" s="473"/>
      <c r="AO1102" s="473"/>
      <c r="AP1102" s="1164"/>
      <c r="AQ1102" s="473"/>
      <c r="AR1102" s="473"/>
      <c r="AS1102" s="1236"/>
      <c r="AT1102" s="473"/>
      <c r="AU1102" s="473"/>
      <c r="AV1102" s="1164"/>
      <c r="AW1102" s="1164"/>
      <c r="AX1102" s="1236"/>
      <c r="AY1102" s="473"/>
      <c r="AZ1102" s="1236"/>
      <c r="BA1102" s="473"/>
      <c r="BB1102" s="473"/>
      <c r="BC1102" s="1164"/>
      <c r="BD1102" s="20"/>
      <c r="BE1102" s="473"/>
      <c r="BF1102" s="610"/>
      <c r="BG1102" s="610"/>
      <c r="BH1102" s="610"/>
      <c r="BI1102" s="610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</row>
    <row r="1103" spans="1:148" s="22" customFormat="1" x14ac:dyDescent="0.25">
      <c r="A1103" s="20"/>
      <c r="B1103" s="16"/>
      <c r="C1103" s="473"/>
      <c r="D1103" s="473"/>
      <c r="E1103" s="1164"/>
      <c r="F1103" s="473"/>
      <c r="G1103" s="473"/>
      <c r="H1103" s="1164"/>
      <c r="I1103" s="473"/>
      <c r="J1103" s="473"/>
      <c r="K1103" s="1164"/>
      <c r="L1103" s="473"/>
      <c r="M1103" s="473"/>
      <c r="N1103" s="1164"/>
      <c r="O1103" s="473"/>
      <c r="P1103" s="473"/>
      <c r="Q1103" s="1164"/>
      <c r="R1103" s="473"/>
      <c r="S1103" s="473"/>
      <c r="T1103" s="1164"/>
      <c r="U1103" s="1164"/>
      <c r="V1103" s="473"/>
      <c r="W1103" s="473"/>
      <c r="X1103" s="1164"/>
      <c r="Y1103" s="473"/>
      <c r="Z1103" s="473"/>
      <c r="AA1103" s="1164"/>
      <c r="AB1103" s="473"/>
      <c r="AC1103" s="1164"/>
      <c r="AD1103" s="473"/>
      <c r="AE1103" s="1164"/>
      <c r="AF1103" s="473"/>
      <c r="AG1103" s="1164"/>
      <c r="AH1103" s="473"/>
      <c r="AI1103" s="473"/>
      <c r="AJ1103" s="1164"/>
      <c r="AK1103" s="473"/>
      <c r="AL1103" s="473"/>
      <c r="AM1103" s="1164"/>
      <c r="AN1103" s="473"/>
      <c r="AO1103" s="473"/>
      <c r="AP1103" s="1164"/>
      <c r="AQ1103" s="473"/>
      <c r="AR1103" s="473"/>
      <c r="AS1103" s="1236"/>
      <c r="AT1103" s="473"/>
      <c r="AU1103" s="473"/>
      <c r="AV1103" s="1164"/>
      <c r="AW1103" s="1164"/>
      <c r="AX1103" s="1236"/>
      <c r="AY1103" s="473"/>
      <c r="AZ1103" s="1236"/>
      <c r="BA1103" s="473"/>
      <c r="BB1103" s="473"/>
      <c r="BC1103" s="1164"/>
      <c r="BD1103" s="20"/>
      <c r="BE1103" s="473"/>
      <c r="BF1103" s="610"/>
      <c r="BG1103" s="610"/>
      <c r="BH1103" s="610"/>
      <c r="BI1103" s="610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</row>
    <row r="1104" spans="1:148" s="22" customFormat="1" x14ac:dyDescent="0.25">
      <c r="A1104" s="20"/>
      <c r="B1104" s="16"/>
      <c r="C1104" s="473"/>
      <c r="D1104" s="473"/>
      <c r="E1104" s="1164"/>
      <c r="F1104" s="473"/>
      <c r="G1104" s="473"/>
      <c r="H1104" s="1164"/>
      <c r="I1104" s="473"/>
      <c r="J1104" s="473"/>
      <c r="K1104" s="1164"/>
      <c r="L1104" s="473"/>
      <c r="M1104" s="473"/>
      <c r="N1104" s="1164"/>
      <c r="O1104" s="473"/>
      <c r="P1104" s="473"/>
      <c r="Q1104" s="1164"/>
      <c r="R1104" s="473"/>
      <c r="S1104" s="473"/>
      <c r="T1104" s="1164"/>
      <c r="U1104" s="1164"/>
      <c r="V1104" s="473"/>
      <c r="W1104" s="473"/>
      <c r="X1104" s="1164"/>
      <c r="Y1104" s="473"/>
      <c r="Z1104" s="473"/>
      <c r="AA1104" s="1164"/>
      <c r="AB1104" s="473"/>
      <c r="AC1104" s="1164"/>
      <c r="AD1104" s="473"/>
      <c r="AE1104" s="1164"/>
      <c r="AF1104" s="473"/>
      <c r="AG1104" s="1164"/>
      <c r="AH1104" s="473"/>
      <c r="AI1104" s="473"/>
      <c r="AJ1104" s="1164"/>
      <c r="AK1104" s="473"/>
      <c r="AL1104" s="473"/>
      <c r="AM1104" s="1164"/>
      <c r="AN1104" s="473"/>
      <c r="AO1104" s="473"/>
      <c r="AP1104" s="1164"/>
      <c r="AQ1104" s="473"/>
      <c r="AR1104" s="473"/>
      <c r="AS1104" s="1236"/>
      <c r="AT1104" s="473"/>
      <c r="AU1104" s="473"/>
      <c r="AV1104" s="1164"/>
      <c r="AW1104" s="1164"/>
      <c r="AX1104" s="1236"/>
      <c r="AY1104" s="473"/>
      <c r="AZ1104" s="1236"/>
      <c r="BA1104" s="473"/>
      <c r="BB1104" s="473"/>
      <c r="BC1104" s="1164"/>
      <c r="BD1104" s="20"/>
      <c r="BE1104" s="473"/>
      <c r="BF1104" s="610"/>
      <c r="BG1104" s="610"/>
      <c r="BH1104" s="610"/>
      <c r="BI1104" s="610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</row>
    <row r="1105" spans="1:148" s="22" customFormat="1" x14ac:dyDescent="0.25">
      <c r="A1105" s="20"/>
      <c r="B1105" s="16"/>
      <c r="C1105" s="473"/>
      <c r="D1105" s="473"/>
      <c r="E1105" s="1164"/>
      <c r="F1105" s="473"/>
      <c r="G1105" s="473"/>
      <c r="H1105" s="1164"/>
      <c r="I1105" s="473"/>
      <c r="J1105" s="473"/>
      <c r="K1105" s="1164"/>
      <c r="L1105" s="473"/>
      <c r="M1105" s="473"/>
      <c r="N1105" s="1164"/>
      <c r="O1105" s="473"/>
      <c r="P1105" s="473"/>
      <c r="Q1105" s="1164"/>
      <c r="R1105" s="473"/>
      <c r="S1105" s="473"/>
      <c r="T1105" s="1164"/>
      <c r="U1105" s="1164"/>
      <c r="V1105" s="473"/>
      <c r="W1105" s="473"/>
      <c r="X1105" s="1164"/>
      <c r="Y1105" s="473"/>
      <c r="Z1105" s="473"/>
      <c r="AA1105" s="1164"/>
      <c r="AB1105" s="473"/>
      <c r="AC1105" s="1164"/>
      <c r="AD1105" s="473"/>
      <c r="AE1105" s="1164"/>
      <c r="AF1105" s="473"/>
      <c r="AG1105" s="1164"/>
      <c r="AH1105" s="473"/>
      <c r="AI1105" s="473"/>
      <c r="AJ1105" s="1164"/>
      <c r="AK1105" s="473"/>
      <c r="AL1105" s="473"/>
      <c r="AM1105" s="1164"/>
      <c r="AN1105" s="473"/>
      <c r="AO1105" s="473"/>
      <c r="AP1105" s="1164"/>
      <c r="AQ1105" s="473"/>
      <c r="AR1105" s="473"/>
      <c r="AS1105" s="1236"/>
      <c r="AT1105" s="473"/>
      <c r="AU1105" s="473"/>
      <c r="AV1105" s="1164"/>
      <c r="AW1105" s="1164"/>
      <c r="AX1105" s="1236"/>
      <c r="AY1105" s="473"/>
      <c r="AZ1105" s="1236"/>
      <c r="BA1105" s="473"/>
      <c r="BB1105" s="473"/>
      <c r="BC1105" s="1164"/>
      <c r="BD1105" s="20"/>
      <c r="BE1105" s="473"/>
      <c r="BF1105" s="610"/>
      <c r="BG1105" s="610"/>
      <c r="BH1105" s="610"/>
      <c r="BI1105" s="610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</row>
    <row r="1106" spans="1:148" s="22" customFormat="1" x14ac:dyDescent="0.25">
      <c r="A1106" s="20"/>
      <c r="B1106" s="16"/>
      <c r="C1106" s="473"/>
      <c r="D1106" s="473"/>
      <c r="E1106" s="1164"/>
      <c r="F1106" s="473"/>
      <c r="G1106" s="473"/>
      <c r="H1106" s="1164"/>
      <c r="I1106" s="473"/>
      <c r="J1106" s="473"/>
      <c r="K1106" s="1164"/>
      <c r="L1106" s="473"/>
      <c r="M1106" s="473"/>
      <c r="N1106" s="1164"/>
      <c r="O1106" s="473"/>
      <c r="P1106" s="473"/>
      <c r="Q1106" s="1164"/>
      <c r="R1106" s="473"/>
      <c r="S1106" s="473"/>
      <c r="T1106" s="1164"/>
      <c r="U1106" s="1164"/>
      <c r="V1106" s="473"/>
      <c r="W1106" s="473"/>
      <c r="X1106" s="1164"/>
      <c r="Y1106" s="473"/>
      <c r="Z1106" s="473"/>
      <c r="AA1106" s="1164"/>
      <c r="AB1106" s="473"/>
      <c r="AC1106" s="1164"/>
      <c r="AD1106" s="473"/>
      <c r="AE1106" s="1164"/>
      <c r="AF1106" s="473"/>
      <c r="AG1106" s="1164"/>
      <c r="AH1106" s="473"/>
      <c r="AI1106" s="473"/>
      <c r="AJ1106" s="1164"/>
      <c r="AK1106" s="473"/>
      <c r="AL1106" s="473"/>
      <c r="AM1106" s="1164"/>
      <c r="AN1106" s="473"/>
      <c r="AO1106" s="473"/>
      <c r="AP1106" s="1164"/>
      <c r="AQ1106" s="473"/>
      <c r="AR1106" s="473"/>
      <c r="AS1106" s="1236"/>
      <c r="AT1106" s="473"/>
      <c r="AU1106" s="473"/>
      <c r="AV1106" s="1164"/>
      <c r="AW1106" s="1164"/>
      <c r="AX1106" s="1236"/>
      <c r="AY1106" s="473"/>
      <c r="AZ1106" s="1236"/>
      <c r="BA1106" s="473"/>
      <c r="BB1106" s="473"/>
      <c r="BC1106" s="1164"/>
      <c r="BD1106" s="20"/>
      <c r="BE1106" s="473"/>
      <c r="BF1106" s="610"/>
      <c r="BG1106" s="610"/>
      <c r="BH1106" s="610"/>
      <c r="BI1106" s="610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</row>
    <row r="1107" spans="1:148" s="22" customFormat="1" x14ac:dyDescent="0.25">
      <c r="A1107" s="20"/>
      <c r="B1107" s="16"/>
      <c r="C1107" s="473"/>
      <c r="D1107" s="473"/>
      <c r="E1107" s="1164"/>
      <c r="F1107" s="473"/>
      <c r="G1107" s="473"/>
      <c r="H1107" s="1164"/>
      <c r="I1107" s="473"/>
      <c r="J1107" s="473"/>
      <c r="K1107" s="1164"/>
      <c r="L1107" s="473"/>
      <c r="M1107" s="473"/>
      <c r="N1107" s="1164"/>
      <c r="O1107" s="473"/>
      <c r="P1107" s="473"/>
      <c r="Q1107" s="1164"/>
      <c r="R1107" s="473"/>
      <c r="S1107" s="473"/>
      <c r="T1107" s="1164"/>
      <c r="U1107" s="1164"/>
      <c r="V1107" s="473"/>
      <c r="W1107" s="473"/>
      <c r="X1107" s="1164"/>
      <c r="Y1107" s="473"/>
      <c r="Z1107" s="473"/>
      <c r="AA1107" s="1164"/>
      <c r="AB1107" s="473"/>
      <c r="AC1107" s="1164"/>
      <c r="AD1107" s="473"/>
      <c r="AE1107" s="1164"/>
      <c r="AF1107" s="473"/>
      <c r="AG1107" s="1164"/>
      <c r="AH1107" s="473"/>
      <c r="AI1107" s="473"/>
      <c r="AJ1107" s="1164"/>
      <c r="AK1107" s="473"/>
      <c r="AL1107" s="473"/>
      <c r="AM1107" s="1164"/>
      <c r="AN1107" s="473"/>
      <c r="AO1107" s="473"/>
      <c r="AP1107" s="1164"/>
      <c r="AQ1107" s="473"/>
      <c r="AR1107" s="473"/>
      <c r="AS1107" s="1236"/>
      <c r="AT1107" s="473"/>
      <c r="AU1107" s="473"/>
      <c r="AV1107" s="1164"/>
      <c r="AW1107" s="1164"/>
      <c r="AX1107" s="1236"/>
      <c r="AY1107" s="473"/>
      <c r="AZ1107" s="1236"/>
      <c r="BA1107" s="473"/>
      <c r="BB1107" s="473"/>
      <c r="BC1107" s="1164"/>
      <c r="BD1107" s="20"/>
      <c r="BE1107" s="473"/>
      <c r="BF1107" s="610"/>
      <c r="BG1107" s="610"/>
      <c r="BH1107" s="610"/>
      <c r="BI1107" s="610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</row>
    <row r="1108" spans="1:148" s="22" customFormat="1" x14ac:dyDescent="0.25">
      <c r="A1108" s="20"/>
      <c r="B1108" s="16"/>
      <c r="C1108" s="473"/>
      <c r="D1108" s="473"/>
      <c r="E1108" s="1164"/>
      <c r="F1108" s="473"/>
      <c r="G1108" s="473"/>
      <c r="H1108" s="1164"/>
      <c r="I1108" s="473"/>
      <c r="J1108" s="473"/>
      <c r="K1108" s="1164"/>
      <c r="L1108" s="473"/>
      <c r="M1108" s="473"/>
      <c r="N1108" s="1164"/>
      <c r="O1108" s="473"/>
      <c r="P1108" s="473"/>
      <c r="Q1108" s="1164"/>
      <c r="R1108" s="473"/>
      <c r="S1108" s="473"/>
      <c r="T1108" s="1164"/>
      <c r="U1108" s="1164"/>
      <c r="V1108" s="473"/>
      <c r="W1108" s="473"/>
      <c r="X1108" s="1164"/>
      <c r="Y1108" s="473"/>
      <c r="Z1108" s="473"/>
      <c r="AA1108" s="1164"/>
      <c r="AB1108" s="473"/>
      <c r="AC1108" s="1164"/>
      <c r="AD1108" s="473"/>
      <c r="AE1108" s="1164"/>
      <c r="AF1108" s="473"/>
      <c r="AG1108" s="1164"/>
      <c r="AH1108" s="473"/>
      <c r="AI1108" s="473"/>
      <c r="AJ1108" s="1164"/>
      <c r="AK1108" s="473"/>
      <c r="AL1108" s="473"/>
      <c r="AM1108" s="1164"/>
      <c r="AN1108" s="473"/>
      <c r="AO1108" s="473"/>
      <c r="AP1108" s="1164"/>
      <c r="AQ1108" s="473"/>
      <c r="AR1108" s="473"/>
      <c r="AS1108" s="1236"/>
      <c r="AT1108" s="473"/>
      <c r="AU1108" s="473"/>
      <c r="AV1108" s="1164"/>
      <c r="AW1108" s="1164"/>
      <c r="AX1108" s="1236"/>
      <c r="AY1108" s="473"/>
      <c r="AZ1108" s="1236"/>
      <c r="BA1108" s="473"/>
      <c r="BB1108" s="473"/>
      <c r="BC1108" s="1164"/>
      <c r="BD1108" s="20"/>
      <c r="BE1108" s="473"/>
      <c r="BF1108" s="610"/>
      <c r="BG1108" s="610"/>
      <c r="BH1108" s="610"/>
      <c r="BI1108" s="610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s="22" customFormat="1" x14ac:dyDescent="0.25">
      <c r="A1109" s="20"/>
      <c r="B1109" s="16"/>
      <c r="C1109" s="473"/>
      <c r="D1109" s="473"/>
      <c r="E1109" s="1164"/>
      <c r="F1109" s="473"/>
      <c r="G1109" s="473"/>
      <c r="H1109" s="1164"/>
      <c r="I1109" s="473"/>
      <c r="J1109" s="473"/>
      <c r="K1109" s="1164"/>
      <c r="L1109" s="473"/>
      <c r="M1109" s="473"/>
      <c r="N1109" s="1164"/>
      <c r="O1109" s="473"/>
      <c r="P1109" s="473"/>
      <c r="Q1109" s="1164"/>
      <c r="R1109" s="473"/>
      <c r="S1109" s="473"/>
      <c r="T1109" s="1164"/>
      <c r="U1109" s="1164"/>
      <c r="V1109" s="473"/>
      <c r="W1109" s="473"/>
      <c r="X1109" s="1164"/>
      <c r="Y1109" s="473"/>
      <c r="Z1109" s="473"/>
      <c r="AA1109" s="1164"/>
      <c r="AB1109" s="473"/>
      <c r="AC1109" s="1164"/>
      <c r="AD1109" s="473"/>
      <c r="AE1109" s="1164"/>
      <c r="AF1109" s="473"/>
      <c r="AG1109" s="1164"/>
      <c r="AH1109" s="473"/>
      <c r="AI1109" s="473"/>
      <c r="AJ1109" s="1164"/>
      <c r="AK1109" s="473"/>
      <c r="AL1109" s="473"/>
      <c r="AM1109" s="1164"/>
      <c r="AN1109" s="473"/>
      <c r="AO1109" s="473"/>
      <c r="AP1109" s="1164"/>
      <c r="AQ1109" s="473"/>
      <c r="AR1109" s="473"/>
      <c r="AS1109" s="1236"/>
      <c r="AT1109" s="473"/>
      <c r="AU1109" s="473"/>
      <c r="AV1109" s="1164"/>
      <c r="AW1109" s="1164"/>
      <c r="AX1109" s="1236"/>
      <c r="AY1109" s="473"/>
      <c r="AZ1109" s="1236"/>
      <c r="BA1109" s="473"/>
      <c r="BB1109" s="473"/>
      <c r="BC1109" s="1164"/>
      <c r="BD1109" s="20"/>
      <c r="BE1109" s="473"/>
      <c r="BF1109" s="610"/>
      <c r="BG1109" s="610"/>
      <c r="BH1109" s="610"/>
      <c r="BI1109" s="610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s="22" customFormat="1" x14ac:dyDescent="0.25">
      <c r="A1110" s="20"/>
      <c r="B1110" s="16"/>
      <c r="C1110" s="473"/>
      <c r="D1110" s="473"/>
      <c r="E1110" s="1164"/>
      <c r="F1110" s="473"/>
      <c r="G1110" s="473"/>
      <c r="H1110" s="1164"/>
      <c r="I1110" s="473"/>
      <c r="J1110" s="473"/>
      <c r="K1110" s="1164"/>
      <c r="L1110" s="473"/>
      <c r="M1110" s="473"/>
      <c r="N1110" s="1164"/>
      <c r="O1110" s="473"/>
      <c r="P1110" s="473"/>
      <c r="Q1110" s="1164"/>
      <c r="R1110" s="473"/>
      <c r="S1110" s="473"/>
      <c r="T1110" s="1164"/>
      <c r="U1110" s="1164"/>
      <c r="V1110" s="473"/>
      <c r="W1110" s="473"/>
      <c r="X1110" s="1164"/>
      <c r="Y1110" s="473"/>
      <c r="Z1110" s="473"/>
      <c r="AA1110" s="1164"/>
      <c r="AB1110" s="473"/>
      <c r="AC1110" s="1164"/>
      <c r="AD1110" s="473"/>
      <c r="AE1110" s="1164"/>
      <c r="AF1110" s="473"/>
      <c r="AG1110" s="1164"/>
      <c r="AH1110" s="473"/>
      <c r="AI1110" s="473"/>
      <c r="AJ1110" s="1164"/>
      <c r="AK1110" s="473"/>
      <c r="AL1110" s="473"/>
      <c r="AM1110" s="1164"/>
      <c r="AN1110" s="473"/>
      <c r="AO1110" s="473"/>
      <c r="AP1110" s="1164"/>
      <c r="AQ1110" s="473"/>
      <c r="AR1110" s="473"/>
      <c r="AS1110" s="1236"/>
      <c r="AT1110" s="473"/>
      <c r="AU1110" s="473"/>
      <c r="AV1110" s="1164"/>
      <c r="AW1110" s="1164"/>
      <c r="AX1110" s="1236"/>
      <c r="AY1110" s="473"/>
      <c r="AZ1110" s="1236"/>
      <c r="BA1110" s="473"/>
      <c r="BB1110" s="473"/>
      <c r="BC1110" s="1164"/>
      <c r="BD1110" s="20"/>
      <c r="BE1110" s="473"/>
      <c r="BF1110" s="610"/>
      <c r="BG1110" s="610"/>
      <c r="BH1110" s="610"/>
      <c r="BI1110" s="610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</row>
    <row r="1111" spans="1:148" s="22" customFormat="1" x14ac:dyDescent="0.25">
      <c r="A1111" s="20"/>
      <c r="B1111" s="16"/>
      <c r="C1111" s="473"/>
      <c r="D1111" s="473"/>
      <c r="E1111" s="1164"/>
      <c r="F1111" s="473"/>
      <c r="G1111" s="473"/>
      <c r="H1111" s="1164"/>
      <c r="I1111" s="473"/>
      <c r="J1111" s="473"/>
      <c r="K1111" s="1164"/>
      <c r="L1111" s="473"/>
      <c r="M1111" s="473"/>
      <c r="N1111" s="1164"/>
      <c r="O1111" s="473"/>
      <c r="P1111" s="473"/>
      <c r="Q1111" s="1164"/>
      <c r="R1111" s="473"/>
      <c r="S1111" s="473"/>
      <c r="T1111" s="1164"/>
      <c r="U1111" s="1164"/>
      <c r="V1111" s="473"/>
      <c r="W1111" s="473"/>
      <c r="X1111" s="1164"/>
      <c r="Y1111" s="473"/>
      <c r="Z1111" s="473"/>
      <c r="AA1111" s="1164"/>
      <c r="AB1111" s="473"/>
      <c r="AC1111" s="1164"/>
      <c r="AD1111" s="473"/>
      <c r="AE1111" s="1164"/>
      <c r="AF1111" s="473"/>
      <c r="AG1111" s="1164"/>
      <c r="AH1111" s="473"/>
      <c r="AI1111" s="473"/>
      <c r="AJ1111" s="1164"/>
      <c r="AK1111" s="473"/>
      <c r="AL1111" s="473"/>
      <c r="AM1111" s="1164"/>
      <c r="AN1111" s="473"/>
      <c r="AO1111" s="473"/>
      <c r="AP1111" s="1164"/>
      <c r="AQ1111" s="473"/>
      <c r="AR1111" s="473"/>
      <c r="AS1111" s="1236"/>
      <c r="AT1111" s="473"/>
      <c r="AU1111" s="473"/>
      <c r="AV1111" s="1164"/>
      <c r="AW1111" s="1164"/>
      <c r="AX1111" s="1236"/>
      <c r="AY1111" s="473"/>
      <c r="AZ1111" s="1236"/>
      <c r="BA1111" s="473"/>
      <c r="BB1111" s="473"/>
      <c r="BC1111" s="1164"/>
      <c r="BD1111" s="20"/>
      <c r="BE1111" s="473"/>
      <c r="BF1111" s="610"/>
      <c r="BG1111" s="610"/>
      <c r="BH1111" s="610"/>
      <c r="BI1111" s="610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</row>
    <row r="1112" spans="1:148" s="22" customFormat="1" x14ac:dyDescent="0.25">
      <c r="A1112" s="20"/>
      <c r="B1112" s="16"/>
      <c r="C1112" s="473"/>
      <c r="D1112" s="473"/>
      <c r="E1112" s="1164"/>
      <c r="F1112" s="473"/>
      <c r="G1112" s="473"/>
      <c r="H1112" s="1164"/>
      <c r="I1112" s="473"/>
      <c r="J1112" s="473"/>
      <c r="K1112" s="1164"/>
      <c r="L1112" s="473"/>
      <c r="M1112" s="473"/>
      <c r="N1112" s="1164"/>
      <c r="O1112" s="473"/>
      <c r="P1112" s="473"/>
      <c r="Q1112" s="1164"/>
      <c r="R1112" s="473"/>
      <c r="S1112" s="473"/>
      <c r="T1112" s="1164"/>
      <c r="U1112" s="1164"/>
      <c r="V1112" s="473"/>
      <c r="W1112" s="473"/>
      <c r="X1112" s="1164"/>
      <c r="Y1112" s="473"/>
      <c r="Z1112" s="473"/>
      <c r="AA1112" s="1164"/>
      <c r="AB1112" s="473"/>
      <c r="AC1112" s="1164"/>
      <c r="AD1112" s="473"/>
      <c r="AE1112" s="1164"/>
      <c r="AF1112" s="473"/>
      <c r="AG1112" s="1164"/>
      <c r="AH1112" s="473"/>
      <c r="AI1112" s="473"/>
      <c r="AJ1112" s="1164"/>
      <c r="AK1112" s="473"/>
      <c r="AL1112" s="473"/>
      <c r="AM1112" s="1164"/>
      <c r="AN1112" s="473"/>
      <c r="AO1112" s="473"/>
      <c r="AP1112" s="1164"/>
      <c r="AQ1112" s="473"/>
      <c r="AR1112" s="473"/>
      <c r="AS1112" s="1236"/>
      <c r="AT1112" s="473"/>
      <c r="AU1112" s="473"/>
      <c r="AV1112" s="1164"/>
      <c r="AW1112" s="1164"/>
      <c r="AX1112" s="1236"/>
      <c r="AY1112" s="473"/>
      <c r="AZ1112" s="1236"/>
      <c r="BA1112" s="473"/>
      <c r="BB1112" s="473"/>
      <c r="BC1112" s="1164"/>
      <c r="BD1112" s="20"/>
      <c r="BE1112" s="473"/>
      <c r="BF1112" s="610"/>
      <c r="BG1112" s="610"/>
      <c r="BH1112" s="610"/>
      <c r="BI1112" s="610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</row>
    <row r="1113" spans="1:148" s="22" customFormat="1" x14ac:dyDescent="0.25">
      <c r="A1113" s="20"/>
      <c r="B1113" s="16"/>
      <c r="C1113" s="473"/>
      <c r="D1113" s="473"/>
      <c r="E1113" s="1164"/>
      <c r="F1113" s="473"/>
      <c r="G1113" s="473"/>
      <c r="H1113" s="1164"/>
      <c r="I1113" s="473"/>
      <c r="J1113" s="473"/>
      <c r="K1113" s="1164"/>
      <c r="L1113" s="473"/>
      <c r="M1113" s="473"/>
      <c r="N1113" s="1164"/>
      <c r="O1113" s="473"/>
      <c r="P1113" s="473"/>
      <c r="Q1113" s="1164"/>
      <c r="R1113" s="473"/>
      <c r="S1113" s="473"/>
      <c r="T1113" s="1164"/>
      <c r="U1113" s="1164"/>
      <c r="V1113" s="473"/>
      <c r="W1113" s="473"/>
      <c r="X1113" s="1164"/>
      <c r="Y1113" s="473"/>
      <c r="Z1113" s="473"/>
      <c r="AA1113" s="1164"/>
      <c r="AB1113" s="473"/>
      <c r="AC1113" s="1164"/>
      <c r="AD1113" s="473"/>
      <c r="AE1113" s="1164"/>
      <c r="AF1113" s="473"/>
      <c r="AG1113" s="1164"/>
      <c r="AH1113" s="473"/>
      <c r="AI1113" s="473"/>
      <c r="AJ1113" s="1164"/>
      <c r="AK1113" s="473"/>
      <c r="AL1113" s="473"/>
      <c r="AM1113" s="1164"/>
      <c r="AN1113" s="473"/>
      <c r="AO1113" s="473"/>
      <c r="AP1113" s="1164"/>
      <c r="AQ1113" s="473"/>
      <c r="AR1113" s="473"/>
      <c r="AS1113" s="1236"/>
      <c r="AT1113" s="473"/>
      <c r="AU1113" s="473"/>
      <c r="AV1113" s="1164"/>
      <c r="AW1113" s="1164"/>
      <c r="AX1113" s="1236"/>
      <c r="AY1113" s="473"/>
      <c r="AZ1113" s="1236"/>
      <c r="BA1113" s="473"/>
      <c r="BB1113" s="473"/>
      <c r="BC1113" s="1164"/>
      <c r="BD1113" s="20"/>
      <c r="BE1113" s="473"/>
      <c r="BF1113" s="610"/>
      <c r="BG1113" s="610"/>
      <c r="BH1113" s="610"/>
      <c r="BI1113" s="610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</row>
    <row r="1114" spans="1:148" s="22" customFormat="1" x14ac:dyDescent="0.25">
      <c r="A1114" s="20"/>
      <c r="B1114" s="16"/>
      <c r="C1114" s="473"/>
      <c r="D1114" s="473"/>
      <c r="E1114" s="1164"/>
      <c r="F1114" s="473"/>
      <c r="G1114" s="473"/>
      <c r="H1114" s="1164"/>
      <c r="I1114" s="473"/>
      <c r="J1114" s="473"/>
      <c r="K1114" s="1164"/>
      <c r="L1114" s="473"/>
      <c r="M1114" s="473"/>
      <c r="N1114" s="1164"/>
      <c r="O1114" s="473"/>
      <c r="P1114" s="473"/>
      <c r="Q1114" s="1164"/>
      <c r="R1114" s="473"/>
      <c r="S1114" s="473"/>
      <c r="T1114" s="1164"/>
      <c r="U1114" s="1164"/>
      <c r="V1114" s="473"/>
      <c r="W1114" s="473"/>
      <c r="X1114" s="1164"/>
      <c r="Y1114" s="473"/>
      <c r="Z1114" s="473"/>
      <c r="AA1114" s="1164"/>
      <c r="AB1114" s="473"/>
      <c r="AC1114" s="1164"/>
      <c r="AD1114" s="473"/>
      <c r="AE1114" s="1164"/>
      <c r="AF1114" s="473"/>
      <c r="AG1114" s="1164"/>
      <c r="AH1114" s="473"/>
      <c r="AI1114" s="473"/>
      <c r="AJ1114" s="1164"/>
      <c r="AK1114" s="473"/>
      <c r="AL1114" s="473"/>
      <c r="AM1114" s="1164"/>
      <c r="AN1114" s="473"/>
      <c r="AO1114" s="473"/>
      <c r="AP1114" s="1164"/>
      <c r="AQ1114" s="473"/>
      <c r="AR1114" s="473"/>
      <c r="AS1114" s="1236"/>
      <c r="AT1114" s="473"/>
      <c r="AU1114" s="473"/>
      <c r="AV1114" s="1164"/>
      <c r="AW1114" s="1164"/>
      <c r="AX1114" s="1236"/>
      <c r="AY1114" s="473"/>
      <c r="AZ1114" s="1236"/>
      <c r="BA1114" s="473"/>
      <c r="BB1114" s="473"/>
      <c r="BC1114" s="1164"/>
      <c r="BD1114" s="20"/>
      <c r="BE1114" s="473"/>
      <c r="BF1114" s="610"/>
      <c r="BG1114" s="610"/>
      <c r="BH1114" s="610"/>
      <c r="BI1114" s="610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</row>
    <row r="1115" spans="1:148" s="22" customFormat="1" x14ac:dyDescent="0.25">
      <c r="A1115" s="20"/>
      <c r="B1115" s="16"/>
      <c r="C1115" s="473"/>
      <c r="D1115" s="473"/>
      <c r="E1115" s="1164"/>
      <c r="F1115" s="473"/>
      <c r="G1115" s="473"/>
      <c r="H1115" s="1164"/>
      <c r="I1115" s="473"/>
      <c r="J1115" s="473"/>
      <c r="K1115" s="1164"/>
      <c r="L1115" s="473"/>
      <c r="M1115" s="473"/>
      <c r="N1115" s="1164"/>
      <c r="O1115" s="473"/>
      <c r="P1115" s="473"/>
      <c r="Q1115" s="1164"/>
      <c r="R1115" s="473"/>
      <c r="S1115" s="473"/>
      <c r="T1115" s="1164"/>
      <c r="U1115" s="1164"/>
      <c r="V1115" s="473"/>
      <c r="W1115" s="473"/>
      <c r="X1115" s="1164"/>
      <c r="Y1115" s="473"/>
      <c r="Z1115" s="473"/>
      <c r="AA1115" s="1164"/>
      <c r="AB1115" s="473"/>
      <c r="AC1115" s="1164"/>
      <c r="AD1115" s="473"/>
      <c r="AE1115" s="1164"/>
      <c r="AF1115" s="473"/>
      <c r="AG1115" s="1164"/>
      <c r="AH1115" s="473"/>
      <c r="AI1115" s="473"/>
      <c r="AJ1115" s="1164"/>
      <c r="AK1115" s="473"/>
      <c r="AL1115" s="473"/>
      <c r="AM1115" s="1164"/>
      <c r="AN1115" s="473"/>
      <c r="AO1115" s="473"/>
      <c r="AP1115" s="1164"/>
      <c r="AQ1115" s="473"/>
      <c r="AR1115" s="473"/>
      <c r="AS1115" s="1236"/>
      <c r="AT1115" s="473"/>
      <c r="AU1115" s="473"/>
      <c r="AV1115" s="1164"/>
      <c r="AW1115" s="1164"/>
      <c r="AX1115" s="1236"/>
      <c r="AY1115" s="473"/>
      <c r="AZ1115" s="1236"/>
      <c r="BA1115" s="473"/>
      <c r="BB1115" s="473"/>
      <c r="BC1115" s="1164"/>
      <c r="BD1115" s="20"/>
      <c r="BE1115" s="473"/>
      <c r="BF1115" s="610"/>
      <c r="BG1115" s="610"/>
      <c r="BH1115" s="610"/>
      <c r="BI1115" s="610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</row>
    <row r="1116" spans="1:148" s="22" customFormat="1" x14ac:dyDescent="0.25">
      <c r="A1116" s="20"/>
      <c r="B1116" s="16"/>
      <c r="C1116" s="473"/>
      <c r="D1116" s="473"/>
      <c r="E1116" s="1164"/>
      <c r="F1116" s="473"/>
      <c r="G1116" s="473"/>
      <c r="H1116" s="1164"/>
      <c r="I1116" s="473"/>
      <c r="J1116" s="473"/>
      <c r="K1116" s="1164"/>
      <c r="L1116" s="473"/>
      <c r="M1116" s="473"/>
      <c r="N1116" s="1164"/>
      <c r="O1116" s="473"/>
      <c r="P1116" s="473"/>
      <c r="Q1116" s="1164"/>
      <c r="R1116" s="473"/>
      <c r="S1116" s="473"/>
      <c r="T1116" s="1164"/>
      <c r="U1116" s="1164"/>
      <c r="V1116" s="473"/>
      <c r="W1116" s="473"/>
      <c r="X1116" s="1164"/>
      <c r="Y1116" s="473"/>
      <c r="Z1116" s="473"/>
      <c r="AA1116" s="1164"/>
      <c r="AB1116" s="473"/>
      <c r="AC1116" s="1164"/>
      <c r="AD1116" s="473"/>
      <c r="AE1116" s="1164"/>
      <c r="AF1116" s="473"/>
      <c r="AG1116" s="1164"/>
      <c r="AH1116" s="473"/>
      <c r="AI1116" s="473"/>
      <c r="AJ1116" s="1164"/>
      <c r="AK1116" s="473"/>
      <c r="AL1116" s="473"/>
      <c r="AM1116" s="1164"/>
      <c r="AN1116" s="473"/>
      <c r="AO1116" s="473"/>
      <c r="AP1116" s="1164"/>
      <c r="AQ1116" s="473"/>
      <c r="AR1116" s="473"/>
      <c r="AS1116" s="1236"/>
      <c r="AT1116" s="473"/>
      <c r="AU1116" s="473"/>
      <c r="AV1116" s="1164"/>
      <c r="AW1116" s="1164"/>
      <c r="AX1116" s="1236"/>
      <c r="AY1116" s="473"/>
      <c r="AZ1116" s="1236"/>
      <c r="BA1116" s="473"/>
      <c r="BB1116" s="473"/>
      <c r="BC1116" s="1164"/>
      <c r="BD1116" s="20"/>
      <c r="BE1116" s="473"/>
      <c r="BF1116" s="610"/>
      <c r="BG1116" s="610"/>
      <c r="BH1116" s="610"/>
      <c r="BI1116" s="610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</row>
    <row r="1117" spans="1:148" s="22" customFormat="1" x14ac:dyDescent="0.25">
      <c r="A1117" s="20"/>
      <c r="B1117" s="16"/>
      <c r="C1117" s="473"/>
      <c r="D1117" s="473"/>
      <c r="E1117" s="1164"/>
      <c r="F1117" s="473"/>
      <c r="G1117" s="473"/>
      <c r="H1117" s="1164"/>
      <c r="I1117" s="473"/>
      <c r="J1117" s="473"/>
      <c r="K1117" s="1164"/>
      <c r="L1117" s="473"/>
      <c r="M1117" s="473"/>
      <c r="N1117" s="1164"/>
      <c r="O1117" s="473"/>
      <c r="P1117" s="473"/>
      <c r="Q1117" s="1164"/>
      <c r="R1117" s="473"/>
      <c r="S1117" s="473"/>
      <c r="T1117" s="1164"/>
      <c r="U1117" s="1164"/>
      <c r="V1117" s="473"/>
      <c r="W1117" s="473"/>
      <c r="X1117" s="1164"/>
      <c r="Y1117" s="473"/>
      <c r="Z1117" s="473"/>
      <c r="AA1117" s="1164"/>
      <c r="AB1117" s="473"/>
      <c r="AC1117" s="1164"/>
      <c r="AD1117" s="473"/>
      <c r="AE1117" s="1164"/>
      <c r="AF1117" s="473"/>
      <c r="AG1117" s="1164"/>
      <c r="AH1117" s="473"/>
      <c r="AI1117" s="473"/>
      <c r="AJ1117" s="1164"/>
      <c r="AK1117" s="473"/>
      <c r="AL1117" s="473"/>
      <c r="AM1117" s="1164"/>
      <c r="AN1117" s="473"/>
      <c r="AO1117" s="473"/>
      <c r="AP1117" s="1164"/>
      <c r="AQ1117" s="473"/>
      <c r="AR1117" s="473"/>
      <c r="AS1117" s="1236"/>
      <c r="AT1117" s="473"/>
      <c r="AU1117" s="473"/>
      <c r="AV1117" s="1164"/>
      <c r="AW1117" s="1164"/>
      <c r="AX1117" s="1236"/>
      <c r="AY1117" s="473"/>
      <c r="AZ1117" s="1236"/>
      <c r="BA1117" s="473"/>
      <c r="BB1117" s="473"/>
      <c r="BC1117" s="1164"/>
      <c r="BD1117" s="20"/>
      <c r="BE1117" s="473"/>
      <c r="BF1117" s="610"/>
      <c r="BG1117" s="610"/>
      <c r="BH1117" s="610"/>
      <c r="BI1117" s="610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</row>
    <row r="1118" spans="1:148" s="22" customFormat="1" x14ac:dyDescent="0.25">
      <c r="A1118" s="20"/>
      <c r="B1118" s="16"/>
      <c r="C1118" s="473"/>
      <c r="D1118" s="473"/>
      <c r="E1118" s="1164"/>
      <c r="F1118" s="473"/>
      <c r="G1118" s="473"/>
      <c r="H1118" s="1164"/>
      <c r="I1118" s="473"/>
      <c r="J1118" s="473"/>
      <c r="K1118" s="1164"/>
      <c r="L1118" s="473"/>
      <c r="M1118" s="473"/>
      <c r="N1118" s="1164"/>
      <c r="O1118" s="473"/>
      <c r="P1118" s="473"/>
      <c r="Q1118" s="1164"/>
      <c r="R1118" s="473"/>
      <c r="S1118" s="473"/>
      <c r="T1118" s="1164"/>
      <c r="U1118" s="1164"/>
      <c r="V1118" s="473"/>
      <c r="W1118" s="473"/>
      <c r="X1118" s="1164"/>
      <c r="Y1118" s="473"/>
      <c r="Z1118" s="473"/>
      <c r="AA1118" s="1164"/>
      <c r="AB1118" s="473"/>
      <c r="AC1118" s="1164"/>
      <c r="AD1118" s="473"/>
      <c r="AE1118" s="1164"/>
      <c r="AF1118" s="473"/>
      <c r="AG1118" s="1164"/>
      <c r="AH1118" s="473"/>
      <c r="AI1118" s="473"/>
      <c r="AJ1118" s="1164"/>
      <c r="AK1118" s="473"/>
      <c r="AL1118" s="473"/>
      <c r="AM1118" s="1164"/>
      <c r="AN1118" s="473"/>
      <c r="AO1118" s="473"/>
      <c r="AP1118" s="1164"/>
      <c r="AQ1118" s="473"/>
      <c r="AR1118" s="473"/>
      <c r="AS1118" s="1236"/>
      <c r="AT1118" s="473"/>
      <c r="AU1118" s="473"/>
      <c r="AV1118" s="1164"/>
      <c r="AW1118" s="1164"/>
      <c r="AX1118" s="1236"/>
      <c r="AY1118" s="473"/>
      <c r="AZ1118" s="1236"/>
      <c r="BA1118" s="473"/>
      <c r="BB1118" s="473"/>
      <c r="BC1118" s="1164"/>
      <c r="BD1118" s="20"/>
      <c r="BE1118" s="473"/>
      <c r="BF1118" s="610"/>
      <c r="BG1118" s="610"/>
      <c r="BH1118" s="610"/>
      <c r="BI1118" s="610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</row>
    <row r="1119" spans="1:148" s="22" customFormat="1" x14ac:dyDescent="0.25">
      <c r="A1119" s="20"/>
      <c r="B1119" s="16"/>
      <c r="C1119" s="473"/>
      <c r="D1119" s="473"/>
      <c r="E1119" s="1164"/>
      <c r="F1119" s="473"/>
      <c r="G1119" s="473"/>
      <c r="H1119" s="1164"/>
      <c r="I1119" s="473"/>
      <c r="J1119" s="473"/>
      <c r="K1119" s="1164"/>
      <c r="L1119" s="473"/>
      <c r="M1119" s="473"/>
      <c r="N1119" s="1164"/>
      <c r="O1119" s="473"/>
      <c r="P1119" s="473"/>
      <c r="Q1119" s="1164"/>
      <c r="R1119" s="473"/>
      <c r="S1119" s="473"/>
      <c r="T1119" s="1164"/>
      <c r="U1119" s="1164"/>
      <c r="V1119" s="473"/>
      <c r="W1119" s="473"/>
      <c r="X1119" s="1164"/>
      <c r="Y1119" s="473"/>
      <c r="Z1119" s="473"/>
      <c r="AA1119" s="1164"/>
      <c r="AB1119" s="473"/>
      <c r="AC1119" s="1164"/>
      <c r="AD1119" s="473"/>
      <c r="AE1119" s="1164"/>
      <c r="AF1119" s="473"/>
      <c r="AG1119" s="1164"/>
      <c r="AH1119" s="473"/>
      <c r="AI1119" s="473"/>
      <c r="AJ1119" s="1164"/>
      <c r="AK1119" s="473"/>
      <c r="AL1119" s="473"/>
      <c r="AM1119" s="1164"/>
      <c r="AN1119" s="473"/>
      <c r="AO1119" s="473"/>
      <c r="AP1119" s="1164"/>
      <c r="AQ1119" s="473"/>
      <c r="AR1119" s="473"/>
      <c r="AS1119" s="1236"/>
      <c r="AT1119" s="473"/>
      <c r="AU1119" s="473"/>
      <c r="AV1119" s="1164"/>
      <c r="AW1119" s="1164"/>
      <c r="AX1119" s="1236"/>
      <c r="AY1119" s="473"/>
      <c r="AZ1119" s="1236"/>
      <c r="BA1119" s="473"/>
      <c r="BB1119" s="473"/>
      <c r="BC1119" s="1164"/>
      <c r="BD1119" s="20"/>
      <c r="BE1119" s="473"/>
      <c r="BF1119" s="610"/>
      <c r="BG1119" s="610"/>
      <c r="BH1119" s="610"/>
      <c r="BI1119" s="610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</row>
    <row r="1120" spans="1:148" s="22" customFormat="1" x14ac:dyDescent="0.25">
      <c r="A1120" s="20"/>
      <c r="B1120" s="16"/>
      <c r="C1120" s="473"/>
      <c r="D1120" s="473"/>
      <c r="E1120" s="1164"/>
      <c r="F1120" s="473"/>
      <c r="G1120" s="473"/>
      <c r="H1120" s="1164"/>
      <c r="I1120" s="473"/>
      <c r="J1120" s="473"/>
      <c r="K1120" s="1164"/>
      <c r="L1120" s="473"/>
      <c r="M1120" s="473"/>
      <c r="N1120" s="1164"/>
      <c r="O1120" s="473"/>
      <c r="P1120" s="473"/>
      <c r="Q1120" s="1164"/>
      <c r="R1120" s="473"/>
      <c r="S1120" s="473"/>
      <c r="T1120" s="1164"/>
      <c r="U1120" s="1164"/>
      <c r="V1120" s="473"/>
      <c r="W1120" s="473"/>
      <c r="X1120" s="1164"/>
      <c r="Y1120" s="473"/>
      <c r="Z1120" s="473"/>
      <c r="AA1120" s="1164"/>
      <c r="AB1120" s="473"/>
      <c r="AC1120" s="1164"/>
      <c r="AD1120" s="473"/>
      <c r="AE1120" s="1164"/>
      <c r="AF1120" s="473"/>
      <c r="AG1120" s="1164"/>
      <c r="AH1120" s="473"/>
      <c r="AI1120" s="473"/>
      <c r="AJ1120" s="1164"/>
      <c r="AK1120" s="473"/>
      <c r="AL1120" s="473"/>
      <c r="AM1120" s="1164"/>
      <c r="AN1120" s="473"/>
      <c r="AO1120" s="473"/>
      <c r="AP1120" s="1164"/>
      <c r="AQ1120" s="473"/>
      <c r="AR1120" s="473"/>
      <c r="AS1120" s="1236"/>
      <c r="AT1120" s="473"/>
      <c r="AU1120" s="473"/>
      <c r="AV1120" s="1164"/>
      <c r="AW1120" s="1164"/>
      <c r="AX1120" s="1236"/>
      <c r="AY1120" s="473"/>
      <c r="AZ1120" s="1236"/>
      <c r="BA1120" s="473"/>
      <c r="BB1120" s="473"/>
      <c r="BC1120" s="1164"/>
      <c r="BD1120" s="20"/>
      <c r="BE1120" s="473"/>
      <c r="BF1120" s="610"/>
      <c r="BG1120" s="610"/>
      <c r="BH1120" s="610"/>
      <c r="BI1120" s="610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</row>
    <row r="1121" spans="1:148" s="22" customFormat="1" x14ac:dyDescent="0.25">
      <c r="A1121" s="20"/>
      <c r="B1121" s="16"/>
      <c r="C1121" s="473"/>
      <c r="D1121" s="473"/>
      <c r="E1121" s="1164"/>
      <c r="F1121" s="473"/>
      <c r="G1121" s="473"/>
      <c r="H1121" s="1164"/>
      <c r="I1121" s="473"/>
      <c r="J1121" s="473"/>
      <c r="K1121" s="1164"/>
      <c r="L1121" s="473"/>
      <c r="M1121" s="473"/>
      <c r="N1121" s="1164"/>
      <c r="O1121" s="473"/>
      <c r="P1121" s="473"/>
      <c r="Q1121" s="1164"/>
      <c r="R1121" s="473"/>
      <c r="S1121" s="473"/>
      <c r="T1121" s="1164"/>
      <c r="U1121" s="1164"/>
      <c r="V1121" s="473"/>
      <c r="W1121" s="473"/>
      <c r="X1121" s="1164"/>
      <c r="Y1121" s="473"/>
      <c r="Z1121" s="473"/>
      <c r="AA1121" s="1164"/>
      <c r="AB1121" s="473"/>
      <c r="AC1121" s="1164"/>
      <c r="AD1121" s="473"/>
      <c r="AE1121" s="1164"/>
      <c r="AF1121" s="473"/>
      <c r="AG1121" s="1164"/>
      <c r="AH1121" s="473"/>
      <c r="AI1121" s="473"/>
      <c r="AJ1121" s="1164"/>
      <c r="AK1121" s="473"/>
      <c r="AL1121" s="473"/>
      <c r="AM1121" s="1164"/>
      <c r="AN1121" s="473"/>
      <c r="AO1121" s="473"/>
      <c r="AP1121" s="1164"/>
      <c r="AQ1121" s="473"/>
      <c r="AR1121" s="473"/>
      <c r="AS1121" s="1236"/>
      <c r="AT1121" s="473"/>
      <c r="AU1121" s="473"/>
      <c r="AV1121" s="1164"/>
      <c r="AW1121" s="1164"/>
      <c r="AX1121" s="1236"/>
      <c r="AY1121" s="473"/>
      <c r="AZ1121" s="1236"/>
      <c r="BA1121" s="473"/>
      <c r="BB1121" s="473"/>
      <c r="BC1121" s="1164"/>
      <c r="BD1121" s="20"/>
      <c r="BE1121" s="473"/>
      <c r="BF1121" s="610"/>
      <c r="BG1121" s="610"/>
      <c r="BH1121" s="610"/>
      <c r="BI1121" s="610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</row>
    <row r="1122" spans="1:148" s="22" customFormat="1" x14ac:dyDescent="0.25">
      <c r="A1122" s="20"/>
      <c r="B1122" s="16"/>
      <c r="C1122" s="473"/>
      <c r="D1122" s="473"/>
      <c r="E1122" s="1164"/>
      <c r="F1122" s="473"/>
      <c r="G1122" s="473"/>
      <c r="H1122" s="1164"/>
      <c r="I1122" s="473"/>
      <c r="J1122" s="473"/>
      <c r="K1122" s="1164"/>
      <c r="L1122" s="473"/>
      <c r="M1122" s="473"/>
      <c r="N1122" s="1164"/>
      <c r="O1122" s="473"/>
      <c r="P1122" s="473"/>
      <c r="Q1122" s="1164"/>
      <c r="R1122" s="473"/>
      <c r="S1122" s="473"/>
      <c r="T1122" s="1164"/>
      <c r="U1122" s="1164"/>
      <c r="V1122" s="473"/>
      <c r="W1122" s="473"/>
      <c r="X1122" s="1164"/>
      <c r="Y1122" s="473"/>
      <c r="Z1122" s="473"/>
      <c r="AA1122" s="1164"/>
      <c r="AB1122" s="473"/>
      <c r="AC1122" s="1164"/>
      <c r="AD1122" s="473"/>
      <c r="AE1122" s="1164"/>
      <c r="AF1122" s="473"/>
      <c r="AG1122" s="1164"/>
      <c r="AH1122" s="473"/>
      <c r="AI1122" s="473"/>
      <c r="AJ1122" s="1164"/>
      <c r="AK1122" s="473"/>
      <c r="AL1122" s="473"/>
      <c r="AM1122" s="1164"/>
      <c r="AN1122" s="473"/>
      <c r="AO1122" s="473"/>
      <c r="AP1122" s="1164"/>
      <c r="AQ1122" s="473"/>
      <c r="AR1122" s="473"/>
      <c r="AS1122" s="1236"/>
      <c r="AT1122" s="473"/>
      <c r="AU1122" s="473"/>
      <c r="AV1122" s="1164"/>
      <c r="AW1122" s="1164"/>
      <c r="AX1122" s="1236"/>
      <c r="AY1122" s="473"/>
      <c r="AZ1122" s="1236"/>
      <c r="BA1122" s="473"/>
      <c r="BB1122" s="473"/>
      <c r="BC1122" s="1164"/>
      <c r="BD1122" s="20"/>
      <c r="BE1122" s="473"/>
      <c r="BF1122" s="610"/>
      <c r="BG1122" s="610"/>
      <c r="BH1122" s="610"/>
      <c r="BI1122" s="610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</row>
    <row r="1123" spans="1:148" s="22" customFormat="1" x14ac:dyDescent="0.25">
      <c r="A1123" s="20"/>
      <c r="B1123" s="16"/>
      <c r="C1123" s="473"/>
      <c r="D1123" s="473"/>
      <c r="E1123" s="1164"/>
      <c r="F1123" s="473"/>
      <c r="G1123" s="473"/>
      <c r="H1123" s="1164"/>
      <c r="I1123" s="473"/>
      <c r="J1123" s="473"/>
      <c r="K1123" s="1164"/>
      <c r="L1123" s="473"/>
      <c r="M1123" s="473"/>
      <c r="N1123" s="1164"/>
      <c r="O1123" s="473"/>
      <c r="P1123" s="473"/>
      <c r="Q1123" s="1164"/>
      <c r="R1123" s="473"/>
      <c r="S1123" s="473"/>
      <c r="T1123" s="1164"/>
      <c r="U1123" s="1164"/>
      <c r="V1123" s="473"/>
      <c r="W1123" s="473"/>
      <c r="X1123" s="1164"/>
      <c r="Y1123" s="473"/>
      <c r="Z1123" s="473"/>
      <c r="AA1123" s="1164"/>
      <c r="AB1123" s="473"/>
      <c r="AC1123" s="1164"/>
      <c r="AD1123" s="473"/>
      <c r="AE1123" s="1164"/>
      <c r="AF1123" s="473"/>
      <c r="AG1123" s="1164"/>
      <c r="AH1123" s="473"/>
      <c r="AI1123" s="473"/>
      <c r="AJ1123" s="1164"/>
      <c r="AK1123" s="473"/>
      <c r="AL1123" s="473"/>
      <c r="AM1123" s="1164"/>
      <c r="AN1123" s="473"/>
      <c r="AO1123" s="473"/>
      <c r="AP1123" s="1164"/>
      <c r="AQ1123" s="473"/>
      <c r="AR1123" s="473"/>
      <c r="AS1123" s="1236"/>
      <c r="AT1123" s="473"/>
      <c r="AU1123" s="473"/>
      <c r="AV1123" s="1164"/>
      <c r="AW1123" s="1164"/>
      <c r="AX1123" s="1236"/>
      <c r="AY1123" s="473"/>
      <c r="AZ1123" s="1236"/>
      <c r="BA1123" s="473"/>
      <c r="BB1123" s="473"/>
      <c r="BC1123" s="1164"/>
      <c r="BD1123" s="20"/>
      <c r="BE1123" s="473"/>
      <c r="BF1123" s="610"/>
      <c r="BG1123" s="610"/>
      <c r="BH1123" s="610"/>
      <c r="BI1123" s="610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</row>
    <row r="1124" spans="1:148" s="22" customFormat="1" x14ac:dyDescent="0.25">
      <c r="A1124" s="20"/>
      <c r="B1124" s="16"/>
      <c r="C1124" s="473"/>
      <c r="D1124" s="473"/>
      <c r="E1124" s="1164"/>
      <c r="F1124" s="473"/>
      <c r="G1124" s="473"/>
      <c r="H1124" s="1164"/>
      <c r="I1124" s="473"/>
      <c r="J1124" s="473"/>
      <c r="K1124" s="1164"/>
      <c r="L1124" s="473"/>
      <c r="M1124" s="473"/>
      <c r="N1124" s="1164"/>
      <c r="O1124" s="473"/>
      <c r="P1124" s="473"/>
      <c r="Q1124" s="1164"/>
      <c r="R1124" s="473"/>
      <c r="S1124" s="473"/>
      <c r="T1124" s="1164"/>
      <c r="U1124" s="1164"/>
      <c r="V1124" s="473"/>
      <c r="W1124" s="473"/>
      <c r="X1124" s="1164"/>
      <c r="Y1124" s="473"/>
      <c r="Z1124" s="473"/>
      <c r="AA1124" s="1164"/>
      <c r="AB1124" s="473"/>
      <c r="AC1124" s="1164"/>
      <c r="AD1124" s="473"/>
      <c r="AE1124" s="1164"/>
      <c r="AF1124" s="473"/>
      <c r="AG1124" s="1164"/>
      <c r="AH1124" s="473"/>
      <c r="AI1124" s="473"/>
      <c r="AJ1124" s="1164"/>
      <c r="AK1124" s="473"/>
      <c r="AL1124" s="473"/>
      <c r="AM1124" s="1164"/>
      <c r="AN1124" s="473"/>
      <c r="AO1124" s="473"/>
      <c r="AP1124" s="1164"/>
      <c r="AQ1124" s="473"/>
      <c r="AR1124" s="473"/>
      <c r="AS1124" s="1236"/>
      <c r="AT1124" s="473"/>
      <c r="AU1124" s="473"/>
      <c r="AV1124" s="1164"/>
      <c r="AW1124" s="1164"/>
      <c r="AX1124" s="1236"/>
      <c r="AY1124" s="473"/>
      <c r="AZ1124" s="1236"/>
      <c r="BA1124" s="473"/>
      <c r="BB1124" s="473"/>
      <c r="BC1124" s="1164"/>
      <c r="BD1124" s="20"/>
      <c r="BE1124" s="473"/>
      <c r="BF1124" s="610"/>
      <c r="BG1124" s="610"/>
      <c r="BH1124" s="610"/>
      <c r="BI1124" s="610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</row>
    <row r="1125" spans="1:148" s="22" customFormat="1" x14ac:dyDescent="0.25">
      <c r="A1125" s="20"/>
      <c r="B1125" s="16"/>
      <c r="C1125" s="473"/>
      <c r="D1125" s="473"/>
      <c r="E1125" s="1164"/>
      <c r="F1125" s="473"/>
      <c r="G1125" s="473"/>
      <c r="H1125" s="1164"/>
      <c r="I1125" s="473"/>
      <c r="J1125" s="473"/>
      <c r="K1125" s="1164"/>
      <c r="L1125" s="473"/>
      <c r="M1125" s="473"/>
      <c r="N1125" s="1164"/>
      <c r="O1125" s="473"/>
      <c r="P1125" s="473"/>
      <c r="Q1125" s="1164"/>
      <c r="R1125" s="473"/>
      <c r="S1125" s="473"/>
      <c r="T1125" s="1164"/>
      <c r="U1125" s="1164"/>
      <c r="V1125" s="473"/>
      <c r="W1125" s="473"/>
      <c r="X1125" s="1164"/>
      <c r="Y1125" s="473"/>
      <c r="Z1125" s="473"/>
      <c r="AA1125" s="1164"/>
      <c r="AB1125" s="473"/>
      <c r="AC1125" s="1164"/>
      <c r="AD1125" s="473"/>
      <c r="AE1125" s="1164"/>
      <c r="AF1125" s="473"/>
      <c r="AG1125" s="1164"/>
      <c r="AH1125" s="473"/>
      <c r="AI1125" s="473"/>
      <c r="AJ1125" s="1164"/>
      <c r="AK1125" s="473"/>
      <c r="AL1125" s="473"/>
      <c r="AM1125" s="1164"/>
      <c r="AN1125" s="473"/>
      <c r="AO1125" s="473"/>
      <c r="AP1125" s="1164"/>
      <c r="AQ1125" s="473"/>
      <c r="AR1125" s="473"/>
      <c r="AS1125" s="1236"/>
      <c r="AT1125" s="473"/>
      <c r="AU1125" s="473"/>
      <c r="AV1125" s="1164"/>
      <c r="AW1125" s="1164"/>
      <c r="AX1125" s="1236"/>
      <c r="AY1125" s="473"/>
      <c r="AZ1125" s="1236"/>
      <c r="BA1125" s="473"/>
      <c r="BB1125" s="473"/>
      <c r="BC1125" s="1164"/>
      <c r="BD1125" s="20"/>
      <c r="BE1125" s="473"/>
      <c r="BF1125" s="610"/>
      <c r="BG1125" s="610"/>
      <c r="BH1125" s="610"/>
      <c r="BI1125" s="610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</row>
    <row r="1126" spans="1:148" s="22" customFormat="1" x14ac:dyDescent="0.25">
      <c r="A1126" s="20"/>
      <c r="B1126" s="16"/>
      <c r="C1126" s="473"/>
      <c r="D1126" s="473"/>
      <c r="E1126" s="1164"/>
      <c r="F1126" s="473"/>
      <c r="G1126" s="473"/>
      <c r="H1126" s="1164"/>
      <c r="I1126" s="473"/>
      <c r="J1126" s="473"/>
      <c r="K1126" s="1164"/>
      <c r="L1126" s="473"/>
      <c r="M1126" s="473"/>
      <c r="N1126" s="1164"/>
      <c r="O1126" s="473"/>
      <c r="P1126" s="473"/>
      <c r="Q1126" s="1164"/>
      <c r="R1126" s="473"/>
      <c r="S1126" s="473"/>
      <c r="T1126" s="1164"/>
      <c r="U1126" s="1164"/>
      <c r="V1126" s="473"/>
      <c r="W1126" s="473"/>
      <c r="X1126" s="1164"/>
      <c r="Y1126" s="473"/>
      <c r="Z1126" s="473"/>
      <c r="AA1126" s="1164"/>
      <c r="AB1126" s="473"/>
      <c r="AC1126" s="1164"/>
      <c r="AD1126" s="473"/>
      <c r="AE1126" s="1164"/>
      <c r="AF1126" s="473"/>
      <c r="AG1126" s="1164"/>
      <c r="AH1126" s="473"/>
      <c r="AI1126" s="473"/>
      <c r="AJ1126" s="1164"/>
      <c r="AK1126" s="473"/>
      <c r="AL1126" s="473"/>
      <c r="AM1126" s="1164"/>
      <c r="AN1126" s="473"/>
      <c r="AO1126" s="473"/>
      <c r="AP1126" s="1164"/>
      <c r="AQ1126" s="473"/>
      <c r="AR1126" s="473"/>
      <c r="AS1126" s="1236"/>
      <c r="AT1126" s="473"/>
      <c r="AU1126" s="473"/>
      <c r="AV1126" s="1164"/>
      <c r="AW1126" s="1164"/>
      <c r="AX1126" s="1236"/>
      <c r="AY1126" s="473"/>
      <c r="AZ1126" s="1236"/>
      <c r="BA1126" s="473"/>
      <c r="BB1126" s="473"/>
      <c r="BC1126" s="1164"/>
      <c r="BD1126" s="20"/>
      <c r="BE1126" s="473"/>
      <c r="BF1126" s="610"/>
      <c r="BG1126" s="610"/>
      <c r="BH1126" s="610"/>
      <c r="BI1126" s="610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</row>
    <row r="1127" spans="1:148" s="22" customFormat="1" x14ac:dyDescent="0.25">
      <c r="A1127" s="20"/>
      <c r="B1127" s="16"/>
      <c r="C1127" s="473"/>
      <c r="D1127" s="473"/>
      <c r="E1127" s="1164"/>
      <c r="F1127" s="473"/>
      <c r="G1127" s="473"/>
      <c r="H1127" s="1164"/>
      <c r="I1127" s="473"/>
      <c r="J1127" s="473"/>
      <c r="K1127" s="1164"/>
      <c r="L1127" s="473"/>
      <c r="M1127" s="473"/>
      <c r="N1127" s="1164"/>
      <c r="O1127" s="473"/>
      <c r="P1127" s="473"/>
      <c r="Q1127" s="1164"/>
      <c r="R1127" s="473"/>
      <c r="S1127" s="473"/>
      <c r="T1127" s="1164"/>
      <c r="U1127" s="1164"/>
      <c r="V1127" s="473"/>
      <c r="W1127" s="473"/>
      <c r="X1127" s="1164"/>
      <c r="Y1127" s="473"/>
      <c r="Z1127" s="473"/>
      <c r="AA1127" s="1164"/>
      <c r="AB1127" s="473"/>
      <c r="AC1127" s="1164"/>
      <c r="AD1127" s="473"/>
      <c r="AE1127" s="1164"/>
      <c r="AF1127" s="473"/>
      <c r="AG1127" s="1164"/>
      <c r="AH1127" s="473"/>
      <c r="AI1127" s="473"/>
      <c r="AJ1127" s="1164"/>
      <c r="AK1127" s="473"/>
      <c r="AL1127" s="473"/>
      <c r="AM1127" s="1164"/>
      <c r="AN1127" s="473"/>
      <c r="AO1127" s="473"/>
      <c r="AP1127" s="1164"/>
      <c r="AQ1127" s="473"/>
      <c r="AR1127" s="473"/>
      <c r="AS1127" s="1236"/>
      <c r="AT1127" s="473"/>
      <c r="AU1127" s="473"/>
      <c r="AV1127" s="1164"/>
      <c r="AW1127" s="1164"/>
      <c r="AX1127" s="1236"/>
      <c r="AY1127" s="473"/>
      <c r="AZ1127" s="1236"/>
      <c r="BA1127" s="473"/>
      <c r="BB1127" s="473"/>
      <c r="BC1127" s="1164"/>
      <c r="BD1127" s="20"/>
      <c r="BE1127" s="473"/>
      <c r="BF1127" s="610"/>
      <c r="BG1127" s="610"/>
      <c r="BH1127" s="610"/>
      <c r="BI1127" s="610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</row>
    <row r="1128" spans="1:148" s="22" customFormat="1" x14ac:dyDescent="0.25">
      <c r="A1128" s="20"/>
      <c r="B1128" s="16"/>
      <c r="C1128" s="473"/>
      <c r="D1128" s="473"/>
      <c r="E1128" s="1164"/>
      <c r="F1128" s="473"/>
      <c r="G1128" s="473"/>
      <c r="H1128" s="1164"/>
      <c r="I1128" s="473"/>
      <c r="J1128" s="473"/>
      <c r="K1128" s="1164"/>
      <c r="L1128" s="473"/>
      <c r="M1128" s="473"/>
      <c r="N1128" s="1164"/>
      <c r="O1128" s="473"/>
      <c r="P1128" s="473"/>
      <c r="Q1128" s="1164"/>
      <c r="R1128" s="473"/>
      <c r="S1128" s="473"/>
      <c r="T1128" s="1164"/>
      <c r="U1128" s="1164"/>
      <c r="V1128" s="473"/>
      <c r="W1128" s="473"/>
      <c r="X1128" s="1164"/>
      <c r="Y1128" s="473"/>
      <c r="Z1128" s="473"/>
      <c r="AA1128" s="1164"/>
      <c r="AB1128" s="473"/>
      <c r="AC1128" s="1164"/>
      <c r="AD1128" s="473"/>
      <c r="AE1128" s="1164"/>
      <c r="AF1128" s="473"/>
      <c r="AG1128" s="1164"/>
      <c r="AH1128" s="473"/>
      <c r="AI1128" s="473"/>
      <c r="AJ1128" s="1164"/>
      <c r="AK1128" s="473"/>
      <c r="AL1128" s="473"/>
      <c r="AM1128" s="1164"/>
      <c r="AN1128" s="473"/>
      <c r="AO1128" s="473"/>
      <c r="AP1128" s="1164"/>
      <c r="AQ1128" s="473"/>
      <c r="AR1128" s="473"/>
      <c r="AS1128" s="1236"/>
      <c r="AT1128" s="473"/>
      <c r="AU1128" s="473"/>
      <c r="AV1128" s="1164"/>
      <c r="AW1128" s="1164"/>
      <c r="AX1128" s="1236"/>
      <c r="AY1128" s="473"/>
      <c r="AZ1128" s="1236"/>
      <c r="BA1128" s="473"/>
      <c r="BB1128" s="473"/>
      <c r="BC1128" s="1164"/>
      <c r="BD1128" s="20"/>
      <c r="BE1128" s="473"/>
      <c r="BF1128" s="610"/>
      <c r="BG1128" s="610"/>
      <c r="BH1128" s="610"/>
      <c r="BI1128" s="610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</row>
    <row r="1129" spans="1:148" s="22" customFormat="1" x14ac:dyDescent="0.25">
      <c r="A1129" s="20"/>
      <c r="B1129" s="16"/>
      <c r="C1129" s="473"/>
      <c r="D1129" s="473"/>
      <c r="E1129" s="1164"/>
      <c r="F1129" s="473"/>
      <c r="G1129" s="473"/>
      <c r="H1129" s="1164"/>
      <c r="I1129" s="473"/>
      <c r="J1129" s="473"/>
      <c r="K1129" s="1164"/>
      <c r="L1129" s="473"/>
      <c r="M1129" s="473"/>
      <c r="N1129" s="1164"/>
      <c r="O1129" s="473"/>
      <c r="P1129" s="473"/>
      <c r="Q1129" s="1164"/>
      <c r="R1129" s="473"/>
      <c r="S1129" s="473"/>
      <c r="T1129" s="1164"/>
      <c r="U1129" s="1164"/>
      <c r="V1129" s="473"/>
      <c r="W1129" s="473"/>
      <c r="X1129" s="1164"/>
      <c r="Y1129" s="473"/>
      <c r="Z1129" s="473"/>
      <c r="AA1129" s="1164"/>
      <c r="AB1129" s="473"/>
      <c r="AC1129" s="1164"/>
      <c r="AD1129" s="473"/>
      <c r="AE1129" s="1164"/>
      <c r="AF1129" s="473"/>
      <c r="AG1129" s="1164"/>
      <c r="AH1129" s="473"/>
      <c r="AI1129" s="473"/>
      <c r="AJ1129" s="1164"/>
      <c r="AK1129" s="473"/>
      <c r="AL1129" s="473"/>
      <c r="AM1129" s="1164"/>
      <c r="AN1129" s="473"/>
      <c r="AO1129" s="473"/>
      <c r="AP1129" s="1164"/>
      <c r="AQ1129" s="473"/>
      <c r="AR1129" s="473"/>
      <c r="AS1129" s="1236"/>
      <c r="AT1129" s="473"/>
      <c r="AU1129" s="473"/>
      <c r="AV1129" s="1164"/>
      <c r="AW1129" s="1164"/>
      <c r="AX1129" s="1236"/>
      <c r="AY1129" s="473"/>
      <c r="AZ1129" s="1236"/>
      <c r="BA1129" s="473"/>
      <c r="BB1129" s="473"/>
      <c r="BC1129" s="1164"/>
      <c r="BD1129" s="20"/>
      <c r="BE1129" s="473"/>
      <c r="BF1129" s="610"/>
      <c r="BG1129" s="610"/>
      <c r="BH1129" s="610"/>
      <c r="BI1129" s="610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</row>
    <row r="1130" spans="1:148" s="22" customFormat="1" x14ac:dyDescent="0.25">
      <c r="A1130" s="20"/>
      <c r="B1130" s="16"/>
      <c r="C1130" s="473"/>
      <c r="D1130" s="473"/>
      <c r="E1130" s="1164"/>
      <c r="F1130" s="473"/>
      <c r="G1130" s="473"/>
      <c r="H1130" s="1164"/>
      <c r="I1130" s="473"/>
      <c r="J1130" s="473"/>
      <c r="K1130" s="1164"/>
      <c r="L1130" s="473"/>
      <c r="M1130" s="473"/>
      <c r="N1130" s="1164"/>
      <c r="O1130" s="473"/>
      <c r="P1130" s="473"/>
      <c r="Q1130" s="1164"/>
      <c r="R1130" s="473"/>
      <c r="S1130" s="473"/>
      <c r="T1130" s="1164"/>
      <c r="U1130" s="1164"/>
      <c r="V1130" s="473"/>
      <c r="W1130" s="473"/>
      <c r="X1130" s="1164"/>
      <c r="Y1130" s="473"/>
      <c r="Z1130" s="473"/>
      <c r="AA1130" s="1164"/>
      <c r="AB1130" s="473"/>
      <c r="AC1130" s="1164"/>
      <c r="AD1130" s="473"/>
      <c r="AE1130" s="1164"/>
      <c r="AF1130" s="473"/>
      <c r="AG1130" s="1164"/>
      <c r="AH1130" s="473"/>
      <c r="AI1130" s="473"/>
      <c r="AJ1130" s="1164"/>
      <c r="AK1130" s="473"/>
      <c r="AL1130" s="473"/>
      <c r="AM1130" s="1164"/>
      <c r="AN1130" s="473"/>
      <c r="AO1130" s="473"/>
      <c r="AP1130" s="1164"/>
      <c r="AQ1130" s="473"/>
      <c r="AR1130" s="473"/>
      <c r="AS1130" s="1236"/>
      <c r="AT1130" s="473"/>
      <c r="AU1130" s="473"/>
      <c r="AV1130" s="1164"/>
      <c r="AW1130" s="1164"/>
      <c r="AX1130" s="1236"/>
      <c r="AY1130" s="473"/>
      <c r="AZ1130" s="1236"/>
      <c r="BA1130" s="473"/>
      <c r="BB1130" s="473"/>
      <c r="BC1130" s="1164"/>
      <c r="BD1130" s="20"/>
      <c r="BE1130" s="473"/>
      <c r="BF1130" s="610"/>
      <c r="BG1130" s="610"/>
      <c r="BH1130" s="610"/>
      <c r="BI1130" s="610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</row>
    <row r="1131" spans="1:148" s="22" customFormat="1" x14ac:dyDescent="0.25">
      <c r="A1131" s="20"/>
      <c r="B1131" s="16"/>
      <c r="C1131" s="473"/>
      <c r="D1131" s="473"/>
      <c r="E1131" s="1164"/>
      <c r="F1131" s="473"/>
      <c r="G1131" s="473"/>
      <c r="H1131" s="1164"/>
      <c r="I1131" s="473"/>
      <c r="J1131" s="473"/>
      <c r="K1131" s="1164"/>
      <c r="L1131" s="473"/>
      <c r="M1131" s="473"/>
      <c r="N1131" s="1164"/>
      <c r="O1131" s="473"/>
      <c r="P1131" s="473"/>
      <c r="Q1131" s="1164"/>
      <c r="R1131" s="473"/>
      <c r="S1131" s="473"/>
      <c r="T1131" s="1164"/>
      <c r="U1131" s="1164"/>
      <c r="V1131" s="473"/>
      <c r="W1131" s="473"/>
      <c r="X1131" s="1164"/>
      <c r="Y1131" s="473"/>
      <c r="Z1131" s="473"/>
      <c r="AA1131" s="1164"/>
      <c r="AB1131" s="473"/>
      <c r="AC1131" s="1164"/>
      <c r="AD1131" s="473"/>
      <c r="AE1131" s="1164"/>
      <c r="AF1131" s="473"/>
      <c r="AG1131" s="1164"/>
      <c r="AH1131" s="473"/>
      <c r="AI1131" s="473"/>
      <c r="AJ1131" s="1164"/>
      <c r="AK1131" s="473"/>
      <c r="AL1131" s="473"/>
      <c r="AM1131" s="1164"/>
      <c r="AN1131" s="473"/>
      <c r="AO1131" s="473"/>
      <c r="AP1131" s="1164"/>
      <c r="AQ1131" s="473"/>
      <c r="AR1131" s="473"/>
      <c r="AS1131" s="1236"/>
      <c r="AT1131" s="473"/>
      <c r="AU1131" s="473"/>
      <c r="AV1131" s="1164"/>
      <c r="AW1131" s="1164"/>
      <c r="AX1131" s="1236"/>
      <c r="AY1131" s="473"/>
      <c r="AZ1131" s="1236"/>
      <c r="BA1131" s="473"/>
      <c r="BB1131" s="473"/>
      <c r="BC1131" s="1164"/>
      <c r="BD1131" s="20"/>
      <c r="BE1131" s="473"/>
      <c r="BF1131" s="610"/>
      <c r="BG1131" s="610"/>
      <c r="BH1131" s="610"/>
      <c r="BI1131" s="610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</row>
    <row r="1132" spans="1:148" s="22" customFormat="1" x14ac:dyDescent="0.25">
      <c r="A1132" s="20"/>
      <c r="B1132" s="16"/>
      <c r="C1132" s="473"/>
      <c r="D1132" s="473"/>
      <c r="E1132" s="1164"/>
      <c r="F1132" s="473"/>
      <c r="G1132" s="473"/>
      <c r="H1132" s="1164"/>
      <c r="I1132" s="473"/>
      <c r="J1132" s="473"/>
      <c r="K1132" s="1164"/>
      <c r="L1132" s="473"/>
      <c r="M1132" s="473"/>
      <c r="N1132" s="1164"/>
      <c r="O1132" s="473"/>
      <c r="P1132" s="473"/>
      <c r="Q1132" s="1164"/>
      <c r="R1132" s="473"/>
      <c r="S1132" s="473"/>
      <c r="T1132" s="1164"/>
      <c r="U1132" s="1164"/>
      <c r="V1132" s="473"/>
      <c r="W1132" s="473"/>
      <c r="X1132" s="1164"/>
      <c r="Y1132" s="473"/>
      <c r="Z1132" s="473"/>
      <c r="AA1132" s="1164"/>
      <c r="AB1132" s="473"/>
      <c r="AC1132" s="1164"/>
      <c r="AD1132" s="473"/>
      <c r="AE1132" s="1164"/>
      <c r="AF1132" s="473"/>
      <c r="AG1132" s="1164"/>
      <c r="AH1132" s="473"/>
      <c r="AI1132" s="473"/>
      <c r="AJ1132" s="1164"/>
      <c r="AK1132" s="473"/>
      <c r="AL1132" s="473"/>
      <c r="AM1132" s="1164"/>
      <c r="AN1132" s="473"/>
      <c r="AO1132" s="473"/>
      <c r="AP1132" s="1164"/>
      <c r="AQ1132" s="473"/>
      <c r="AR1132" s="473"/>
      <c r="AS1132" s="1236"/>
      <c r="AT1132" s="473"/>
      <c r="AU1132" s="473"/>
      <c r="AV1132" s="1164"/>
      <c r="AW1132" s="1164"/>
      <c r="AX1132" s="1236"/>
      <c r="AY1132" s="473"/>
      <c r="AZ1132" s="1236"/>
      <c r="BA1132" s="473"/>
      <c r="BB1132" s="473"/>
      <c r="BC1132" s="1164"/>
      <c r="BD1132" s="20"/>
      <c r="BE1132" s="473"/>
      <c r="BF1132" s="610"/>
      <c r="BG1132" s="610"/>
      <c r="BH1132" s="610"/>
      <c r="BI1132" s="610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</row>
    <row r="1133" spans="1:148" s="22" customFormat="1" x14ac:dyDescent="0.25">
      <c r="A1133" s="20"/>
      <c r="B1133" s="16"/>
      <c r="C1133" s="473"/>
      <c r="D1133" s="473"/>
      <c r="E1133" s="1164"/>
      <c r="F1133" s="473"/>
      <c r="G1133" s="473"/>
      <c r="H1133" s="1164"/>
      <c r="I1133" s="473"/>
      <c r="J1133" s="473"/>
      <c r="K1133" s="1164"/>
      <c r="L1133" s="473"/>
      <c r="M1133" s="473"/>
      <c r="N1133" s="1164"/>
      <c r="O1133" s="473"/>
      <c r="P1133" s="473"/>
      <c r="Q1133" s="1164"/>
      <c r="R1133" s="473"/>
      <c r="S1133" s="473"/>
      <c r="T1133" s="1164"/>
      <c r="U1133" s="1164"/>
      <c r="V1133" s="473"/>
      <c r="W1133" s="473"/>
      <c r="X1133" s="1164"/>
      <c r="Y1133" s="473"/>
      <c r="Z1133" s="473"/>
      <c r="AA1133" s="1164"/>
      <c r="AB1133" s="473"/>
      <c r="AC1133" s="1164"/>
      <c r="AD1133" s="473"/>
      <c r="AE1133" s="1164"/>
      <c r="AF1133" s="473"/>
      <c r="AG1133" s="1164"/>
      <c r="AH1133" s="473"/>
      <c r="AI1133" s="473"/>
      <c r="AJ1133" s="1164"/>
      <c r="AK1133" s="473"/>
      <c r="AL1133" s="473"/>
      <c r="AM1133" s="1164"/>
      <c r="AN1133" s="473"/>
      <c r="AO1133" s="473"/>
      <c r="AP1133" s="1164"/>
      <c r="AQ1133" s="473"/>
      <c r="AR1133" s="473"/>
      <c r="AS1133" s="1236"/>
      <c r="AT1133" s="473"/>
      <c r="AU1133" s="473"/>
      <c r="AV1133" s="1164"/>
      <c r="AW1133" s="1164"/>
      <c r="AX1133" s="1236"/>
      <c r="AY1133" s="473"/>
      <c r="AZ1133" s="1236"/>
      <c r="BA1133" s="473"/>
      <c r="BB1133" s="473"/>
      <c r="BC1133" s="1164"/>
      <c r="BD1133" s="20"/>
      <c r="BE1133" s="473"/>
      <c r="BF1133" s="610"/>
      <c r="BG1133" s="610"/>
      <c r="BH1133" s="610"/>
      <c r="BI1133" s="610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</row>
    <row r="1134" spans="1:148" s="22" customFormat="1" x14ac:dyDescent="0.25">
      <c r="A1134" s="20"/>
      <c r="B1134" s="16"/>
      <c r="C1134" s="473"/>
      <c r="D1134" s="473"/>
      <c r="E1134" s="1164"/>
      <c r="F1134" s="473"/>
      <c r="G1134" s="473"/>
      <c r="H1134" s="1164"/>
      <c r="I1134" s="473"/>
      <c r="J1134" s="473"/>
      <c r="K1134" s="1164"/>
      <c r="L1134" s="473"/>
      <c r="M1134" s="473"/>
      <c r="N1134" s="1164"/>
      <c r="O1134" s="473"/>
      <c r="P1134" s="473"/>
      <c r="Q1134" s="1164"/>
      <c r="R1134" s="473"/>
      <c r="S1134" s="473"/>
      <c r="T1134" s="1164"/>
      <c r="U1134" s="1164"/>
      <c r="V1134" s="473"/>
      <c r="W1134" s="473"/>
      <c r="X1134" s="1164"/>
      <c r="Y1134" s="473"/>
      <c r="Z1134" s="473"/>
      <c r="AA1134" s="1164"/>
      <c r="AB1134" s="473"/>
      <c r="AC1134" s="1164"/>
      <c r="AD1134" s="473"/>
      <c r="AE1134" s="1164"/>
      <c r="AF1134" s="473"/>
      <c r="AG1134" s="1164"/>
      <c r="AH1134" s="473"/>
      <c r="AI1134" s="473"/>
      <c r="AJ1134" s="1164"/>
      <c r="AK1134" s="473"/>
      <c r="AL1134" s="473"/>
      <c r="AM1134" s="1164"/>
      <c r="AN1134" s="473"/>
      <c r="AO1134" s="473"/>
      <c r="AP1134" s="1164"/>
      <c r="AQ1134" s="473"/>
      <c r="AR1134" s="473"/>
      <c r="AS1134" s="1236"/>
      <c r="AT1134" s="473"/>
      <c r="AU1134" s="473"/>
      <c r="AV1134" s="1164"/>
      <c r="AW1134" s="1164"/>
      <c r="AX1134" s="1236"/>
      <c r="AY1134" s="473"/>
      <c r="AZ1134" s="1236"/>
      <c r="BA1134" s="473"/>
      <c r="BB1134" s="473"/>
      <c r="BC1134" s="1164"/>
      <c r="BD1134" s="20"/>
      <c r="BE1134" s="473"/>
      <c r="BF1134" s="610"/>
      <c r="BG1134" s="610"/>
      <c r="BH1134" s="610"/>
      <c r="BI1134" s="610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</row>
    <row r="1135" spans="1:148" s="22" customFormat="1" x14ac:dyDescent="0.25">
      <c r="A1135" s="20"/>
      <c r="B1135" s="16"/>
      <c r="C1135" s="473"/>
      <c r="D1135" s="473"/>
      <c r="E1135" s="1164"/>
      <c r="F1135" s="473"/>
      <c r="G1135" s="473"/>
      <c r="H1135" s="1164"/>
      <c r="I1135" s="473"/>
      <c r="J1135" s="473"/>
      <c r="K1135" s="1164"/>
      <c r="L1135" s="473"/>
      <c r="M1135" s="473"/>
      <c r="N1135" s="1164"/>
      <c r="O1135" s="473"/>
      <c r="P1135" s="473"/>
      <c r="Q1135" s="1164"/>
      <c r="R1135" s="473"/>
      <c r="S1135" s="473"/>
      <c r="T1135" s="1164"/>
      <c r="U1135" s="1164"/>
      <c r="V1135" s="473"/>
      <c r="W1135" s="473"/>
      <c r="X1135" s="1164"/>
      <c r="Y1135" s="473"/>
      <c r="Z1135" s="473"/>
      <c r="AA1135" s="1164"/>
      <c r="AB1135" s="473"/>
      <c r="AC1135" s="1164"/>
      <c r="AD1135" s="473"/>
      <c r="AE1135" s="1164"/>
      <c r="AF1135" s="473"/>
      <c r="AG1135" s="1164"/>
      <c r="AH1135" s="473"/>
      <c r="AI1135" s="473"/>
      <c r="AJ1135" s="1164"/>
      <c r="AK1135" s="473"/>
      <c r="AL1135" s="473"/>
      <c r="AM1135" s="1164"/>
      <c r="AN1135" s="473"/>
      <c r="AO1135" s="473"/>
      <c r="AP1135" s="1164"/>
      <c r="AQ1135" s="473"/>
      <c r="AR1135" s="473"/>
      <c r="AS1135" s="1236"/>
      <c r="AT1135" s="473"/>
      <c r="AU1135" s="473"/>
      <c r="AV1135" s="1164"/>
      <c r="AW1135" s="1164"/>
      <c r="AX1135" s="1236"/>
      <c r="AY1135" s="473"/>
      <c r="AZ1135" s="1236"/>
      <c r="BA1135" s="473"/>
      <c r="BB1135" s="473"/>
      <c r="BC1135" s="1164"/>
      <c r="BD1135" s="20"/>
      <c r="BE1135" s="473"/>
      <c r="BF1135" s="610"/>
      <c r="BG1135" s="610"/>
      <c r="BH1135" s="610"/>
      <c r="BI1135" s="610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</row>
    <row r="1136" spans="1:148" s="22" customFormat="1" x14ac:dyDescent="0.25">
      <c r="A1136" s="20"/>
      <c r="B1136" s="16"/>
      <c r="C1136" s="473"/>
      <c r="D1136" s="473"/>
      <c r="E1136" s="1164"/>
      <c r="F1136" s="473"/>
      <c r="G1136" s="473"/>
      <c r="H1136" s="1164"/>
      <c r="I1136" s="473"/>
      <c r="J1136" s="473"/>
      <c r="K1136" s="1164"/>
      <c r="L1136" s="473"/>
      <c r="M1136" s="473"/>
      <c r="N1136" s="1164"/>
      <c r="O1136" s="473"/>
      <c r="P1136" s="473"/>
      <c r="Q1136" s="1164"/>
      <c r="R1136" s="473"/>
      <c r="S1136" s="473"/>
      <c r="T1136" s="1164"/>
      <c r="U1136" s="1164"/>
      <c r="V1136" s="473"/>
      <c r="W1136" s="473"/>
      <c r="X1136" s="1164"/>
      <c r="Y1136" s="473"/>
      <c r="Z1136" s="473"/>
      <c r="AA1136" s="1164"/>
      <c r="AB1136" s="473"/>
      <c r="AC1136" s="1164"/>
      <c r="AD1136" s="473"/>
      <c r="AE1136" s="1164"/>
      <c r="AF1136" s="473"/>
      <c r="AG1136" s="1164"/>
      <c r="AH1136" s="473"/>
      <c r="AI1136" s="473"/>
      <c r="AJ1136" s="1164"/>
      <c r="AK1136" s="473"/>
      <c r="AL1136" s="473"/>
      <c r="AM1136" s="1164"/>
      <c r="AN1136" s="473"/>
      <c r="AO1136" s="473"/>
      <c r="AP1136" s="1164"/>
      <c r="AQ1136" s="473"/>
      <c r="AR1136" s="473"/>
      <c r="AS1136" s="1236"/>
      <c r="AT1136" s="473"/>
      <c r="AU1136" s="473"/>
      <c r="AV1136" s="1164"/>
      <c r="AW1136" s="1164"/>
      <c r="AX1136" s="1236"/>
      <c r="AY1136" s="473"/>
      <c r="AZ1136" s="1236"/>
      <c r="BA1136" s="473"/>
      <c r="BB1136" s="473"/>
      <c r="BC1136" s="1164"/>
      <c r="BD1136" s="20"/>
      <c r="BE1136" s="473"/>
      <c r="BF1136" s="610"/>
      <c r="BG1136" s="610"/>
      <c r="BH1136" s="610"/>
      <c r="BI1136" s="610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</row>
    <row r="1137" spans="1:148" s="22" customFormat="1" x14ac:dyDescent="0.25">
      <c r="A1137" s="20"/>
      <c r="B1137" s="16"/>
      <c r="C1137" s="473"/>
      <c r="D1137" s="473"/>
      <c r="E1137" s="1164"/>
      <c r="F1137" s="473"/>
      <c r="G1137" s="473"/>
      <c r="H1137" s="1164"/>
      <c r="I1137" s="473"/>
      <c r="J1137" s="473"/>
      <c r="K1137" s="1164"/>
      <c r="L1137" s="473"/>
      <c r="M1137" s="473"/>
      <c r="N1137" s="1164"/>
      <c r="O1137" s="473"/>
      <c r="P1137" s="473"/>
      <c r="Q1137" s="1164"/>
      <c r="R1137" s="473"/>
      <c r="S1137" s="473"/>
      <c r="T1137" s="1164"/>
      <c r="U1137" s="1164"/>
      <c r="V1137" s="473"/>
      <c r="W1137" s="473"/>
      <c r="X1137" s="1164"/>
      <c r="Y1137" s="473"/>
      <c r="Z1137" s="473"/>
      <c r="AA1137" s="1164"/>
      <c r="AB1137" s="473"/>
      <c r="AC1137" s="1164"/>
      <c r="AD1137" s="473"/>
      <c r="AE1137" s="1164"/>
      <c r="AF1137" s="473"/>
      <c r="AG1137" s="1164"/>
      <c r="AH1137" s="473"/>
      <c r="AI1137" s="473"/>
      <c r="AJ1137" s="1164"/>
      <c r="AK1137" s="473"/>
      <c r="AL1137" s="473"/>
      <c r="AM1137" s="1164"/>
      <c r="AN1137" s="473"/>
      <c r="AO1137" s="473"/>
      <c r="AP1137" s="1164"/>
      <c r="AQ1137" s="473"/>
      <c r="AR1137" s="473"/>
      <c r="AS1137" s="1236"/>
      <c r="AT1137" s="473"/>
      <c r="AU1137" s="473"/>
      <c r="AV1137" s="1164"/>
      <c r="AW1137" s="1164"/>
      <c r="AX1137" s="1236"/>
      <c r="AY1137" s="473"/>
      <c r="AZ1137" s="1236"/>
      <c r="BA1137" s="473"/>
      <c r="BB1137" s="473"/>
      <c r="BC1137" s="1164"/>
      <c r="BD1137" s="20"/>
      <c r="BE1137" s="473"/>
      <c r="BF1137" s="610"/>
      <c r="BG1137" s="610"/>
      <c r="BH1137" s="610"/>
      <c r="BI1137" s="610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</row>
    <row r="1138" spans="1:148" s="22" customFormat="1" x14ac:dyDescent="0.25">
      <c r="A1138" s="20"/>
      <c r="B1138" s="16"/>
      <c r="C1138" s="473"/>
      <c r="D1138" s="473"/>
      <c r="E1138" s="1164"/>
      <c r="F1138" s="473"/>
      <c r="G1138" s="473"/>
      <c r="H1138" s="1164"/>
      <c r="I1138" s="473"/>
      <c r="J1138" s="473"/>
      <c r="K1138" s="1164"/>
      <c r="L1138" s="473"/>
      <c r="M1138" s="473"/>
      <c r="N1138" s="1164"/>
      <c r="O1138" s="473"/>
      <c r="P1138" s="473"/>
      <c r="Q1138" s="1164"/>
      <c r="R1138" s="473"/>
      <c r="S1138" s="473"/>
      <c r="T1138" s="1164"/>
      <c r="U1138" s="1164"/>
      <c r="V1138" s="473"/>
      <c r="W1138" s="473"/>
      <c r="X1138" s="1164"/>
      <c r="Y1138" s="473"/>
      <c r="Z1138" s="473"/>
      <c r="AA1138" s="1164"/>
      <c r="AB1138" s="473"/>
      <c r="AC1138" s="1164"/>
      <c r="AD1138" s="473"/>
      <c r="AE1138" s="1164"/>
      <c r="AF1138" s="473"/>
      <c r="AG1138" s="1164"/>
      <c r="AH1138" s="473"/>
      <c r="AI1138" s="473"/>
      <c r="AJ1138" s="1164"/>
      <c r="AK1138" s="473"/>
      <c r="AL1138" s="473"/>
      <c r="AM1138" s="1164"/>
      <c r="AN1138" s="473"/>
      <c r="AO1138" s="473"/>
      <c r="AP1138" s="1164"/>
      <c r="AQ1138" s="473"/>
      <c r="AR1138" s="473"/>
      <c r="AS1138" s="1236"/>
      <c r="AT1138" s="473"/>
      <c r="AU1138" s="473"/>
      <c r="AV1138" s="1164"/>
      <c r="AW1138" s="1164"/>
      <c r="AX1138" s="1236"/>
      <c r="AY1138" s="473"/>
      <c r="AZ1138" s="1236"/>
      <c r="BA1138" s="473"/>
      <c r="BB1138" s="473"/>
      <c r="BC1138" s="1164"/>
      <c r="BD1138" s="20"/>
      <c r="BE1138" s="473"/>
      <c r="BF1138" s="610"/>
      <c r="BG1138" s="610"/>
      <c r="BH1138" s="610"/>
      <c r="BI1138" s="610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</row>
    <row r="1139" spans="1:148" s="22" customFormat="1" x14ac:dyDescent="0.25">
      <c r="A1139" s="20"/>
      <c r="B1139" s="16"/>
      <c r="C1139" s="473"/>
      <c r="D1139" s="473"/>
      <c r="E1139" s="1164"/>
      <c r="F1139" s="473"/>
      <c r="G1139" s="473"/>
      <c r="H1139" s="1164"/>
      <c r="I1139" s="473"/>
      <c r="J1139" s="473"/>
      <c r="K1139" s="1164"/>
      <c r="L1139" s="473"/>
      <c r="M1139" s="473"/>
      <c r="N1139" s="1164"/>
      <c r="O1139" s="473"/>
      <c r="P1139" s="473"/>
      <c r="Q1139" s="1164"/>
      <c r="R1139" s="473"/>
      <c r="S1139" s="473"/>
      <c r="T1139" s="1164"/>
      <c r="U1139" s="1164"/>
      <c r="V1139" s="473"/>
      <c r="W1139" s="473"/>
      <c r="X1139" s="1164"/>
      <c r="Y1139" s="473"/>
      <c r="Z1139" s="473"/>
      <c r="AA1139" s="1164"/>
      <c r="AB1139" s="473"/>
      <c r="AC1139" s="1164"/>
      <c r="AD1139" s="473"/>
      <c r="AE1139" s="1164"/>
      <c r="AF1139" s="473"/>
      <c r="AG1139" s="1164"/>
      <c r="AH1139" s="473"/>
      <c r="AI1139" s="473"/>
      <c r="AJ1139" s="1164"/>
      <c r="AK1139" s="473"/>
      <c r="AL1139" s="473"/>
      <c r="AM1139" s="1164"/>
      <c r="AN1139" s="473"/>
      <c r="AO1139" s="473"/>
      <c r="AP1139" s="1164"/>
      <c r="AQ1139" s="473"/>
      <c r="AR1139" s="473"/>
      <c r="AS1139" s="1236"/>
      <c r="AT1139" s="473"/>
      <c r="AU1139" s="473"/>
      <c r="AV1139" s="1164"/>
      <c r="AW1139" s="1164"/>
      <c r="AX1139" s="1236"/>
      <c r="AY1139" s="473"/>
      <c r="AZ1139" s="1236"/>
      <c r="BA1139" s="473"/>
      <c r="BB1139" s="473"/>
      <c r="BC1139" s="1164"/>
      <c r="BD1139" s="20"/>
      <c r="BE1139" s="473"/>
      <c r="BF1139" s="610"/>
      <c r="BG1139" s="610"/>
      <c r="BH1139" s="610"/>
      <c r="BI1139" s="610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</row>
    <row r="1140" spans="1:148" s="22" customFormat="1" x14ac:dyDescent="0.25">
      <c r="A1140" s="20"/>
      <c r="B1140" s="16"/>
      <c r="C1140" s="473"/>
      <c r="D1140" s="473"/>
      <c r="E1140" s="1164"/>
      <c r="F1140" s="473"/>
      <c r="G1140" s="473"/>
      <c r="H1140" s="1164"/>
      <c r="I1140" s="473"/>
      <c r="J1140" s="473"/>
      <c r="K1140" s="1164"/>
      <c r="L1140" s="473"/>
      <c r="M1140" s="473"/>
      <c r="N1140" s="1164"/>
      <c r="O1140" s="473"/>
      <c r="P1140" s="473"/>
      <c r="Q1140" s="1164"/>
      <c r="R1140" s="473"/>
      <c r="S1140" s="473"/>
      <c r="T1140" s="1164"/>
      <c r="U1140" s="1164"/>
      <c r="V1140" s="473"/>
      <c r="W1140" s="473"/>
      <c r="X1140" s="1164"/>
      <c r="Y1140" s="473"/>
      <c r="Z1140" s="473"/>
      <c r="AA1140" s="1164"/>
      <c r="AB1140" s="473"/>
      <c r="AC1140" s="1164"/>
      <c r="AD1140" s="473"/>
      <c r="AE1140" s="1164"/>
      <c r="AF1140" s="473"/>
      <c r="AG1140" s="1164"/>
      <c r="AH1140" s="473"/>
      <c r="AI1140" s="473"/>
      <c r="AJ1140" s="1164"/>
      <c r="AK1140" s="473"/>
      <c r="AL1140" s="473"/>
      <c r="AM1140" s="1164"/>
      <c r="AN1140" s="473"/>
      <c r="AO1140" s="473"/>
      <c r="AP1140" s="1164"/>
      <c r="AQ1140" s="473"/>
      <c r="AR1140" s="473"/>
      <c r="AS1140" s="1236"/>
      <c r="AT1140" s="473"/>
      <c r="AU1140" s="473"/>
      <c r="AV1140" s="1164"/>
      <c r="AW1140" s="1164"/>
      <c r="AX1140" s="1236"/>
      <c r="AY1140" s="473"/>
      <c r="AZ1140" s="1236"/>
      <c r="BA1140" s="473"/>
      <c r="BB1140" s="473"/>
      <c r="BC1140" s="1164"/>
      <c r="BD1140" s="20"/>
      <c r="BE1140" s="473"/>
      <c r="BF1140" s="610"/>
      <c r="BG1140" s="610"/>
      <c r="BH1140" s="610"/>
      <c r="BI1140" s="610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</row>
    <row r="1141" spans="1:148" s="22" customFormat="1" x14ac:dyDescent="0.25">
      <c r="A1141" s="20"/>
      <c r="B1141" s="16"/>
      <c r="C1141" s="473"/>
      <c r="D1141" s="473"/>
      <c r="E1141" s="1164"/>
      <c r="F1141" s="473"/>
      <c r="G1141" s="473"/>
      <c r="H1141" s="1164"/>
      <c r="I1141" s="473"/>
      <c r="J1141" s="473"/>
      <c r="K1141" s="1164"/>
      <c r="L1141" s="473"/>
      <c r="M1141" s="473"/>
      <c r="N1141" s="1164"/>
      <c r="O1141" s="473"/>
      <c r="P1141" s="473"/>
      <c r="Q1141" s="1164"/>
      <c r="R1141" s="473"/>
      <c r="S1141" s="473"/>
      <c r="T1141" s="1164"/>
      <c r="U1141" s="1164"/>
      <c r="V1141" s="473"/>
      <c r="W1141" s="473"/>
      <c r="X1141" s="1164"/>
      <c r="Y1141" s="473"/>
      <c r="Z1141" s="473"/>
      <c r="AA1141" s="1164"/>
      <c r="AB1141" s="473"/>
      <c r="AC1141" s="1164"/>
      <c r="AD1141" s="473"/>
      <c r="AE1141" s="1164"/>
      <c r="AF1141" s="473"/>
      <c r="AG1141" s="1164"/>
      <c r="AH1141" s="473"/>
      <c r="AI1141" s="473"/>
      <c r="AJ1141" s="1164"/>
      <c r="AK1141" s="473"/>
      <c r="AL1141" s="473"/>
      <c r="AM1141" s="1164"/>
      <c r="AN1141" s="473"/>
      <c r="AO1141" s="473"/>
      <c r="AP1141" s="1164"/>
      <c r="AQ1141" s="473"/>
      <c r="AR1141" s="473"/>
      <c r="AS1141" s="1236"/>
      <c r="AT1141" s="473"/>
      <c r="AU1141" s="473"/>
      <c r="AV1141" s="1164"/>
      <c r="AW1141" s="1164"/>
      <c r="AX1141" s="1236"/>
      <c r="AY1141" s="473"/>
      <c r="AZ1141" s="1236"/>
      <c r="BA1141" s="473"/>
      <c r="BB1141" s="473"/>
      <c r="BC1141" s="1164"/>
      <c r="BD1141" s="20"/>
      <c r="BE1141" s="473"/>
      <c r="BF1141" s="610"/>
      <c r="BG1141" s="610"/>
      <c r="BH1141" s="610"/>
      <c r="BI1141" s="610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</row>
    <row r="1142" spans="1:148" s="22" customFormat="1" x14ac:dyDescent="0.25">
      <c r="A1142" s="20"/>
      <c r="B1142" s="16"/>
      <c r="C1142" s="473"/>
      <c r="D1142" s="473"/>
      <c r="E1142" s="1164"/>
      <c r="F1142" s="473"/>
      <c r="G1142" s="473"/>
      <c r="H1142" s="1164"/>
      <c r="I1142" s="473"/>
      <c r="J1142" s="473"/>
      <c r="K1142" s="1164"/>
      <c r="L1142" s="473"/>
      <c r="M1142" s="473"/>
      <c r="N1142" s="1164"/>
      <c r="O1142" s="473"/>
      <c r="P1142" s="473"/>
      <c r="Q1142" s="1164"/>
      <c r="R1142" s="473"/>
      <c r="S1142" s="473"/>
      <c r="T1142" s="1164"/>
      <c r="U1142" s="1164"/>
      <c r="V1142" s="473"/>
      <c r="W1142" s="473"/>
      <c r="X1142" s="1164"/>
      <c r="Y1142" s="473"/>
      <c r="Z1142" s="473"/>
      <c r="AA1142" s="1164"/>
      <c r="AB1142" s="473"/>
      <c r="AC1142" s="1164"/>
      <c r="AD1142" s="473"/>
      <c r="AE1142" s="1164"/>
      <c r="AF1142" s="473"/>
      <c r="AG1142" s="1164"/>
      <c r="AH1142" s="473"/>
      <c r="AI1142" s="473"/>
      <c r="AJ1142" s="1164"/>
      <c r="AK1142" s="473"/>
      <c r="AL1142" s="473"/>
      <c r="AM1142" s="1164"/>
      <c r="AN1142" s="473"/>
      <c r="AO1142" s="473"/>
      <c r="AP1142" s="1164"/>
      <c r="AQ1142" s="473"/>
      <c r="AR1142" s="473"/>
      <c r="AS1142" s="1236"/>
      <c r="AT1142" s="473"/>
      <c r="AU1142" s="473"/>
      <c r="AV1142" s="1164"/>
      <c r="AW1142" s="1164"/>
      <c r="AX1142" s="1236"/>
      <c r="AY1142" s="473"/>
      <c r="AZ1142" s="1236"/>
      <c r="BA1142" s="473"/>
      <c r="BB1142" s="473"/>
      <c r="BC1142" s="1164"/>
      <c r="BD1142" s="20"/>
      <c r="BE1142" s="473"/>
      <c r="BF1142" s="610"/>
      <c r="BG1142" s="610"/>
      <c r="BH1142" s="610"/>
      <c r="BI1142" s="610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</row>
    <row r="1143" spans="1:148" s="22" customFormat="1" x14ac:dyDescent="0.25">
      <c r="A1143" s="20"/>
      <c r="B1143" s="16"/>
      <c r="C1143" s="473"/>
      <c r="D1143" s="473"/>
      <c r="E1143" s="1164"/>
      <c r="F1143" s="473"/>
      <c r="G1143" s="473"/>
      <c r="H1143" s="1164"/>
      <c r="I1143" s="473"/>
      <c r="J1143" s="473"/>
      <c r="K1143" s="1164"/>
      <c r="L1143" s="473"/>
      <c r="M1143" s="473"/>
      <c r="N1143" s="1164"/>
      <c r="O1143" s="473"/>
      <c r="P1143" s="473"/>
      <c r="Q1143" s="1164"/>
      <c r="R1143" s="473"/>
      <c r="S1143" s="473"/>
      <c r="T1143" s="1164"/>
      <c r="U1143" s="1164"/>
      <c r="V1143" s="473"/>
      <c r="W1143" s="473"/>
      <c r="X1143" s="1164"/>
      <c r="Y1143" s="473"/>
      <c r="Z1143" s="473"/>
      <c r="AA1143" s="1164"/>
      <c r="AB1143" s="473"/>
      <c r="AC1143" s="1164"/>
      <c r="AD1143" s="473"/>
      <c r="AE1143" s="1164"/>
      <c r="AF1143" s="473"/>
      <c r="AG1143" s="1164"/>
      <c r="AH1143" s="473"/>
      <c r="AI1143" s="473"/>
      <c r="AJ1143" s="1164"/>
      <c r="AK1143" s="473"/>
      <c r="AL1143" s="473"/>
      <c r="AM1143" s="1164"/>
      <c r="AN1143" s="473"/>
      <c r="AO1143" s="473"/>
      <c r="AP1143" s="1164"/>
      <c r="AQ1143" s="473"/>
      <c r="AR1143" s="473"/>
      <c r="AS1143" s="1236"/>
      <c r="AT1143" s="473"/>
      <c r="AU1143" s="473"/>
      <c r="AV1143" s="1164"/>
      <c r="AW1143" s="1164"/>
      <c r="AX1143" s="1236"/>
      <c r="AY1143" s="473"/>
      <c r="AZ1143" s="1236"/>
      <c r="BA1143" s="473"/>
      <c r="BB1143" s="473"/>
      <c r="BC1143" s="1164"/>
      <c r="BD1143" s="20"/>
      <c r="BE1143" s="473"/>
      <c r="BF1143" s="610"/>
      <c r="BG1143" s="610"/>
      <c r="BH1143" s="610"/>
      <c r="BI1143" s="610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</row>
    <row r="1144" spans="1:148" s="22" customFormat="1" x14ac:dyDescent="0.25">
      <c r="A1144" s="20"/>
      <c r="B1144" s="16"/>
      <c r="C1144" s="473"/>
      <c r="D1144" s="473"/>
      <c r="E1144" s="1164"/>
      <c r="F1144" s="473"/>
      <c r="G1144" s="473"/>
      <c r="H1144" s="1164"/>
      <c r="I1144" s="473"/>
      <c r="J1144" s="473"/>
      <c r="K1144" s="1164"/>
      <c r="L1144" s="473"/>
      <c r="M1144" s="473"/>
      <c r="N1144" s="1164"/>
      <c r="O1144" s="473"/>
      <c r="P1144" s="473"/>
      <c r="Q1144" s="1164"/>
      <c r="R1144" s="473"/>
      <c r="S1144" s="473"/>
      <c r="T1144" s="1164"/>
      <c r="U1144" s="1164"/>
      <c r="V1144" s="473"/>
      <c r="W1144" s="473"/>
      <c r="X1144" s="1164"/>
      <c r="Y1144" s="473"/>
      <c r="Z1144" s="473"/>
      <c r="AA1144" s="1164"/>
      <c r="AB1144" s="473"/>
      <c r="AC1144" s="1164"/>
      <c r="AD1144" s="473"/>
      <c r="AE1144" s="1164"/>
      <c r="AF1144" s="473"/>
      <c r="AG1144" s="1164"/>
      <c r="AH1144" s="473"/>
      <c r="AI1144" s="473"/>
      <c r="AJ1144" s="1164"/>
      <c r="AK1144" s="473"/>
      <c r="AL1144" s="473"/>
      <c r="AM1144" s="1164"/>
      <c r="AN1144" s="473"/>
      <c r="AO1144" s="473"/>
      <c r="AP1144" s="1164"/>
      <c r="AQ1144" s="473"/>
      <c r="AR1144" s="473"/>
      <c r="AS1144" s="1236"/>
      <c r="AT1144" s="473"/>
      <c r="AU1144" s="473"/>
      <c r="AV1144" s="1164"/>
      <c r="AW1144" s="1164"/>
      <c r="AX1144" s="1236"/>
      <c r="AY1144" s="473"/>
      <c r="AZ1144" s="1236"/>
      <c r="BA1144" s="473"/>
      <c r="BB1144" s="473"/>
      <c r="BC1144" s="1164"/>
      <c r="BD1144" s="20"/>
      <c r="BE1144" s="473"/>
      <c r="BF1144" s="610"/>
      <c r="BG1144" s="610"/>
      <c r="BH1144" s="610"/>
      <c r="BI1144" s="610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</row>
    <row r="1145" spans="1:148" s="22" customFormat="1" x14ac:dyDescent="0.25">
      <c r="A1145" s="20"/>
      <c r="B1145" s="16"/>
      <c r="C1145" s="473"/>
      <c r="D1145" s="473"/>
      <c r="E1145" s="1164"/>
      <c r="F1145" s="473"/>
      <c r="G1145" s="473"/>
      <c r="H1145" s="1164"/>
      <c r="I1145" s="473"/>
      <c r="J1145" s="473"/>
      <c r="K1145" s="1164"/>
      <c r="L1145" s="473"/>
      <c r="M1145" s="473"/>
      <c r="N1145" s="1164"/>
      <c r="O1145" s="473"/>
      <c r="P1145" s="473"/>
      <c r="Q1145" s="1164"/>
      <c r="R1145" s="473"/>
      <c r="S1145" s="473"/>
      <c r="T1145" s="1164"/>
      <c r="U1145" s="1164"/>
      <c r="V1145" s="473"/>
      <c r="W1145" s="473"/>
      <c r="X1145" s="1164"/>
      <c r="Y1145" s="473"/>
      <c r="Z1145" s="473"/>
      <c r="AA1145" s="1164"/>
      <c r="AB1145" s="473"/>
      <c r="AC1145" s="1164"/>
      <c r="AD1145" s="473"/>
      <c r="AE1145" s="1164"/>
      <c r="AF1145" s="473"/>
      <c r="AG1145" s="1164"/>
      <c r="AH1145" s="473"/>
      <c r="AI1145" s="473"/>
      <c r="AJ1145" s="1164"/>
      <c r="AK1145" s="473"/>
      <c r="AL1145" s="473"/>
      <c r="AM1145" s="1164"/>
      <c r="AN1145" s="473"/>
      <c r="AO1145" s="473"/>
      <c r="AP1145" s="1164"/>
      <c r="AQ1145" s="473"/>
      <c r="AR1145" s="473"/>
      <c r="AS1145" s="1236"/>
      <c r="AT1145" s="473"/>
      <c r="AU1145" s="473"/>
      <c r="AV1145" s="1164"/>
      <c r="AW1145" s="1164"/>
      <c r="AX1145" s="1236"/>
      <c r="AY1145" s="473"/>
      <c r="AZ1145" s="1236"/>
      <c r="BA1145" s="473"/>
      <c r="BB1145" s="473"/>
      <c r="BC1145" s="1164"/>
      <c r="BD1145" s="20"/>
      <c r="BE1145" s="473"/>
      <c r="BF1145" s="610"/>
      <c r="BG1145" s="610"/>
      <c r="BH1145" s="610"/>
      <c r="BI1145" s="610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</row>
    <row r="1146" spans="1:148" s="22" customFormat="1" x14ac:dyDescent="0.25">
      <c r="A1146" s="20"/>
      <c r="B1146" s="16"/>
      <c r="C1146" s="473"/>
      <c r="D1146" s="473"/>
      <c r="E1146" s="1164"/>
      <c r="F1146" s="473"/>
      <c r="G1146" s="473"/>
      <c r="H1146" s="1164"/>
      <c r="I1146" s="473"/>
      <c r="J1146" s="473"/>
      <c r="K1146" s="1164"/>
      <c r="L1146" s="473"/>
      <c r="M1146" s="473"/>
      <c r="N1146" s="1164"/>
      <c r="O1146" s="473"/>
      <c r="P1146" s="473"/>
      <c r="Q1146" s="1164"/>
      <c r="R1146" s="473"/>
      <c r="S1146" s="473"/>
      <c r="T1146" s="1164"/>
      <c r="U1146" s="1164"/>
      <c r="V1146" s="473"/>
      <c r="W1146" s="473"/>
      <c r="X1146" s="1164"/>
      <c r="Y1146" s="473"/>
      <c r="Z1146" s="473"/>
      <c r="AA1146" s="1164"/>
      <c r="AB1146" s="473"/>
      <c r="AC1146" s="1164"/>
      <c r="AD1146" s="473"/>
      <c r="AE1146" s="1164"/>
      <c r="AF1146" s="473"/>
      <c r="AG1146" s="1164"/>
      <c r="AH1146" s="473"/>
      <c r="AI1146" s="473"/>
      <c r="AJ1146" s="1164"/>
      <c r="AK1146" s="473"/>
      <c r="AL1146" s="473"/>
      <c r="AM1146" s="1164"/>
      <c r="AN1146" s="473"/>
      <c r="AO1146" s="473"/>
      <c r="AP1146" s="1164"/>
      <c r="AQ1146" s="473"/>
      <c r="AR1146" s="473"/>
      <c r="AS1146" s="1236"/>
      <c r="AT1146" s="473"/>
      <c r="AU1146" s="473"/>
      <c r="AV1146" s="1164"/>
      <c r="AW1146" s="1164"/>
      <c r="AX1146" s="1236"/>
      <c r="AY1146" s="473"/>
      <c r="AZ1146" s="1236"/>
      <c r="BA1146" s="473"/>
      <c r="BB1146" s="473"/>
      <c r="BC1146" s="1164"/>
      <c r="BD1146" s="20"/>
      <c r="BE1146" s="473"/>
      <c r="BF1146" s="610"/>
      <c r="BG1146" s="610"/>
      <c r="BH1146" s="610"/>
      <c r="BI1146" s="610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</row>
    <row r="1147" spans="1:148" s="22" customFormat="1" x14ac:dyDescent="0.25">
      <c r="A1147" s="20"/>
      <c r="B1147" s="16"/>
      <c r="C1147" s="473"/>
      <c r="D1147" s="473"/>
      <c r="E1147" s="1164"/>
      <c r="F1147" s="473"/>
      <c r="G1147" s="473"/>
      <c r="H1147" s="1164"/>
      <c r="I1147" s="473"/>
      <c r="J1147" s="473"/>
      <c r="K1147" s="1164"/>
      <c r="L1147" s="473"/>
      <c r="M1147" s="473"/>
      <c r="N1147" s="1164"/>
      <c r="O1147" s="473"/>
      <c r="P1147" s="473"/>
      <c r="Q1147" s="1164"/>
      <c r="R1147" s="473"/>
      <c r="S1147" s="473"/>
      <c r="T1147" s="1164"/>
      <c r="U1147" s="1164"/>
      <c r="V1147" s="473"/>
      <c r="W1147" s="473"/>
      <c r="X1147" s="1164"/>
      <c r="Y1147" s="473"/>
      <c r="Z1147" s="473"/>
      <c r="AA1147" s="1164"/>
      <c r="AB1147" s="473"/>
      <c r="AC1147" s="1164"/>
      <c r="AD1147" s="473"/>
      <c r="AE1147" s="1164"/>
      <c r="AF1147" s="473"/>
      <c r="AG1147" s="1164"/>
      <c r="AH1147" s="473"/>
      <c r="AI1147" s="473"/>
      <c r="AJ1147" s="1164"/>
      <c r="AK1147" s="473"/>
      <c r="AL1147" s="473"/>
      <c r="AM1147" s="1164"/>
      <c r="AN1147" s="473"/>
      <c r="AO1147" s="473"/>
      <c r="AP1147" s="1164"/>
      <c r="AQ1147" s="473"/>
      <c r="AR1147" s="473"/>
      <c r="AS1147" s="1236"/>
      <c r="AT1147" s="473"/>
      <c r="AU1147" s="473"/>
      <c r="AV1147" s="1164"/>
      <c r="AW1147" s="1164"/>
      <c r="AX1147" s="1236"/>
      <c r="AY1147" s="473"/>
      <c r="AZ1147" s="1236"/>
      <c r="BA1147" s="473"/>
      <c r="BB1147" s="473"/>
      <c r="BC1147" s="1164"/>
      <c r="BD1147" s="20"/>
      <c r="BE1147" s="473"/>
      <c r="BF1147" s="610"/>
      <c r="BG1147" s="610"/>
      <c r="BH1147" s="610"/>
      <c r="BI1147" s="610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</row>
    <row r="1148" spans="1:148" s="22" customFormat="1" x14ac:dyDescent="0.25">
      <c r="A1148" s="20"/>
      <c r="B1148" s="16"/>
      <c r="C1148" s="473"/>
      <c r="D1148" s="473"/>
      <c r="E1148" s="1164"/>
      <c r="F1148" s="473"/>
      <c r="G1148" s="473"/>
      <c r="H1148" s="1164"/>
      <c r="I1148" s="473"/>
      <c r="J1148" s="473"/>
      <c r="K1148" s="1164"/>
      <c r="L1148" s="473"/>
      <c r="M1148" s="473"/>
      <c r="N1148" s="1164"/>
      <c r="O1148" s="473"/>
      <c r="P1148" s="473"/>
      <c r="Q1148" s="1164"/>
      <c r="R1148" s="473"/>
      <c r="S1148" s="473"/>
      <c r="T1148" s="1164"/>
      <c r="U1148" s="1164"/>
      <c r="V1148" s="473"/>
      <c r="W1148" s="473"/>
      <c r="X1148" s="1164"/>
      <c r="Y1148" s="473"/>
      <c r="Z1148" s="473"/>
      <c r="AA1148" s="1164"/>
      <c r="AB1148" s="473"/>
      <c r="AC1148" s="1164"/>
      <c r="AD1148" s="473"/>
      <c r="AE1148" s="1164"/>
      <c r="AF1148" s="473"/>
      <c r="AG1148" s="1164"/>
      <c r="AH1148" s="473"/>
      <c r="AI1148" s="473"/>
      <c r="AJ1148" s="1164"/>
      <c r="AK1148" s="473"/>
      <c r="AL1148" s="473"/>
      <c r="AM1148" s="1164"/>
      <c r="AN1148" s="473"/>
      <c r="AO1148" s="473"/>
      <c r="AP1148" s="1164"/>
      <c r="AQ1148" s="473"/>
      <c r="AR1148" s="473"/>
      <c r="AS1148" s="1236"/>
      <c r="AT1148" s="473"/>
      <c r="AU1148" s="473"/>
      <c r="AV1148" s="1164"/>
      <c r="AW1148" s="1164"/>
      <c r="AX1148" s="1236"/>
      <c r="AY1148" s="473"/>
      <c r="AZ1148" s="1236"/>
      <c r="BA1148" s="473"/>
      <c r="BB1148" s="473"/>
      <c r="BC1148" s="1164"/>
      <c r="BD1148" s="20"/>
      <c r="BE1148" s="473"/>
      <c r="BF1148" s="610"/>
      <c r="BG1148" s="610"/>
      <c r="BH1148" s="610"/>
      <c r="BI1148" s="610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</row>
    <row r="1149" spans="1:148" s="22" customFormat="1" x14ac:dyDescent="0.25">
      <c r="A1149" s="20"/>
      <c r="B1149" s="16"/>
      <c r="C1149" s="473"/>
      <c r="D1149" s="473"/>
      <c r="E1149" s="1164"/>
      <c r="F1149" s="473"/>
      <c r="G1149" s="473"/>
      <c r="H1149" s="1164"/>
      <c r="I1149" s="473"/>
      <c r="J1149" s="473"/>
      <c r="K1149" s="1164"/>
      <c r="L1149" s="473"/>
      <c r="M1149" s="473"/>
      <c r="N1149" s="1164"/>
      <c r="O1149" s="473"/>
      <c r="P1149" s="473"/>
      <c r="Q1149" s="1164"/>
      <c r="R1149" s="473"/>
      <c r="S1149" s="473"/>
      <c r="T1149" s="1164"/>
      <c r="U1149" s="1164"/>
      <c r="V1149" s="473"/>
      <c r="W1149" s="473"/>
      <c r="X1149" s="1164"/>
      <c r="Y1149" s="473"/>
      <c r="Z1149" s="473"/>
      <c r="AA1149" s="1164"/>
      <c r="AB1149" s="473"/>
      <c r="AC1149" s="1164"/>
      <c r="AD1149" s="473"/>
      <c r="AE1149" s="1164"/>
      <c r="AF1149" s="473"/>
      <c r="AG1149" s="1164"/>
      <c r="AH1149" s="473"/>
      <c r="AI1149" s="473"/>
      <c r="AJ1149" s="1164"/>
      <c r="AK1149" s="473"/>
      <c r="AL1149" s="473"/>
      <c r="AM1149" s="1164"/>
      <c r="AN1149" s="473"/>
      <c r="AO1149" s="473"/>
      <c r="AP1149" s="1164"/>
      <c r="AQ1149" s="473"/>
      <c r="AR1149" s="473"/>
      <c r="AS1149" s="1236"/>
      <c r="AT1149" s="473"/>
      <c r="AU1149" s="473"/>
      <c r="AV1149" s="1164"/>
      <c r="AW1149" s="1164"/>
      <c r="AX1149" s="1236"/>
      <c r="AY1149" s="473"/>
      <c r="AZ1149" s="1236"/>
      <c r="BA1149" s="473"/>
      <c r="BB1149" s="473"/>
      <c r="BC1149" s="1164"/>
      <c r="BD1149" s="20"/>
      <c r="BE1149" s="473"/>
      <c r="BF1149" s="610"/>
      <c r="BG1149" s="610"/>
      <c r="BH1149" s="610"/>
      <c r="BI1149" s="610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</row>
    <row r="1150" spans="1:148" s="22" customFormat="1" x14ac:dyDescent="0.25">
      <c r="A1150" s="20"/>
      <c r="B1150" s="16"/>
      <c r="C1150" s="473"/>
      <c r="D1150" s="473"/>
      <c r="E1150" s="1164"/>
      <c r="F1150" s="473"/>
      <c r="G1150" s="473"/>
      <c r="H1150" s="1164"/>
      <c r="I1150" s="473"/>
      <c r="J1150" s="473"/>
      <c r="K1150" s="1164"/>
      <c r="L1150" s="473"/>
      <c r="M1150" s="473"/>
      <c r="N1150" s="1164"/>
      <c r="O1150" s="473"/>
      <c r="P1150" s="473"/>
      <c r="Q1150" s="1164"/>
      <c r="R1150" s="473"/>
      <c r="S1150" s="473"/>
      <c r="T1150" s="1164"/>
      <c r="U1150" s="1164"/>
      <c r="V1150" s="473"/>
      <c r="W1150" s="473"/>
      <c r="X1150" s="1164"/>
      <c r="Y1150" s="473"/>
      <c r="Z1150" s="473"/>
      <c r="AA1150" s="1164"/>
      <c r="AB1150" s="473"/>
      <c r="AC1150" s="1164"/>
      <c r="AD1150" s="473"/>
      <c r="AE1150" s="1164"/>
      <c r="AF1150" s="473"/>
      <c r="AG1150" s="1164"/>
      <c r="AH1150" s="473"/>
      <c r="AI1150" s="473"/>
      <c r="AJ1150" s="1164"/>
      <c r="AK1150" s="473"/>
      <c r="AL1150" s="473"/>
      <c r="AM1150" s="1164"/>
      <c r="AN1150" s="473"/>
      <c r="AO1150" s="473"/>
      <c r="AP1150" s="1164"/>
      <c r="AQ1150" s="473"/>
      <c r="AR1150" s="473"/>
      <c r="AS1150" s="1236"/>
      <c r="AT1150" s="473"/>
      <c r="AU1150" s="473"/>
      <c r="AV1150" s="1164"/>
      <c r="AW1150" s="1164"/>
      <c r="AX1150" s="1236"/>
      <c r="AY1150" s="473"/>
      <c r="AZ1150" s="1236"/>
      <c r="BA1150" s="473"/>
      <c r="BB1150" s="473"/>
      <c r="BC1150" s="1164"/>
      <c r="BD1150" s="20"/>
      <c r="BE1150" s="473"/>
      <c r="BF1150" s="610"/>
      <c r="BG1150" s="610"/>
      <c r="BH1150" s="610"/>
      <c r="BI1150" s="610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</row>
    <row r="1151" spans="1:148" s="22" customFormat="1" x14ac:dyDescent="0.25">
      <c r="A1151" s="20"/>
      <c r="B1151" s="16"/>
      <c r="C1151" s="473"/>
      <c r="D1151" s="473"/>
      <c r="E1151" s="1164"/>
      <c r="F1151" s="473"/>
      <c r="G1151" s="473"/>
      <c r="H1151" s="1164"/>
      <c r="I1151" s="473"/>
      <c r="J1151" s="473"/>
      <c r="K1151" s="1164"/>
      <c r="L1151" s="473"/>
      <c r="M1151" s="473"/>
      <c r="N1151" s="1164"/>
      <c r="O1151" s="473"/>
      <c r="P1151" s="473"/>
      <c r="Q1151" s="1164"/>
      <c r="R1151" s="473"/>
      <c r="S1151" s="473"/>
      <c r="T1151" s="1164"/>
      <c r="U1151" s="1164"/>
      <c r="V1151" s="473"/>
      <c r="W1151" s="473"/>
      <c r="X1151" s="1164"/>
      <c r="Y1151" s="473"/>
      <c r="Z1151" s="473"/>
      <c r="AA1151" s="1164"/>
      <c r="AB1151" s="473"/>
      <c r="AC1151" s="1164"/>
      <c r="AD1151" s="473"/>
      <c r="AE1151" s="1164"/>
      <c r="AF1151" s="473"/>
      <c r="AG1151" s="1164"/>
      <c r="AH1151" s="473"/>
      <c r="AI1151" s="473"/>
      <c r="AJ1151" s="1164"/>
      <c r="AK1151" s="473"/>
      <c r="AL1151" s="473"/>
      <c r="AM1151" s="1164"/>
      <c r="AN1151" s="473"/>
      <c r="AO1151" s="473"/>
      <c r="AP1151" s="1164"/>
      <c r="AQ1151" s="473"/>
      <c r="AR1151" s="473"/>
      <c r="AS1151" s="1236"/>
      <c r="AT1151" s="473"/>
      <c r="AU1151" s="473"/>
      <c r="AV1151" s="1164"/>
      <c r="AW1151" s="1164"/>
      <c r="AX1151" s="1236"/>
      <c r="AY1151" s="473"/>
      <c r="AZ1151" s="1236"/>
      <c r="BA1151" s="473"/>
      <c r="BB1151" s="473"/>
      <c r="BC1151" s="1164"/>
      <c r="BD1151" s="20"/>
      <c r="BE1151" s="473"/>
      <c r="BF1151" s="610"/>
      <c r="BG1151" s="610"/>
      <c r="BH1151" s="610"/>
      <c r="BI1151" s="610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</row>
    <row r="1152" spans="1:148" s="22" customFormat="1" x14ac:dyDescent="0.25">
      <c r="A1152" s="20"/>
      <c r="B1152" s="16"/>
      <c r="C1152" s="473"/>
      <c r="D1152" s="473"/>
      <c r="E1152" s="1164"/>
      <c r="F1152" s="473"/>
      <c r="G1152" s="473"/>
      <c r="H1152" s="1164"/>
      <c r="I1152" s="473"/>
      <c r="J1152" s="473"/>
      <c r="K1152" s="1164"/>
      <c r="L1152" s="473"/>
      <c r="M1152" s="473"/>
      <c r="N1152" s="1164"/>
      <c r="O1152" s="473"/>
      <c r="P1152" s="473"/>
      <c r="Q1152" s="1164"/>
      <c r="R1152" s="473"/>
      <c r="S1152" s="473"/>
      <c r="T1152" s="1164"/>
      <c r="U1152" s="1164"/>
      <c r="V1152" s="473"/>
      <c r="W1152" s="473"/>
      <c r="X1152" s="1164"/>
      <c r="Y1152" s="473"/>
      <c r="Z1152" s="473"/>
      <c r="AA1152" s="1164"/>
      <c r="AB1152" s="473"/>
      <c r="AC1152" s="1164"/>
      <c r="AD1152" s="473"/>
      <c r="AE1152" s="1164"/>
      <c r="AF1152" s="473"/>
      <c r="AG1152" s="1164"/>
      <c r="AH1152" s="473"/>
      <c r="AI1152" s="473"/>
      <c r="AJ1152" s="1164"/>
      <c r="AK1152" s="473"/>
      <c r="AL1152" s="473"/>
      <c r="AM1152" s="1164"/>
      <c r="AN1152" s="473"/>
      <c r="AO1152" s="473"/>
      <c r="AP1152" s="1164"/>
      <c r="AQ1152" s="473"/>
      <c r="AR1152" s="473"/>
      <c r="AS1152" s="1236"/>
      <c r="AT1152" s="473"/>
      <c r="AU1152" s="473"/>
      <c r="AV1152" s="1164"/>
      <c r="AW1152" s="1164"/>
      <c r="AX1152" s="1236"/>
      <c r="AY1152" s="473"/>
      <c r="AZ1152" s="1236"/>
      <c r="BA1152" s="473"/>
      <c r="BB1152" s="473"/>
      <c r="BC1152" s="1164"/>
      <c r="BD1152" s="20"/>
      <c r="BE1152" s="473"/>
      <c r="BF1152" s="610"/>
      <c r="BG1152" s="610"/>
      <c r="BH1152" s="610"/>
      <c r="BI1152" s="610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</row>
    <row r="1153" spans="1:148" s="22" customFormat="1" x14ac:dyDescent="0.25">
      <c r="A1153" s="20"/>
      <c r="B1153" s="16"/>
      <c r="C1153" s="473"/>
      <c r="D1153" s="473"/>
      <c r="E1153" s="1164"/>
      <c r="F1153" s="473"/>
      <c r="G1153" s="473"/>
      <c r="H1153" s="1164"/>
      <c r="I1153" s="473"/>
      <c r="J1153" s="473"/>
      <c r="K1153" s="1164"/>
      <c r="L1153" s="473"/>
      <c r="M1153" s="473"/>
      <c r="N1153" s="1164"/>
      <c r="O1153" s="473"/>
      <c r="P1153" s="473"/>
      <c r="Q1153" s="1164"/>
      <c r="R1153" s="473"/>
      <c r="S1153" s="473"/>
      <c r="T1153" s="1164"/>
      <c r="U1153" s="1164"/>
      <c r="V1153" s="473"/>
      <c r="W1153" s="473"/>
      <c r="X1153" s="1164"/>
      <c r="Y1153" s="473"/>
      <c r="Z1153" s="473"/>
      <c r="AA1153" s="1164"/>
      <c r="AB1153" s="473"/>
      <c r="AC1153" s="1164"/>
      <c r="AD1153" s="473"/>
      <c r="AE1153" s="1164"/>
      <c r="AF1153" s="473"/>
      <c r="AG1153" s="1164"/>
      <c r="AH1153" s="473"/>
      <c r="AI1153" s="473"/>
      <c r="AJ1153" s="1164"/>
      <c r="AK1153" s="473"/>
      <c r="AL1153" s="473"/>
      <c r="AM1153" s="1164"/>
      <c r="AN1153" s="473"/>
      <c r="AO1153" s="473"/>
      <c r="AP1153" s="1164"/>
      <c r="AQ1153" s="473"/>
      <c r="AR1153" s="473"/>
      <c r="AS1153" s="1236"/>
      <c r="AT1153" s="473"/>
      <c r="AU1153" s="473"/>
      <c r="AV1153" s="1164"/>
      <c r="AW1153" s="1164"/>
      <c r="AX1153" s="1236"/>
      <c r="AY1153" s="473"/>
      <c r="AZ1153" s="1236"/>
      <c r="BA1153" s="473"/>
      <c r="BB1153" s="473"/>
      <c r="BC1153" s="1164"/>
      <c r="BD1153" s="20"/>
      <c r="BE1153" s="473"/>
      <c r="BF1153" s="610"/>
      <c r="BG1153" s="610"/>
      <c r="BH1153" s="610"/>
      <c r="BI1153" s="610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</row>
    <row r="1154" spans="1:148" s="22" customFormat="1" x14ac:dyDescent="0.25">
      <c r="A1154" s="20"/>
      <c r="B1154" s="16"/>
      <c r="C1154" s="473"/>
      <c r="D1154" s="473"/>
      <c r="E1154" s="1164"/>
      <c r="F1154" s="473"/>
      <c r="G1154" s="473"/>
      <c r="H1154" s="1164"/>
      <c r="I1154" s="473"/>
      <c r="J1154" s="473"/>
      <c r="K1154" s="1164"/>
      <c r="L1154" s="473"/>
      <c r="M1154" s="473"/>
      <c r="N1154" s="1164"/>
      <c r="O1154" s="473"/>
      <c r="P1154" s="473"/>
      <c r="Q1154" s="1164"/>
      <c r="R1154" s="473"/>
      <c r="S1154" s="473"/>
      <c r="T1154" s="1164"/>
      <c r="U1154" s="1164"/>
      <c r="V1154" s="473"/>
      <c r="W1154" s="473"/>
      <c r="X1154" s="1164"/>
      <c r="Y1154" s="473"/>
      <c r="Z1154" s="473"/>
      <c r="AA1154" s="1164"/>
      <c r="AB1154" s="473"/>
      <c r="AC1154" s="1164"/>
      <c r="AD1154" s="473"/>
      <c r="AE1154" s="1164"/>
      <c r="AF1154" s="473"/>
      <c r="AG1154" s="1164"/>
      <c r="AH1154" s="473"/>
      <c r="AI1154" s="473"/>
      <c r="AJ1154" s="1164"/>
      <c r="AK1154" s="473"/>
      <c r="AL1154" s="473"/>
      <c r="AM1154" s="1164"/>
      <c r="AN1154" s="473"/>
      <c r="AO1154" s="473"/>
      <c r="AP1154" s="1164"/>
      <c r="AQ1154" s="473"/>
      <c r="AR1154" s="473"/>
      <c r="AS1154" s="1236"/>
      <c r="AT1154" s="473"/>
      <c r="AU1154" s="473"/>
      <c r="AV1154" s="1164"/>
      <c r="AW1154" s="1164"/>
      <c r="AX1154" s="1236"/>
      <c r="AY1154" s="473"/>
      <c r="AZ1154" s="1236"/>
      <c r="BA1154" s="473"/>
      <c r="BB1154" s="473"/>
      <c r="BC1154" s="1164"/>
      <c r="BD1154" s="20"/>
      <c r="BE1154" s="473"/>
      <c r="BF1154" s="610"/>
      <c r="BG1154" s="610"/>
      <c r="BH1154" s="610"/>
      <c r="BI1154" s="610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</row>
    <row r="1155" spans="1:148" s="22" customFormat="1" x14ac:dyDescent="0.25">
      <c r="A1155" s="20"/>
      <c r="B1155" s="16"/>
      <c r="C1155" s="473"/>
      <c r="D1155" s="473"/>
      <c r="E1155" s="1164"/>
      <c r="F1155" s="473"/>
      <c r="G1155" s="473"/>
      <c r="H1155" s="1164"/>
      <c r="I1155" s="473"/>
      <c r="J1155" s="473"/>
      <c r="K1155" s="1164"/>
      <c r="L1155" s="473"/>
      <c r="M1155" s="473"/>
      <c r="N1155" s="1164"/>
      <c r="O1155" s="473"/>
      <c r="P1155" s="473"/>
      <c r="Q1155" s="1164"/>
      <c r="R1155" s="473"/>
      <c r="S1155" s="473"/>
      <c r="T1155" s="1164"/>
      <c r="U1155" s="1164"/>
      <c r="V1155" s="473"/>
      <c r="W1155" s="473"/>
      <c r="X1155" s="1164"/>
      <c r="Y1155" s="473"/>
      <c r="Z1155" s="473"/>
      <c r="AA1155" s="1164"/>
      <c r="AB1155" s="473"/>
      <c r="AC1155" s="1164"/>
      <c r="AD1155" s="473"/>
      <c r="AE1155" s="1164"/>
      <c r="AF1155" s="473"/>
      <c r="AG1155" s="1164"/>
      <c r="AH1155" s="473"/>
      <c r="AI1155" s="473"/>
      <c r="AJ1155" s="1164"/>
      <c r="AK1155" s="473"/>
      <c r="AL1155" s="473"/>
      <c r="AM1155" s="1164"/>
      <c r="AN1155" s="473"/>
      <c r="AO1155" s="473"/>
      <c r="AP1155" s="1164"/>
      <c r="AQ1155" s="473"/>
      <c r="AR1155" s="473"/>
      <c r="AS1155" s="1236"/>
      <c r="AT1155" s="473"/>
      <c r="AU1155" s="473"/>
      <c r="AV1155" s="1164"/>
      <c r="AW1155" s="1164"/>
      <c r="AX1155" s="1236"/>
      <c r="AY1155" s="473"/>
      <c r="AZ1155" s="1236"/>
      <c r="BA1155" s="473"/>
      <c r="BB1155" s="473"/>
      <c r="BC1155" s="1164"/>
      <c r="BD1155" s="20"/>
      <c r="BE1155" s="473"/>
      <c r="BF1155" s="610"/>
      <c r="BG1155" s="610"/>
      <c r="BH1155" s="610"/>
      <c r="BI1155" s="610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</row>
    <row r="1156" spans="1:148" s="22" customFormat="1" x14ac:dyDescent="0.25">
      <c r="A1156" s="20"/>
      <c r="B1156" s="16"/>
      <c r="C1156" s="473"/>
      <c r="D1156" s="473"/>
      <c r="E1156" s="1164"/>
      <c r="F1156" s="473"/>
      <c r="G1156" s="473"/>
      <c r="H1156" s="1164"/>
      <c r="I1156" s="473"/>
      <c r="J1156" s="473"/>
      <c r="K1156" s="1164"/>
      <c r="L1156" s="473"/>
      <c r="M1156" s="473"/>
      <c r="N1156" s="1164"/>
      <c r="O1156" s="473"/>
      <c r="P1156" s="473"/>
      <c r="Q1156" s="1164"/>
      <c r="R1156" s="473"/>
      <c r="S1156" s="473"/>
      <c r="T1156" s="1164"/>
      <c r="U1156" s="1164"/>
      <c r="V1156" s="473"/>
      <c r="W1156" s="473"/>
      <c r="X1156" s="1164"/>
      <c r="Y1156" s="473"/>
      <c r="Z1156" s="473"/>
      <c r="AA1156" s="1164"/>
      <c r="AB1156" s="473"/>
      <c r="AC1156" s="1164"/>
      <c r="AD1156" s="473"/>
      <c r="AE1156" s="1164"/>
      <c r="AF1156" s="473"/>
      <c r="AG1156" s="1164"/>
      <c r="AH1156" s="473"/>
      <c r="AI1156" s="473"/>
      <c r="AJ1156" s="1164"/>
      <c r="AK1156" s="473"/>
      <c r="AL1156" s="473"/>
      <c r="AM1156" s="1164"/>
      <c r="AN1156" s="473"/>
      <c r="AO1156" s="473"/>
      <c r="AP1156" s="1164"/>
      <c r="AQ1156" s="473"/>
      <c r="AR1156" s="473"/>
      <c r="AS1156" s="1236"/>
      <c r="AT1156" s="473"/>
      <c r="AU1156" s="473"/>
      <c r="AV1156" s="1164"/>
      <c r="AW1156" s="1164"/>
      <c r="AX1156" s="1236"/>
      <c r="AY1156" s="473"/>
      <c r="AZ1156" s="1236"/>
      <c r="BA1156" s="473"/>
      <c r="BB1156" s="473"/>
      <c r="BC1156" s="1164"/>
      <c r="BD1156" s="20"/>
      <c r="BE1156" s="473"/>
      <c r="BF1156" s="610"/>
      <c r="BG1156" s="610"/>
      <c r="BH1156" s="610"/>
      <c r="BI1156" s="610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</row>
    <row r="1157" spans="1:148" s="22" customFormat="1" x14ac:dyDescent="0.25">
      <c r="A1157" s="20"/>
      <c r="B1157" s="16"/>
      <c r="C1157" s="473"/>
      <c r="D1157" s="473"/>
      <c r="E1157" s="1164"/>
      <c r="F1157" s="473"/>
      <c r="G1157" s="473"/>
      <c r="H1157" s="1164"/>
      <c r="I1157" s="473"/>
      <c r="J1157" s="473"/>
      <c r="K1157" s="1164"/>
      <c r="L1157" s="473"/>
      <c r="M1157" s="473"/>
      <c r="N1157" s="1164"/>
      <c r="O1157" s="473"/>
      <c r="P1157" s="473"/>
      <c r="Q1157" s="1164"/>
      <c r="R1157" s="473"/>
      <c r="S1157" s="473"/>
      <c r="T1157" s="1164"/>
      <c r="U1157" s="1164"/>
      <c r="V1157" s="473"/>
      <c r="W1157" s="473"/>
      <c r="X1157" s="1164"/>
      <c r="Y1157" s="473"/>
      <c r="Z1157" s="473"/>
      <c r="AA1157" s="1164"/>
      <c r="AB1157" s="473"/>
      <c r="AC1157" s="1164"/>
      <c r="AD1157" s="473"/>
      <c r="AE1157" s="1164"/>
      <c r="AF1157" s="473"/>
      <c r="AG1157" s="1164"/>
      <c r="AH1157" s="473"/>
      <c r="AI1157" s="473"/>
      <c r="AJ1157" s="1164"/>
      <c r="AK1157" s="473"/>
      <c r="AL1157" s="473"/>
      <c r="AM1157" s="1164"/>
      <c r="AN1157" s="473"/>
      <c r="AO1157" s="473"/>
      <c r="AP1157" s="1164"/>
      <c r="AQ1157" s="473"/>
      <c r="AR1157" s="473"/>
      <c r="AS1157" s="1236"/>
      <c r="AT1157" s="473"/>
      <c r="AU1157" s="473"/>
      <c r="AV1157" s="1164"/>
      <c r="AW1157" s="1164"/>
      <c r="AX1157" s="1236"/>
      <c r="AY1157" s="473"/>
      <c r="AZ1157" s="1236"/>
      <c r="BA1157" s="473"/>
      <c r="BB1157" s="473"/>
      <c r="BC1157" s="1164"/>
      <c r="BD1157" s="20"/>
      <c r="BE1157" s="473"/>
      <c r="BF1157" s="610"/>
      <c r="BG1157" s="610"/>
      <c r="BH1157" s="610"/>
      <c r="BI1157" s="610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</row>
    <row r="1158" spans="1:148" s="22" customFormat="1" x14ac:dyDescent="0.25">
      <c r="A1158" s="20"/>
      <c r="B1158" s="16"/>
      <c r="C1158" s="473"/>
      <c r="D1158" s="473"/>
      <c r="E1158" s="1164"/>
      <c r="F1158" s="473"/>
      <c r="G1158" s="473"/>
      <c r="H1158" s="1164"/>
      <c r="I1158" s="473"/>
      <c r="J1158" s="473"/>
      <c r="K1158" s="1164"/>
      <c r="L1158" s="473"/>
      <c r="M1158" s="473"/>
      <c r="N1158" s="1164"/>
      <c r="O1158" s="473"/>
      <c r="P1158" s="473"/>
      <c r="Q1158" s="1164"/>
      <c r="R1158" s="473"/>
      <c r="S1158" s="473"/>
      <c r="T1158" s="1164"/>
      <c r="U1158" s="1164"/>
      <c r="V1158" s="473"/>
      <c r="W1158" s="473"/>
      <c r="X1158" s="1164"/>
      <c r="Y1158" s="473"/>
      <c r="Z1158" s="473"/>
      <c r="AA1158" s="1164"/>
      <c r="AB1158" s="473"/>
      <c r="AC1158" s="1164"/>
      <c r="AD1158" s="473"/>
      <c r="AE1158" s="1164"/>
      <c r="AF1158" s="473"/>
      <c r="AG1158" s="1164"/>
      <c r="AH1158" s="473"/>
      <c r="AI1158" s="473"/>
      <c r="AJ1158" s="1164"/>
      <c r="AK1158" s="473"/>
      <c r="AL1158" s="473"/>
      <c r="AM1158" s="1164"/>
      <c r="AN1158" s="473"/>
      <c r="AO1158" s="473"/>
      <c r="AP1158" s="1164"/>
      <c r="AQ1158" s="473"/>
      <c r="AR1158" s="473"/>
      <c r="AS1158" s="1236"/>
      <c r="AT1158" s="473"/>
      <c r="AU1158" s="473"/>
      <c r="AV1158" s="1164"/>
      <c r="AW1158" s="1164"/>
      <c r="AX1158" s="1236"/>
      <c r="AY1158" s="473"/>
      <c r="AZ1158" s="1236"/>
      <c r="BA1158" s="473"/>
      <c r="BB1158" s="473"/>
      <c r="BC1158" s="1164"/>
      <c r="BD1158" s="20"/>
      <c r="BE1158" s="473"/>
      <c r="BF1158" s="610"/>
      <c r="BG1158" s="610"/>
      <c r="BH1158" s="610"/>
      <c r="BI1158" s="610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</row>
    <row r="1159" spans="1:148" s="22" customFormat="1" x14ac:dyDescent="0.25">
      <c r="A1159" s="20"/>
      <c r="B1159" s="16"/>
      <c r="C1159" s="473"/>
      <c r="D1159" s="473"/>
      <c r="E1159" s="1164"/>
      <c r="F1159" s="473"/>
      <c r="G1159" s="473"/>
      <c r="H1159" s="1164"/>
      <c r="I1159" s="473"/>
      <c r="J1159" s="473"/>
      <c r="K1159" s="1164"/>
      <c r="L1159" s="473"/>
      <c r="M1159" s="473"/>
      <c r="N1159" s="1164"/>
      <c r="O1159" s="473"/>
      <c r="P1159" s="473"/>
      <c r="Q1159" s="1164"/>
      <c r="R1159" s="473"/>
      <c r="S1159" s="473"/>
      <c r="T1159" s="1164"/>
      <c r="U1159" s="1164"/>
      <c r="V1159" s="473"/>
      <c r="W1159" s="473"/>
      <c r="X1159" s="1164"/>
      <c r="Y1159" s="473"/>
      <c r="Z1159" s="473"/>
      <c r="AA1159" s="1164"/>
      <c r="AB1159" s="473"/>
      <c r="AC1159" s="1164"/>
      <c r="AD1159" s="473"/>
      <c r="AE1159" s="1164"/>
      <c r="AF1159" s="473"/>
      <c r="AG1159" s="1164"/>
      <c r="AH1159" s="473"/>
      <c r="AI1159" s="473"/>
      <c r="AJ1159" s="1164"/>
      <c r="AK1159" s="473"/>
      <c r="AL1159" s="473"/>
      <c r="AM1159" s="1164"/>
      <c r="AN1159" s="473"/>
      <c r="AO1159" s="473"/>
      <c r="AP1159" s="1164"/>
      <c r="AQ1159" s="473"/>
      <c r="AR1159" s="473"/>
      <c r="AS1159" s="1236"/>
      <c r="AT1159" s="473"/>
      <c r="AU1159" s="473"/>
      <c r="AV1159" s="1164"/>
      <c r="AW1159" s="1164"/>
      <c r="AX1159" s="1236"/>
      <c r="AY1159" s="473"/>
      <c r="AZ1159" s="1236"/>
      <c r="BA1159" s="473"/>
      <c r="BB1159" s="473"/>
      <c r="BC1159" s="1164"/>
      <c r="BD1159" s="20"/>
      <c r="BE1159" s="473"/>
      <c r="BF1159" s="610"/>
      <c r="BG1159" s="610"/>
      <c r="BH1159" s="610"/>
      <c r="BI1159" s="610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</row>
    <row r="1160" spans="1:148" s="22" customFormat="1" x14ac:dyDescent="0.25">
      <c r="A1160" s="20"/>
      <c r="B1160" s="16"/>
      <c r="C1160" s="473"/>
      <c r="D1160" s="473"/>
      <c r="E1160" s="1164"/>
      <c r="F1160" s="473"/>
      <c r="G1160" s="473"/>
      <c r="H1160" s="1164"/>
      <c r="I1160" s="473"/>
      <c r="J1160" s="473"/>
      <c r="K1160" s="1164"/>
      <c r="L1160" s="473"/>
      <c r="M1160" s="473"/>
      <c r="N1160" s="1164"/>
      <c r="O1160" s="473"/>
      <c r="P1160" s="473"/>
      <c r="Q1160" s="1164"/>
      <c r="R1160" s="473"/>
      <c r="S1160" s="473"/>
      <c r="T1160" s="1164"/>
      <c r="U1160" s="1164"/>
      <c r="V1160" s="473"/>
      <c r="W1160" s="473"/>
      <c r="X1160" s="1164"/>
      <c r="Y1160" s="473"/>
      <c r="Z1160" s="473"/>
      <c r="AA1160" s="1164"/>
      <c r="AB1160" s="473"/>
      <c r="AC1160" s="1164"/>
      <c r="AD1160" s="473"/>
      <c r="AE1160" s="1164"/>
      <c r="AF1160" s="473"/>
      <c r="AG1160" s="1164"/>
      <c r="AH1160" s="473"/>
      <c r="AI1160" s="473"/>
      <c r="AJ1160" s="1164"/>
      <c r="AK1160" s="473"/>
      <c r="AL1160" s="473"/>
      <c r="AM1160" s="1164"/>
      <c r="AN1160" s="473"/>
      <c r="AO1160" s="473"/>
      <c r="AP1160" s="1164"/>
      <c r="AQ1160" s="473"/>
      <c r="AR1160" s="473"/>
      <c r="AS1160" s="1236"/>
      <c r="AT1160" s="473"/>
      <c r="AU1160" s="473"/>
      <c r="AV1160" s="1164"/>
      <c r="AW1160" s="1164"/>
      <c r="AX1160" s="1236"/>
      <c r="AY1160" s="473"/>
      <c r="AZ1160" s="1236"/>
      <c r="BA1160" s="473"/>
      <c r="BB1160" s="473"/>
      <c r="BC1160" s="1164"/>
      <c r="BD1160" s="20"/>
      <c r="BE1160" s="473"/>
      <c r="BF1160" s="610"/>
      <c r="BG1160" s="610"/>
      <c r="BH1160" s="610"/>
      <c r="BI1160" s="610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</row>
    <row r="1161" spans="1:148" s="22" customFormat="1" x14ac:dyDescent="0.25">
      <c r="A1161" s="20"/>
      <c r="B1161" s="16"/>
      <c r="C1161" s="473"/>
      <c r="D1161" s="473"/>
      <c r="E1161" s="1164"/>
      <c r="F1161" s="473"/>
      <c r="G1161" s="473"/>
      <c r="H1161" s="1164"/>
      <c r="I1161" s="473"/>
      <c r="J1161" s="473"/>
      <c r="K1161" s="1164"/>
      <c r="L1161" s="473"/>
      <c r="M1161" s="473"/>
      <c r="N1161" s="1164"/>
      <c r="O1161" s="473"/>
      <c r="P1161" s="473"/>
      <c r="Q1161" s="1164"/>
      <c r="R1161" s="473"/>
      <c r="S1161" s="473"/>
      <c r="T1161" s="1164"/>
      <c r="U1161" s="1164"/>
      <c r="V1161" s="473"/>
      <c r="W1161" s="473"/>
      <c r="X1161" s="1164"/>
      <c r="Y1161" s="473"/>
      <c r="Z1161" s="473"/>
      <c r="AA1161" s="1164"/>
      <c r="AB1161" s="473"/>
      <c r="AC1161" s="1164"/>
      <c r="AD1161" s="473"/>
      <c r="AE1161" s="1164"/>
      <c r="AF1161" s="473"/>
      <c r="AG1161" s="1164"/>
      <c r="AH1161" s="473"/>
      <c r="AI1161" s="473"/>
      <c r="AJ1161" s="1164"/>
      <c r="AK1161" s="473"/>
      <c r="AL1161" s="473"/>
      <c r="AM1161" s="1164"/>
      <c r="AN1161" s="473"/>
      <c r="AO1161" s="473"/>
      <c r="AP1161" s="1164"/>
      <c r="AQ1161" s="473"/>
      <c r="AR1161" s="473"/>
      <c r="AS1161" s="1236"/>
      <c r="AT1161" s="473"/>
      <c r="AU1161" s="473"/>
      <c r="AV1161" s="1164"/>
      <c r="AW1161" s="1164"/>
      <c r="AX1161" s="1236"/>
      <c r="AY1161" s="473"/>
      <c r="AZ1161" s="1236"/>
      <c r="BA1161" s="473"/>
      <c r="BB1161" s="473"/>
      <c r="BC1161" s="1164"/>
      <c r="BD1161" s="20"/>
      <c r="BE1161" s="473"/>
      <c r="BF1161" s="610"/>
      <c r="BG1161" s="610"/>
      <c r="BH1161" s="610"/>
      <c r="BI1161" s="610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</row>
    <row r="1162" spans="1:148" s="22" customFormat="1" x14ac:dyDescent="0.25">
      <c r="A1162" s="20"/>
      <c r="B1162" s="16"/>
      <c r="C1162" s="473"/>
      <c r="D1162" s="473"/>
      <c r="E1162" s="1164"/>
      <c r="F1162" s="473"/>
      <c r="G1162" s="473"/>
      <c r="H1162" s="1164"/>
      <c r="I1162" s="473"/>
      <c r="J1162" s="473"/>
      <c r="K1162" s="1164"/>
      <c r="L1162" s="473"/>
      <c r="M1162" s="473"/>
      <c r="N1162" s="1164"/>
      <c r="O1162" s="473"/>
      <c r="P1162" s="473"/>
      <c r="Q1162" s="1164"/>
      <c r="R1162" s="473"/>
      <c r="S1162" s="473"/>
      <c r="T1162" s="1164"/>
      <c r="U1162" s="1164"/>
      <c r="V1162" s="473"/>
      <c r="W1162" s="473"/>
      <c r="X1162" s="1164"/>
      <c r="Y1162" s="473"/>
      <c r="Z1162" s="473"/>
      <c r="AA1162" s="1164"/>
      <c r="AB1162" s="473"/>
      <c r="AC1162" s="1164"/>
      <c r="AD1162" s="473"/>
      <c r="AE1162" s="1164"/>
      <c r="AF1162" s="473"/>
      <c r="AG1162" s="1164"/>
      <c r="AH1162" s="473"/>
      <c r="AI1162" s="473"/>
      <c r="AJ1162" s="1164"/>
      <c r="AK1162" s="473"/>
      <c r="AL1162" s="473"/>
      <c r="AM1162" s="1164"/>
      <c r="AN1162" s="473"/>
      <c r="AO1162" s="473"/>
      <c r="AP1162" s="1164"/>
      <c r="AQ1162" s="473"/>
      <c r="AR1162" s="473"/>
      <c r="AS1162" s="1236"/>
      <c r="AT1162" s="473"/>
      <c r="AU1162" s="473"/>
      <c r="AV1162" s="1164"/>
      <c r="AW1162" s="1164"/>
      <c r="AX1162" s="1236"/>
      <c r="AY1162" s="473"/>
      <c r="AZ1162" s="1236"/>
      <c r="BA1162" s="473"/>
      <c r="BB1162" s="473"/>
      <c r="BC1162" s="1164"/>
      <c r="BD1162" s="20"/>
      <c r="BE1162" s="473"/>
      <c r="BF1162" s="610"/>
      <c r="BG1162" s="610"/>
      <c r="BH1162" s="610"/>
      <c r="BI1162" s="610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</row>
    <row r="1163" spans="1:148" s="22" customFormat="1" x14ac:dyDescent="0.25">
      <c r="A1163" s="20"/>
      <c r="B1163" s="16"/>
      <c r="C1163" s="473"/>
      <c r="D1163" s="473"/>
      <c r="E1163" s="1164"/>
      <c r="F1163" s="473"/>
      <c r="G1163" s="473"/>
      <c r="H1163" s="1164"/>
      <c r="I1163" s="473"/>
      <c r="J1163" s="473"/>
      <c r="K1163" s="1164"/>
      <c r="L1163" s="473"/>
      <c r="M1163" s="473"/>
      <c r="N1163" s="1164"/>
      <c r="O1163" s="473"/>
      <c r="P1163" s="473"/>
      <c r="Q1163" s="1164"/>
      <c r="R1163" s="473"/>
      <c r="S1163" s="473"/>
      <c r="T1163" s="1164"/>
      <c r="U1163" s="1164"/>
      <c r="V1163" s="473"/>
      <c r="W1163" s="473"/>
      <c r="X1163" s="1164"/>
      <c r="Y1163" s="473"/>
      <c r="Z1163" s="473"/>
      <c r="AA1163" s="1164"/>
      <c r="AB1163" s="473"/>
      <c r="AC1163" s="1164"/>
      <c r="AD1163" s="473"/>
      <c r="AE1163" s="1164"/>
      <c r="AF1163" s="473"/>
      <c r="AG1163" s="1164"/>
      <c r="AH1163" s="473"/>
      <c r="AI1163" s="473"/>
      <c r="AJ1163" s="1164"/>
      <c r="AK1163" s="473"/>
      <c r="AL1163" s="473"/>
      <c r="AM1163" s="1164"/>
      <c r="AN1163" s="473"/>
      <c r="AO1163" s="473"/>
      <c r="AP1163" s="1164"/>
      <c r="AQ1163" s="473"/>
      <c r="AR1163" s="473"/>
      <c r="AS1163" s="1236"/>
      <c r="AT1163" s="473"/>
      <c r="AU1163" s="473"/>
      <c r="AV1163" s="1164"/>
      <c r="AW1163" s="1164"/>
      <c r="AX1163" s="1236"/>
      <c r="AY1163" s="473"/>
      <c r="AZ1163" s="1236"/>
      <c r="BA1163" s="473"/>
      <c r="BB1163" s="473"/>
      <c r="BC1163" s="1164"/>
      <c r="BD1163" s="20"/>
      <c r="BE1163" s="473"/>
      <c r="BF1163" s="610"/>
      <c r="BG1163" s="610"/>
      <c r="BH1163" s="610"/>
      <c r="BI1163" s="610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</row>
    <row r="1164" spans="1:148" s="22" customFormat="1" x14ac:dyDescent="0.25">
      <c r="A1164" s="20"/>
      <c r="B1164" s="16"/>
      <c r="C1164" s="473"/>
      <c r="D1164" s="473"/>
      <c r="E1164" s="1164"/>
      <c r="F1164" s="473"/>
      <c r="G1164" s="473"/>
      <c r="H1164" s="1164"/>
      <c r="I1164" s="473"/>
      <c r="J1164" s="473"/>
      <c r="K1164" s="1164"/>
      <c r="L1164" s="473"/>
      <c r="M1164" s="473"/>
      <c r="N1164" s="1164"/>
      <c r="O1164" s="473"/>
      <c r="P1164" s="473"/>
      <c r="Q1164" s="1164"/>
      <c r="R1164" s="473"/>
      <c r="S1164" s="473"/>
      <c r="T1164" s="1164"/>
      <c r="U1164" s="1164"/>
      <c r="V1164" s="473"/>
      <c r="W1164" s="473"/>
      <c r="X1164" s="1164"/>
      <c r="Y1164" s="473"/>
      <c r="Z1164" s="473"/>
      <c r="AA1164" s="1164"/>
      <c r="AB1164" s="473"/>
      <c r="AC1164" s="1164"/>
      <c r="AD1164" s="473"/>
      <c r="AE1164" s="1164"/>
      <c r="AF1164" s="473"/>
      <c r="AG1164" s="1164"/>
      <c r="AH1164" s="473"/>
      <c r="AI1164" s="473"/>
      <c r="AJ1164" s="1164"/>
      <c r="AK1164" s="473"/>
      <c r="AL1164" s="473"/>
      <c r="AM1164" s="1164"/>
      <c r="AN1164" s="473"/>
      <c r="AO1164" s="473"/>
      <c r="AP1164" s="1164"/>
      <c r="AQ1164" s="473"/>
      <c r="AR1164" s="473"/>
      <c r="AS1164" s="1236"/>
      <c r="AT1164" s="473"/>
      <c r="AU1164" s="473"/>
      <c r="AV1164" s="1164"/>
      <c r="AW1164" s="1164"/>
      <c r="AX1164" s="1236"/>
      <c r="AY1164" s="473"/>
      <c r="AZ1164" s="1236"/>
      <c r="BA1164" s="473"/>
      <c r="BB1164" s="473"/>
      <c r="BC1164" s="1164"/>
      <c r="BD1164" s="20"/>
      <c r="BE1164" s="473"/>
      <c r="BF1164" s="610"/>
      <c r="BG1164" s="610"/>
      <c r="BH1164" s="610"/>
      <c r="BI1164" s="610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</row>
    <row r="1165" spans="1:148" s="22" customFormat="1" x14ac:dyDescent="0.25">
      <c r="A1165" s="20"/>
      <c r="B1165" s="16"/>
      <c r="C1165" s="473"/>
      <c r="D1165" s="473"/>
      <c r="E1165" s="1164"/>
      <c r="F1165" s="473"/>
      <c r="G1165" s="473"/>
      <c r="H1165" s="1164"/>
      <c r="I1165" s="473"/>
      <c r="J1165" s="473"/>
      <c r="K1165" s="1164"/>
      <c r="L1165" s="473"/>
      <c r="M1165" s="473"/>
      <c r="N1165" s="1164"/>
      <c r="O1165" s="473"/>
      <c r="P1165" s="473"/>
      <c r="Q1165" s="1164"/>
      <c r="R1165" s="473"/>
      <c r="S1165" s="473"/>
      <c r="T1165" s="1164"/>
      <c r="U1165" s="1164"/>
      <c r="V1165" s="473"/>
      <c r="W1165" s="473"/>
      <c r="X1165" s="1164"/>
      <c r="Y1165" s="473"/>
      <c r="Z1165" s="473"/>
      <c r="AA1165" s="1164"/>
      <c r="AB1165" s="473"/>
      <c r="AC1165" s="1164"/>
      <c r="AD1165" s="473"/>
      <c r="AE1165" s="1164"/>
      <c r="AF1165" s="473"/>
      <c r="AG1165" s="1164"/>
      <c r="AH1165" s="473"/>
      <c r="AI1165" s="473"/>
      <c r="AJ1165" s="1164"/>
      <c r="AK1165" s="473"/>
      <c r="AL1165" s="473"/>
      <c r="AM1165" s="1164"/>
      <c r="AN1165" s="473"/>
      <c r="AO1165" s="473"/>
      <c r="AP1165" s="1164"/>
      <c r="AQ1165" s="473"/>
      <c r="AR1165" s="473"/>
      <c r="AS1165" s="1236"/>
      <c r="AT1165" s="473"/>
      <c r="AU1165" s="473"/>
      <c r="AV1165" s="1164"/>
      <c r="AW1165" s="1164"/>
      <c r="AX1165" s="1236"/>
      <c r="AY1165" s="473"/>
      <c r="AZ1165" s="1236"/>
      <c r="BA1165" s="473"/>
      <c r="BB1165" s="473"/>
      <c r="BC1165" s="1164"/>
      <c r="BD1165" s="20"/>
      <c r="BE1165" s="473"/>
      <c r="BF1165" s="610"/>
      <c r="BG1165" s="610"/>
      <c r="BH1165" s="610"/>
      <c r="BI1165" s="610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</row>
    <row r="1166" spans="1:148" s="22" customFormat="1" x14ac:dyDescent="0.25">
      <c r="A1166" s="20"/>
      <c r="B1166" s="16"/>
      <c r="C1166" s="473"/>
      <c r="D1166" s="473"/>
      <c r="E1166" s="1164"/>
      <c r="F1166" s="473"/>
      <c r="G1166" s="473"/>
      <c r="H1166" s="1164"/>
      <c r="I1166" s="473"/>
      <c r="J1166" s="473"/>
      <c r="K1166" s="1164"/>
      <c r="L1166" s="473"/>
      <c r="M1166" s="473"/>
      <c r="N1166" s="1164"/>
      <c r="O1166" s="473"/>
      <c r="P1166" s="473"/>
      <c r="Q1166" s="1164"/>
      <c r="R1166" s="473"/>
      <c r="S1166" s="473"/>
      <c r="T1166" s="1164"/>
      <c r="U1166" s="1164"/>
      <c r="V1166" s="473"/>
      <c r="W1166" s="473"/>
      <c r="X1166" s="1164"/>
      <c r="Y1166" s="473"/>
      <c r="Z1166" s="473"/>
      <c r="AA1166" s="1164"/>
      <c r="AB1166" s="473"/>
      <c r="AC1166" s="1164"/>
      <c r="AD1166" s="473"/>
      <c r="AE1166" s="1164"/>
      <c r="AF1166" s="473"/>
      <c r="AG1166" s="1164"/>
      <c r="AH1166" s="473"/>
      <c r="AI1166" s="473"/>
      <c r="AJ1166" s="1164"/>
      <c r="AK1166" s="473"/>
      <c r="AL1166" s="473"/>
      <c r="AM1166" s="1164"/>
      <c r="AN1166" s="473"/>
      <c r="AO1166" s="473"/>
      <c r="AP1166" s="1164"/>
      <c r="AQ1166" s="473"/>
      <c r="AR1166" s="473"/>
      <c r="AS1166" s="1236"/>
      <c r="AT1166" s="473"/>
      <c r="AU1166" s="473"/>
      <c r="AV1166" s="1164"/>
      <c r="AW1166" s="1164"/>
      <c r="AX1166" s="1236"/>
      <c r="AY1166" s="473"/>
      <c r="AZ1166" s="1236"/>
      <c r="BA1166" s="473"/>
      <c r="BB1166" s="473"/>
      <c r="BC1166" s="1164"/>
      <c r="BD1166" s="20"/>
      <c r="BE1166" s="473"/>
      <c r="BF1166" s="610"/>
      <c r="BG1166" s="610"/>
      <c r="BH1166" s="610"/>
      <c r="BI1166" s="610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</row>
    <row r="1167" spans="1:148" s="22" customFormat="1" x14ac:dyDescent="0.25">
      <c r="A1167" s="20"/>
      <c r="B1167" s="16"/>
      <c r="C1167" s="473"/>
      <c r="D1167" s="473"/>
      <c r="E1167" s="1164"/>
      <c r="F1167" s="473"/>
      <c r="G1167" s="473"/>
      <c r="H1167" s="1164"/>
      <c r="I1167" s="473"/>
      <c r="J1167" s="473"/>
      <c r="K1167" s="1164"/>
      <c r="L1167" s="473"/>
      <c r="M1167" s="473"/>
      <c r="N1167" s="1164"/>
      <c r="O1167" s="473"/>
      <c r="P1167" s="473"/>
      <c r="Q1167" s="1164"/>
      <c r="R1167" s="473"/>
      <c r="S1167" s="473"/>
      <c r="T1167" s="1164"/>
      <c r="U1167" s="1164"/>
      <c r="V1167" s="473"/>
      <c r="W1167" s="473"/>
      <c r="X1167" s="1164"/>
      <c r="Y1167" s="473"/>
      <c r="Z1167" s="473"/>
      <c r="AA1167" s="1164"/>
      <c r="AB1167" s="473"/>
      <c r="AC1167" s="1164"/>
      <c r="AD1167" s="473"/>
      <c r="AE1167" s="1164"/>
      <c r="AF1167" s="473"/>
      <c r="AG1167" s="1164"/>
      <c r="AH1167" s="473"/>
      <c r="AI1167" s="473"/>
      <c r="AJ1167" s="1164"/>
      <c r="AK1167" s="473"/>
      <c r="AL1167" s="473"/>
      <c r="AM1167" s="1164"/>
      <c r="AN1167" s="473"/>
      <c r="AO1167" s="473"/>
      <c r="AP1167" s="1164"/>
      <c r="AQ1167" s="473"/>
      <c r="AR1167" s="473"/>
      <c r="AS1167" s="1236"/>
      <c r="AT1167" s="473"/>
      <c r="AU1167" s="473"/>
      <c r="AV1167" s="1164"/>
      <c r="AW1167" s="1164"/>
      <c r="AX1167" s="1236"/>
      <c r="AY1167" s="473"/>
      <c r="AZ1167" s="1236"/>
      <c r="BA1167" s="473"/>
      <c r="BB1167" s="473"/>
      <c r="BC1167" s="1164"/>
      <c r="BD1167" s="20"/>
      <c r="BE1167" s="473"/>
      <c r="BF1167" s="610"/>
      <c r="BG1167" s="610"/>
      <c r="BH1167" s="610"/>
      <c r="BI1167" s="610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</row>
    <row r="1168" spans="1:148" s="22" customFormat="1" x14ac:dyDescent="0.25">
      <c r="A1168" s="20"/>
      <c r="B1168" s="16"/>
      <c r="C1168" s="473"/>
      <c r="D1168" s="473"/>
      <c r="E1168" s="1164"/>
      <c r="F1168" s="473"/>
      <c r="G1168" s="473"/>
      <c r="H1168" s="1164"/>
      <c r="I1168" s="473"/>
      <c r="J1168" s="473"/>
      <c r="K1168" s="1164"/>
      <c r="L1168" s="473"/>
      <c r="M1168" s="473"/>
      <c r="N1168" s="1164"/>
      <c r="O1168" s="473"/>
      <c r="P1168" s="473"/>
      <c r="Q1168" s="1164"/>
      <c r="R1168" s="473"/>
      <c r="S1168" s="473"/>
      <c r="T1168" s="1164"/>
      <c r="U1168" s="1164"/>
      <c r="V1168" s="473"/>
      <c r="W1168" s="473"/>
      <c r="X1168" s="1164"/>
      <c r="Y1168" s="473"/>
      <c r="Z1168" s="473"/>
      <c r="AA1168" s="1164"/>
      <c r="AB1168" s="473"/>
      <c r="AC1168" s="1164"/>
      <c r="AD1168" s="473"/>
      <c r="AE1168" s="1164"/>
      <c r="AF1168" s="473"/>
      <c r="AG1168" s="1164"/>
      <c r="AH1168" s="473"/>
      <c r="AI1168" s="473"/>
      <c r="AJ1168" s="1164"/>
      <c r="AK1168" s="473"/>
      <c r="AL1168" s="473"/>
      <c r="AM1168" s="1164"/>
      <c r="AN1168" s="473"/>
      <c r="AO1168" s="473"/>
      <c r="AP1168" s="1164"/>
      <c r="AQ1168" s="473"/>
      <c r="AR1168" s="473"/>
      <c r="AS1168" s="1236"/>
      <c r="AT1168" s="473"/>
      <c r="AU1168" s="473"/>
      <c r="AV1168" s="1164"/>
      <c r="AW1168" s="1164"/>
      <c r="AX1168" s="1236"/>
      <c r="AY1168" s="473"/>
      <c r="AZ1168" s="1236"/>
      <c r="BA1168" s="473"/>
      <c r="BB1168" s="473"/>
      <c r="BC1168" s="1164"/>
      <c r="BD1168" s="20"/>
      <c r="BE1168" s="473"/>
      <c r="BF1168" s="610"/>
      <c r="BG1168" s="610"/>
      <c r="BH1168" s="610"/>
      <c r="BI1168" s="610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</row>
    <row r="1169" spans="1:148" s="22" customFormat="1" x14ac:dyDescent="0.25">
      <c r="A1169" s="20"/>
      <c r="B1169" s="16"/>
      <c r="C1169" s="473"/>
      <c r="D1169" s="473"/>
      <c r="E1169" s="1164"/>
      <c r="F1169" s="473"/>
      <c r="G1169" s="473"/>
      <c r="H1169" s="1164"/>
      <c r="I1169" s="473"/>
      <c r="J1169" s="473"/>
      <c r="K1169" s="1164"/>
      <c r="L1169" s="473"/>
      <c r="M1169" s="473"/>
      <c r="N1169" s="1164"/>
      <c r="O1169" s="473"/>
      <c r="P1169" s="473"/>
      <c r="Q1169" s="1164"/>
      <c r="R1169" s="473"/>
      <c r="S1169" s="473"/>
      <c r="T1169" s="1164"/>
      <c r="U1169" s="1164"/>
      <c r="V1169" s="473"/>
      <c r="W1169" s="473"/>
      <c r="X1169" s="1164"/>
      <c r="Y1169" s="473"/>
      <c r="Z1169" s="473"/>
      <c r="AA1169" s="1164"/>
      <c r="AB1169" s="473"/>
      <c r="AC1169" s="1164"/>
      <c r="AD1169" s="473"/>
      <c r="AE1169" s="1164"/>
      <c r="AF1169" s="473"/>
      <c r="AG1169" s="1164"/>
      <c r="AH1169" s="473"/>
      <c r="AI1169" s="473"/>
      <c r="AJ1169" s="1164"/>
      <c r="AK1169" s="473"/>
      <c r="AL1169" s="473"/>
      <c r="AM1169" s="1164"/>
      <c r="AN1169" s="473"/>
      <c r="AO1169" s="473"/>
      <c r="AP1169" s="1164"/>
      <c r="AQ1169" s="473"/>
      <c r="AR1169" s="473"/>
      <c r="AS1169" s="1236"/>
      <c r="AT1169" s="473"/>
      <c r="AU1169" s="473"/>
      <c r="AV1169" s="1164"/>
      <c r="AW1169" s="1164"/>
      <c r="AX1169" s="1236"/>
      <c r="AY1169" s="473"/>
      <c r="AZ1169" s="1236"/>
      <c r="BA1169" s="473"/>
      <c r="BB1169" s="473"/>
      <c r="BC1169" s="1164"/>
      <c r="BD1169" s="20"/>
      <c r="BE1169" s="473"/>
      <c r="BF1169" s="610"/>
      <c r="BG1169" s="610"/>
      <c r="BH1169" s="610"/>
      <c r="BI1169" s="610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</row>
    <row r="1170" spans="1:148" s="22" customFormat="1" x14ac:dyDescent="0.25">
      <c r="A1170" s="20"/>
      <c r="B1170" s="16"/>
      <c r="C1170" s="473"/>
      <c r="D1170" s="473"/>
      <c r="E1170" s="1164"/>
      <c r="F1170" s="473"/>
      <c r="G1170" s="473"/>
      <c r="H1170" s="1164"/>
      <c r="I1170" s="473"/>
      <c r="J1170" s="473"/>
      <c r="K1170" s="1164"/>
      <c r="L1170" s="473"/>
      <c r="M1170" s="473"/>
      <c r="N1170" s="1164"/>
      <c r="O1170" s="473"/>
      <c r="P1170" s="473"/>
      <c r="Q1170" s="1164"/>
      <c r="R1170" s="473"/>
      <c r="S1170" s="473"/>
      <c r="T1170" s="1164"/>
      <c r="U1170" s="1164"/>
      <c r="V1170" s="473"/>
      <c r="W1170" s="473"/>
      <c r="X1170" s="1164"/>
      <c r="Y1170" s="473"/>
      <c r="Z1170" s="473"/>
      <c r="AA1170" s="1164"/>
      <c r="AB1170" s="473"/>
      <c r="AC1170" s="1164"/>
      <c r="AD1170" s="473"/>
      <c r="AE1170" s="1164"/>
      <c r="AF1170" s="473"/>
      <c r="AG1170" s="1164"/>
      <c r="AH1170" s="473"/>
      <c r="AI1170" s="473"/>
      <c r="AJ1170" s="1164"/>
      <c r="AK1170" s="473"/>
      <c r="AL1170" s="473"/>
      <c r="AM1170" s="1164"/>
      <c r="AN1170" s="473"/>
      <c r="AO1170" s="473"/>
      <c r="AP1170" s="1164"/>
      <c r="AQ1170" s="473"/>
      <c r="AR1170" s="473"/>
      <c r="AS1170" s="1236"/>
      <c r="AT1170" s="473"/>
      <c r="AU1170" s="473"/>
      <c r="AV1170" s="1164"/>
      <c r="AW1170" s="1164"/>
      <c r="AX1170" s="1236"/>
      <c r="AY1170" s="473"/>
      <c r="AZ1170" s="1236"/>
      <c r="BA1170" s="473"/>
      <c r="BB1170" s="473"/>
      <c r="BC1170" s="1164"/>
      <c r="BD1170" s="20"/>
      <c r="BE1170" s="473"/>
      <c r="BF1170" s="610"/>
      <c r="BG1170" s="610"/>
      <c r="BH1170" s="610"/>
      <c r="BI1170" s="610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</row>
    <row r="1171" spans="1:148" s="22" customFormat="1" x14ac:dyDescent="0.25">
      <c r="A1171" s="20"/>
      <c r="B1171" s="16"/>
      <c r="C1171" s="473"/>
      <c r="D1171" s="473"/>
      <c r="E1171" s="1164"/>
      <c r="F1171" s="473"/>
      <c r="G1171" s="473"/>
      <c r="H1171" s="1164"/>
      <c r="I1171" s="473"/>
      <c r="J1171" s="473"/>
      <c r="K1171" s="1164"/>
      <c r="L1171" s="473"/>
      <c r="M1171" s="473"/>
      <c r="N1171" s="1164"/>
      <c r="O1171" s="473"/>
      <c r="P1171" s="473"/>
      <c r="Q1171" s="1164"/>
      <c r="R1171" s="473"/>
      <c r="S1171" s="473"/>
      <c r="T1171" s="1164"/>
      <c r="U1171" s="1164"/>
      <c r="V1171" s="473"/>
      <c r="W1171" s="473"/>
      <c r="X1171" s="1164"/>
      <c r="Y1171" s="473"/>
      <c r="Z1171" s="473"/>
      <c r="AA1171" s="1164"/>
      <c r="AB1171" s="473"/>
      <c r="AC1171" s="1164"/>
      <c r="AD1171" s="473"/>
      <c r="AE1171" s="1164"/>
      <c r="AF1171" s="473"/>
      <c r="AG1171" s="1164"/>
      <c r="AH1171" s="473"/>
      <c r="AI1171" s="473"/>
      <c r="AJ1171" s="1164"/>
      <c r="AK1171" s="473"/>
      <c r="AL1171" s="473"/>
      <c r="AM1171" s="1164"/>
      <c r="AN1171" s="473"/>
      <c r="AO1171" s="473"/>
      <c r="AP1171" s="1164"/>
      <c r="AQ1171" s="473"/>
      <c r="AR1171" s="473"/>
      <c r="AS1171" s="1236"/>
      <c r="AT1171" s="473"/>
      <c r="AU1171" s="473"/>
      <c r="AV1171" s="1164"/>
      <c r="AW1171" s="1164"/>
      <c r="AX1171" s="1236"/>
      <c r="AY1171" s="473"/>
      <c r="AZ1171" s="1236"/>
      <c r="BA1171" s="473"/>
      <c r="BB1171" s="473"/>
      <c r="BC1171" s="1164"/>
      <c r="BD1171" s="20"/>
      <c r="BE1171" s="473"/>
      <c r="BF1171" s="610"/>
      <c r="BG1171" s="610"/>
      <c r="BH1171" s="610"/>
      <c r="BI1171" s="610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</row>
    <row r="1172" spans="1:148" s="22" customFormat="1" x14ac:dyDescent="0.25">
      <c r="A1172" s="20"/>
      <c r="B1172" s="16"/>
      <c r="C1172" s="473"/>
      <c r="D1172" s="473"/>
      <c r="E1172" s="1164"/>
      <c r="F1172" s="473"/>
      <c r="G1172" s="473"/>
      <c r="H1172" s="1164"/>
      <c r="I1172" s="473"/>
      <c r="J1172" s="473"/>
      <c r="K1172" s="1164"/>
      <c r="L1172" s="473"/>
      <c r="M1172" s="473"/>
      <c r="N1172" s="1164"/>
      <c r="O1172" s="473"/>
      <c r="P1172" s="473"/>
      <c r="Q1172" s="1164"/>
      <c r="R1172" s="473"/>
      <c r="S1172" s="473"/>
      <c r="T1172" s="1164"/>
      <c r="U1172" s="1164"/>
      <c r="V1172" s="473"/>
      <c r="W1172" s="473"/>
      <c r="X1172" s="1164"/>
      <c r="Y1172" s="473"/>
      <c r="Z1172" s="473"/>
      <c r="AA1172" s="1164"/>
      <c r="AB1172" s="473"/>
      <c r="AC1172" s="1164"/>
      <c r="AD1172" s="473"/>
      <c r="AE1172" s="1164"/>
      <c r="AF1172" s="473"/>
      <c r="AG1172" s="1164"/>
      <c r="AH1172" s="473"/>
      <c r="AI1172" s="473"/>
      <c r="AJ1172" s="1164"/>
      <c r="AK1172" s="473"/>
      <c r="AL1172" s="473"/>
      <c r="AM1172" s="1164"/>
      <c r="AN1172" s="473"/>
      <c r="AO1172" s="473"/>
      <c r="AP1172" s="1164"/>
      <c r="AQ1172" s="473"/>
      <c r="AR1172" s="473"/>
      <c r="AS1172" s="1236"/>
      <c r="AT1172" s="473"/>
      <c r="AU1172" s="473"/>
      <c r="AV1172" s="1164"/>
      <c r="AW1172" s="1164"/>
      <c r="AX1172" s="1236"/>
      <c r="AY1172" s="473"/>
      <c r="AZ1172" s="1236"/>
      <c r="BA1172" s="473"/>
      <c r="BB1172" s="473"/>
      <c r="BC1172" s="1164"/>
      <c r="BD1172" s="20"/>
      <c r="BE1172" s="473"/>
      <c r="BF1172" s="610"/>
      <c r="BG1172" s="610"/>
      <c r="BH1172" s="610"/>
      <c r="BI1172" s="610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  <c r="EH1172" s="23"/>
      <c r="EI1172" s="23"/>
      <c r="EJ1172" s="23"/>
      <c r="EK1172" s="23"/>
      <c r="EL1172" s="23"/>
      <c r="EM1172" s="23"/>
      <c r="EN1172" s="23"/>
      <c r="EO1172" s="23"/>
      <c r="EP1172" s="23"/>
      <c r="EQ1172" s="23"/>
      <c r="ER1172" s="23"/>
    </row>
    <row r="1173" spans="1:148" s="22" customFormat="1" x14ac:dyDescent="0.25">
      <c r="A1173" s="20"/>
      <c r="B1173" s="16"/>
      <c r="C1173" s="473"/>
      <c r="D1173" s="473"/>
      <c r="E1173" s="1164"/>
      <c r="F1173" s="473"/>
      <c r="G1173" s="473"/>
      <c r="H1173" s="1164"/>
      <c r="I1173" s="473"/>
      <c r="J1173" s="473"/>
      <c r="K1173" s="1164"/>
      <c r="L1173" s="473"/>
      <c r="M1173" s="473"/>
      <c r="N1173" s="1164"/>
      <c r="O1173" s="473"/>
      <c r="P1173" s="473"/>
      <c r="Q1173" s="1164"/>
      <c r="R1173" s="473"/>
      <c r="S1173" s="473"/>
      <c r="T1173" s="1164"/>
      <c r="U1173" s="1164"/>
      <c r="V1173" s="473"/>
      <c r="W1173" s="473"/>
      <c r="X1173" s="1164"/>
      <c r="Y1173" s="473"/>
      <c r="Z1173" s="473"/>
      <c r="AA1173" s="1164"/>
      <c r="AB1173" s="473"/>
      <c r="AC1173" s="1164"/>
      <c r="AD1173" s="473"/>
      <c r="AE1173" s="1164"/>
      <c r="AF1173" s="473"/>
      <c r="AG1173" s="1164"/>
      <c r="AH1173" s="473"/>
      <c r="AI1173" s="473"/>
      <c r="AJ1173" s="1164"/>
      <c r="AK1173" s="473"/>
      <c r="AL1173" s="473"/>
      <c r="AM1173" s="1164"/>
      <c r="AN1173" s="473"/>
      <c r="AO1173" s="473"/>
      <c r="AP1173" s="1164"/>
      <c r="AQ1173" s="473"/>
      <c r="AR1173" s="473"/>
      <c r="AS1173" s="1236"/>
      <c r="AT1173" s="473"/>
      <c r="AU1173" s="473"/>
      <c r="AV1173" s="1164"/>
      <c r="AW1173" s="1164"/>
      <c r="AX1173" s="1236"/>
      <c r="AY1173" s="473"/>
      <c r="AZ1173" s="1236"/>
      <c r="BA1173" s="473"/>
      <c r="BB1173" s="473"/>
      <c r="BC1173" s="1164"/>
      <c r="BD1173" s="20"/>
      <c r="BE1173" s="473"/>
      <c r="BF1173" s="610"/>
      <c r="BG1173" s="610"/>
      <c r="BH1173" s="610"/>
      <c r="BI1173" s="610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  <c r="EH1173" s="23"/>
      <c r="EI1173" s="23"/>
      <c r="EJ1173" s="23"/>
      <c r="EK1173" s="23"/>
      <c r="EL1173" s="23"/>
      <c r="EM1173" s="23"/>
      <c r="EN1173" s="23"/>
      <c r="EO1173" s="23"/>
      <c r="EP1173" s="23"/>
      <c r="EQ1173" s="23"/>
      <c r="ER1173" s="23"/>
    </row>
    <row r="1174" spans="1:148" s="22" customFormat="1" x14ac:dyDescent="0.25">
      <c r="A1174" s="20"/>
      <c r="B1174" s="16"/>
      <c r="C1174" s="473"/>
      <c r="D1174" s="473"/>
      <c r="E1174" s="1164"/>
      <c r="F1174" s="473"/>
      <c r="G1174" s="473"/>
      <c r="H1174" s="1164"/>
      <c r="I1174" s="473"/>
      <c r="J1174" s="473"/>
      <c r="K1174" s="1164"/>
      <c r="L1174" s="473"/>
      <c r="M1174" s="473"/>
      <c r="N1174" s="1164"/>
      <c r="O1174" s="473"/>
      <c r="P1174" s="473"/>
      <c r="Q1174" s="1164"/>
      <c r="R1174" s="473"/>
      <c r="S1174" s="473"/>
      <c r="T1174" s="1164"/>
      <c r="U1174" s="1164"/>
      <c r="V1174" s="473"/>
      <c r="W1174" s="473"/>
      <c r="X1174" s="1164"/>
      <c r="Y1174" s="473"/>
      <c r="Z1174" s="473"/>
      <c r="AA1174" s="1164"/>
      <c r="AB1174" s="473"/>
      <c r="AC1174" s="1164"/>
      <c r="AD1174" s="473"/>
      <c r="AE1174" s="1164"/>
      <c r="AF1174" s="473"/>
      <c r="AG1174" s="1164"/>
      <c r="AH1174" s="473"/>
      <c r="AI1174" s="473"/>
      <c r="AJ1174" s="1164"/>
      <c r="AK1174" s="473"/>
      <c r="AL1174" s="473"/>
      <c r="AM1174" s="1164"/>
      <c r="AN1174" s="473"/>
      <c r="AO1174" s="473"/>
      <c r="AP1174" s="1164"/>
      <c r="AQ1174" s="473"/>
      <c r="AR1174" s="473"/>
      <c r="AS1174" s="1236"/>
      <c r="AT1174" s="473"/>
      <c r="AU1174" s="473"/>
      <c r="AV1174" s="1164"/>
      <c r="AW1174" s="1164"/>
      <c r="AX1174" s="1236"/>
      <c r="AY1174" s="473"/>
      <c r="AZ1174" s="1236"/>
      <c r="BA1174" s="473"/>
      <c r="BB1174" s="473"/>
      <c r="BC1174" s="1164"/>
      <c r="BD1174" s="20"/>
      <c r="BE1174" s="473"/>
      <c r="BF1174" s="610"/>
      <c r="BG1174" s="610"/>
      <c r="BH1174" s="610"/>
      <c r="BI1174" s="610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  <c r="EH1174" s="23"/>
      <c r="EI1174" s="23"/>
      <c r="EJ1174" s="23"/>
      <c r="EK1174" s="23"/>
      <c r="EL1174" s="23"/>
      <c r="EM1174" s="23"/>
      <c r="EN1174" s="23"/>
      <c r="EO1174" s="23"/>
      <c r="EP1174" s="23"/>
      <c r="EQ1174" s="23"/>
      <c r="ER1174" s="23"/>
    </row>
    <row r="1175" spans="1:148" s="22" customFormat="1" x14ac:dyDescent="0.25">
      <c r="A1175" s="20"/>
      <c r="B1175" s="16"/>
      <c r="C1175" s="473"/>
      <c r="D1175" s="473"/>
      <c r="E1175" s="1164"/>
      <c r="F1175" s="473"/>
      <c r="G1175" s="473"/>
      <c r="H1175" s="1164"/>
      <c r="I1175" s="473"/>
      <c r="J1175" s="473"/>
      <c r="K1175" s="1164"/>
      <c r="L1175" s="473"/>
      <c r="M1175" s="473"/>
      <c r="N1175" s="1164"/>
      <c r="O1175" s="473"/>
      <c r="P1175" s="473"/>
      <c r="Q1175" s="1164"/>
      <c r="R1175" s="473"/>
      <c r="S1175" s="473"/>
      <c r="T1175" s="1164"/>
      <c r="U1175" s="1164"/>
      <c r="V1175" s="473"/>
      <c r="W1175" s="473"/>
      <c r="X1175" s="1164"/>
      <c r="Y1175" s="473"/>
      <c r="Z1175" s="473"/>
      <c r="AA1175" s="1164"/>
      <c r="AB1175" s="473"/>
      <c r="AC1175" s="1164"/>
      <c r="AD1175" s="473"/>
      <c r="AE1175" s="1164"/>
      <c r="AF1175" s="473"/>
      <c r="AG1175" s="1164"/>
      <c r="AH1175" s="473"/>
      <c r="AI1175" s="473"/>
      <c r="AJ1175" s="1164"/>
      <c r="AK1175" s="473"/>
      <c r="AL1175" s="473"/>
      <c r="AM1175" s="1164"/>
      <c r="AN1175" s="473"/>
      <c r="AO1175" s="473"/>
      <c r="AP1175" s="1164"/>
      <c r="AQ1175" s="473"/>
      <c r="AR1175" s="473"/>
      <c r="AS1175" s="1236"/>
      <c r="AT1175" s="473"/>
      <c r="AU1175" s="473"/>
      <c r="AV1175" s="1164"/>
      <c r="AW1175" s="1164"/>
      <c r="AX1175" s="1236"/>
      <c r="AY1175" s="473"/>
      <c r="AZ1175" s="1236"/>
      <c r="BA1175" s="473"/>
      <c r="BB1175" s="473"/>
      <c r="BC1175" s="1164"/>
      <c r="BD1175" s="20"/>
      <c r="BE1175" s="473"/>
      <c r="BF1175" s="610"/>
      <c r="BG1175" s="610"/>
      <c r="BH1175" s="610"/>
      <c r="BI1175" s="610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  <c r="EH1175" s="23"/>
      <c r="EI1175" s="23"/>
      <c r="EJ1175" s="23"/>
      <c r="EK1175" s="23"/>
      <c r="EL1175" s="23"/>
      <c r="EM1175" s="23"/>
      <c r="EN1175" s="23"/>
      <c r="EO1175" s="23"/>
      <c r="EP1175" s="23"/>
      <c r="EQ1175" s="23"/>
      <c r="ER1175" s="23"/>
    </row>
    <row r="1176" spans="1:148" s="22" customFormat="1" x14ac:dyDescent="0.25">
      <c r="A1176" s="20"/>
      <c r="B1176" s="16"/>
      <c r="C1176" s="473"/>
      <c r="D1176" s="473"/>
      <c r="E1176" s="1164"/>
      <c r="F1176" s="473"/>
      <c r="G1176" s="473"/>
      <c r="H1176" s="1164"/>
      <c r="I1176" s="473"/>
      <c r="J1176" s="473"/>
      <c r="K1176" s="1164"/>
      <c r="L1176" s="473"/>
      <c r="M1176" s="473"/>
      <c r="N1176" s="1164"/>
      <c r="O1176" s="473"/>
      <c r="P1176" s="473"/>
      <c r="Q1176" s="1164"/>
      <c r="R1176" s="473"/>
      <c r="S1176" s="473"/>
      <c r="T1176" s="1164"/>
      <c r="U1176" s="1164"/>
      <c r="V1176" s="473"/>
      <c r="W1176" s="473"/>
      <c r="X1176" s="1164"/>
      <c r="Y1176" s="473"/>
      <c r="Z1176" s="473"/>
      <c r="AA1176" s="1164"/>
      <c r="AB1176" s="473"/>
      <c r="AC1176" s="1164"/>
      <c r="AD1176" s="473"/>
      <c r="AE1176" s="1164"/>
      <c r="AF1176" s="473"/>
      <c r="AG1176" s="1164"/>
      <c r="AH1176" s="473"/>
      <c r="AI1176" s="473"/>
      <c r="AJ1176" s="1164"/>
      <c r="AK1176" s="473"/>
      <c r="AL1176" s="473"/>
      <c r="AM1176" s="1164"/>
      <c r="AN1176" s="473"/>
      <c r="AO1176" s="473"/>
      <c r="AP1176" s="1164"/>
      <c r="AQ1176" s="473"/>
      <c r="AR1176" s="473"/>
      <c r="AS1176" s="1236"/>
      <c r="AT1176" s="473"/>
      <c r="AU1176" s="473"/>
      <c r="AV1176" s="1164"/>
      <c r="AW1176" s="1164"/>
      <c r="AX1176" s="1236"/>
      <c r="AY1176" s="473"/>
      <c r="AZ1176" s="1236"/>
      <c r="BA1176" s="473"/>
      <c r="BB1176" s="473"/>
      <c r="BC1176" s="1164"/>
      <c r="BD1176" s="20"/>
      <c r="BE1176" s="473"/>
      <c r="BF1176" s="610"/>
      <c r="BG1176" s="610"/>
      <c r="BH1176" s="610"/>
      <c r="BI1176" s="610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  <c r="EH1176" s="23"/>
      <c r="EI1176" s="23"/>
      <c r="EJ1176" s="23"/>
      <c r="EK1176" s="23"/>
      <c r="EL1176" s="23"/>
      <c r="EM1176" s="23"/>
      <c r="EN1176" s="23"/>
      <c r="EO1176" s="23"/>
      <c r="EP1176" s="23"/>
      <c r="EQ1176" s="23"/>
      <c r="ER1176" s="23"/>
    </row>
    <row r="1177" spans="1:148" s="22" customFormat="1" x14ac:dyDescent="0.25">
      <c r="A1177" s="20"/>
      <c r="B1177" s="16"/>
      <c r="C1177" s="473"/>
      <c r="D1177" s="473"/>
      <c r="E1177" s="1164"/>
      <c r="F1177" s="473"/>
      <c r="G1177" s="473"/>
      <c r="H1177" s="1164"/>
      <c r="I1177" s="473"/>
      <c r="J1177" s="473"/>
      <c r="K1177" s="1164"/>
      <c r="L1177" s="473"/>
      <c r="M1177" s="473"/>
      <c r="N1177" s="1164"/>
      <c r="O1177" s="473"/>
      <c r="P1177" s="473"/>
      <c r="Q1177" s="1164"/>
      <c r="R1177" s="473"/>
      <c r="S1177" s="473"/>
      <c r="T1177" s="1164"/>
      <c r="U1177" s="1164"/>
      <c r="V1177" s="473"/>
      <c r="W1177" s="473"/>
      <c r="X1177" s="1164"/>
      <c r="Y1177" s="473"/>
      <c r="Z1177" s="473"/>
      <c r="AA1177" s="1164"/>
      <c r="AB1177" s="473"/>
      <c r="AC1177" s="1164"/>
      <c r="AD1177" s="473"/>
      <c r="AE1177" s="1164"/>
      <c r="AF1177" s="473"/>
      <c r="AG1177" s="1164"/>
      <c r="AH1177" s="473"/>
      <c r="AI1177" s="473"/>
      <c r="AJ1177" s="1164"/>
      <c r="AK1177" s="473"/>
      <c r="AL1177" s="473"/>
      <c r="AM1177" s="1164"/>
      <c r="AN1177" s="473"/>
      <c r="AO1177" s="473"/>
      <c r="AP1177" s="1164"/>
      <c r="AQ1177" s="473"/>
      <c r="AR1177" s="473"/>
      <c r="AS1177" s="1236"/>
      <c r="AT1177" s="473"/>
      <c r="AU1177" s="473"/>
      <c r="AV1177" s="1164"/>
      <c r="AW1177" s="1164"/>
      <c r="AX1177" s="1236"/>
      <c r="AY1177" s="473"/>
      <c r="AZ1177" s="1236"/>
      <c r="BA1177" s="473"/>
      <c r="BB1177" s="473"/>
      <c r="BC1177" s="1164"/>
      <c r="BD1177" s="20"/>
      <c r="BE1177" s="473"/>
      <c r="BF1177" s="610"/>
      <c r="BG1177" s="610"/>
      <c r="BH1177" s="610"/>
      <c r="BI1177" s="610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  <c r="EH1177" s="23"/>
      <c r="EI1177" s="23"/>
      <c r="EJ1177" s="23"/>
      <c r="EK1177" s="23"/>
      <c r="EL1177" s="23"/>
      <c r="EM1177" s="23"/>
      <c r="EN1177" s="23"/>
      <c r="EO1177" s="23"/>
      <c r="EP1177" s="23"/>
      <c r="EQ1177" s="23"/>
      <c r="ER1177" s="23"/>
    </row>
    <row r="1178" spans="1:148" s="22" customFormat="1" x14ac:dyDescent="0.25">
      <c r="A1178" s="20"/>
      <c r="B1178" s="16"/>
      <c r="C1178" s="473"/>
      <c r="D1178" s="473"/>
      <c r="E1178" s="1164"/>
      <c r="F1178" s="473"/>
      <c r="G1178" s="473"/>
      <c r="H1178" s="1164"/>
      <c r="I1178" s="473"/>
      <c r="J1178" s="473"/>
      <c r="K1178" s="1164"/>
      <c r="L1178" s="473"/>
      <c r="M1178" s="473"/>
      <c r="N1178" s="1164"/>
      <c r="O1178" s="473"/>
      <c r="P1178" s="473"/>
      <c r="Q1178" s="1164"/>
      <c r="R1178" s="473"/>
      <c r="S1178" s="473"/>
      <c r="T1178" s="1164"/>
      <c r="U1178" s="1164"/>
      <c r="V1178" s="473"/>
      <c r="W1178" s="473"/>
      <c r="X1178" s="1164"/>
      <c r="Y1178" s="473"/>
      <c r="Z1178" s="473"/>
      <c r="AA1178" s="1164"/>
      <c r="AB1178" s="473"/>
      <c r="AC1178" s="1164"/>
      <c r="AD1178" s="473"/>
      <c r="AE1178" s="1164"/>
      <c r="AF1178" s="473"/>
      <c r="AG1178" s="1164"/>
      <c r="AH1178" s="473"/>
      <c r="AI1178" s="473"/>
      <c r="AJ1178" s="1164"/>
      <c r="AK1178" s="473"/>
      <c r="AL1178" s="473"/>
      <c r="AM1178" s="1164"/>
      <c r="AN1178" s="473"/>
      <c r="AO1178" s="473"/>
      <c r="AP1178" s="1164"/>
      <c r="AQ1178" s="473"/>
      <c r="AR1178" s="473"/>
      <c r="AS1178" s="1236"/>
      <c r="AT1178" s="473"/>
      <c r="AU1178" s="473"/>
      <c r="AV1178" s="1164"/>
      <c r="AW1178" s="1164"/>
      <c r="AX1178" s="1236"/>
      <c r="AY1178" s="473"/>
      <c r="AZ1178" s="1236"/>
      <c r="BA1178" s="473"/>
      <c r="BB1178" s="473"/>
      <c r="BC1178" s="1164"/>
      <c r="BD1178" s="20"/>
      <c r="BE1178" s="473"/>
      <c r="BF1178" s="610"/>
      <c r="BG1178" s="610"/>
      <c r="BH1178" s="610"/>
      <c r="BI1178" s="610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  <c r="EH1178" s="23"/>
      <c r="EI1178" s="23"/>
      <c r="EJ1178" s="23"/>
      <c r="EK1178" s="23"/>
      <c r="EL1178" s="23"/>
      <c r="EM1178" s="23"/>
      <c r="EN1178" s="23"/>
      <c r="EO1178" s="23"/>
      <c r="EP1178" s="23"/>
      <c r="EQ1178" s="23"/>
      <c r="ER1178" s="23"/>
    </row>
    <row r="1179" spans="1:148" s="22" customFormat="1" x14ac:dyDescent="0.25">
      <c r="A1179" s="20"/>
      <c r="B1179" s="16"/>
      <c r="C1179" s="473"/>
      <c r="D1179" s="473"/>
      <c r="E1179" s="1164"/>
      <c r="F1179" s="473"/>
      <c r="G1179" s="473"/>
      <c r="H1179" s="1164"/>
      <c r="I1179" s="473"/>
      <c r="J1179" s="473"/>
      <c r="K1179" s="1164"/>
      <c r="L1179" s="473"/>
      <c r="M1179" s="473"/>
      <c r="N1179" s="1164"/>
      <c r="O1179" s="473"/>
      <c r="P1179" s="473"/>
      <c r="Q1179" s="1164"/>
      <c r="R1179" s="473"/>
      <c r="S1179" s="473"/>
      <c r="T1179" s="1164"/>
      <c r="U1179" s="1164"/>
      <c r="V1179" s="473"/>
      <c r="W1179" s="473"/>
      <c r="X1179" s="1164"/>
      <c r="Y1179" s="473"/>
      <c r="Z1179" s="473"/>
      <c r="AA1179" s="1164"/>
      <c r="AB1179" s="473"/>
      <c r="AC1179" s="1164"/>
      <c r="AD1179" s="473"/>
      <c r="AE1179" s="1164"/>
      <c r="AF1179" s="473"/>
      <c r="AG1179" s="1164"/>
      <c r="AH1179" s="473"/>
      <c r="AI1179" s="473"/>
      <c r="AJ1179" s="1164"/>
      <c r="AK1179" s="473"/>
      <c r="AL1179" s="473"/>
      <c r="AM1179" s="1164"/>
      <c r="AN1179" s="473"/>
      <c r="AO1179" s="473"/>
      <c r="AP1179" s="1164"/>
      <c r="AQ1179" s="473"/>
      <c r="AR1179" s="473"/>
      <c r="AS1179" s="1236"/>
      <c r="AT1179" s="473"/>
      <c r="AU1179" s="473"/>
      <c r="AV1179" s="1164"/>
      <c r="AW1179" s="1164"/>
      <c r="AX1179" s="1236"/>
      <c r="AY1179" s="473"/>
      <c r="AZ1179" s="1236"/>
      <c r="BA1179" s="473"/>
      <c r="BB1179" s="473"/>
      <c r="BC1179" s="1164"/>
      <c r="BD1179" s="20"/>
      <c r="BE1179" s="473"/>
      <c r="BF1179" s="610"/>
      <c r="BG1179" s="610"/>
      <c r="BH1179" s="610"/>
      <c r="BI1179" s="610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  <c r="EH1179" s="23"/>
      <c r="EI1179" s="23"/>
      <c r="EJ1179" s="23"/>
      <c r="EK1179" s="23"/>
      <c r="EL1179" s="23"/>
      <c r="EM1179" s="23"/>
      <c r="EN1179" s="23"/>
      <c r="EO1179" s="23"/>
      <c r="EP1179" s="23"/>
      <c r="EQ1179" s="23"/>
      <c r="ER1179" s="23"/>
    </row>
    <row r="1180" spans="1:148" s="22" customFormat="1" x14ac:dyDescent="0.25">
      <c r="A1180" s="20"/>
      <c r="B1180" s="16"/>
      <c r="C1180" s="473"/>
      <c r="D1180" s="473"/>
      <c r="E1180" s="1164"/>
      <c r="F1180" s="473"/>
      <c r="G1180" s="473"/>
      <c r="H1180" s="1164"/>
      <c r="I1180" s="473"/>
      <c r="J1180" s="473"/>
      <c r="K1180" s="1164"/>
      <c r="L1180" s="473"/>
      <c r="M1180" s="473"/>
      <c r="N1180" s="1164"/>
      <c r="O1180" s="473"/>
      <c r="P1180" s="473"/>
      <c r="Q1180" s="1164"/>
      <c r="R1180" s="473"/>
      <c r="S1180" s="473"/>
      <c r="T1180" s="1164"/>
      <c r="U1180" s="1164"/>
      <c r="V1180" s="473"/>
      <c r="W1180" s="473"/>
      <c r="X1180" s="1164"/>
      <c r="Y1180" s="473"/>
      <c r="Z1180" s="473"/>
      <c r="AA1180" s="1164"/>
      <c r="AB1180" s="473"/>
      <c r="AC1180" s="1164"/>
      <c r="AD1180" s="473"/>
      <c r="AE1180" s="1164"/>
      <c r="AF1180" s="473"/>
      <c r="AG1180" s="1164"/>
      <c r="AH1180" s="473"/>
      <c r="AI1180" s="473"/>
      <c r="AJ1180" s="1164"/>
      <c r="AK1180" s="473"/>
      <c r="AL1180" s="473"/>
      <c r="AM1180" s="1164"/>
      <c r="AN1180" s="473"/>
      <c r="AO1180" s="473"/>
      <c r="AP1180" s="1164"/>
      <c r="AQ1180" s="473"/>
      <c r="AR1180" s="473"/>
      <c r="AS1180" s="1236"/>
      <c r="AT1180" s="473"/>
      <c r="AU1180" s="473"/>
      <c r="AV1180" s="1164"/>
      <c r="AW1180" s="1164"/>
      <c r="AX1180" s="1236"/>
      <c r="AY1180" s="473"/>
      <c r="AZ1180" s="1236"/>
      <c r="BA1180" s="473"/>
      <c r="BB1180" s="473"/>
      <c r="BC1180" s="1164"/>
      <c r="BD1180" s="20"/>
      <c r="BE1180" s="473"/>
      <c r="BF1180" s="610"/>
      <c r="BG1180" s="610"/>
      <c r="BH1180" s="610"/>
      <c r="BI1180" s="610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  <c r="EH1180" s="23"/>
      <c r="EI1180" s="23"/>
      <c r="EJ1180" s="23"/>
      <c r="EK1180" s="23"/>
      <c r="EL1180" s="23"/>
      <c r="EM1180" s="23"/>
      <c r="EN1180" s="23"/>
      <c r="EO1180" s="23"/>
      <c r="EP1180" s="23"/>
      <c r="EQ1180" s="23"/>
      <c r="ER1180" s="23"/>
    </row>
    <row r="1181" spans="1:148" s="22" customFormat="1" x14ac:dyDescent="0.25">
      <c r="A1181" s="20"/>
      <c r="B1181" s="16"/>
      <c r="C1181" s="473"/>
      <c r="D1181" s="473"/>
      <c r="E1181" s="1164"/>
      <c r="F1181" s="473"/>
      <c r="G1181" s="473"/>
      <c r="H1181" s="1164"/>
      <c r="I1181" s="473"/>
      <c r="J1181" s="473"/>
      <c r="K1181" s="1164"/>
      <c r="L1181" s="473"/>
      <c r="M1181" s="473"/>
      <c r="N1181" s="1164"/>
      <c r="O1181" s="473"/>
      <c r="P1181" s="473"/>
      <c r="Q1181" s="1164"/>
      <c r="R1181" s="473"/>
      <c r="S1181" s="473"/>
      <c r="T1181" s="1164"/>
      <c r="U1181" s="1164"/>
      <c r="V1181" s="473"/>
      <c r="W1181" s="473"/>
      <c r="X1181" s="1164"/>
      <c r="Y1181" s="473"/>
      <c r="Z1181" s="473"/>
      <c r="AA1181" s="1164"/>
      <c r="AB1181" s="473"/>
      <c r="AC1181" s="1164"/>
      <c r="AD1181" s="473"/>
      <c r="AE1181" s="1164"/>
      <c r="AF1181" s="473"/>
      <c r="AG1181" s="1164"/>
      <c r="AH1181" s="473"/>
      <c r="AI1181" s="473"/>
      <c r="AJ1181" s="1164"/>
      <c r="AK1181" s="473"/>
      <c r="AL1181" s="473"/>
      <c r="AM1181" s="1164"/>
      <c r="AN1181" s="473"/>
      <c r="AO1181" s="473"/>
      <c r="AP1181" s="1164"/>
      <c r="AQ1181" s="473"/>
      <c r="AR1181" s="473"/>
      <c r="AS1181" s="1236"/>
      <c r="AT1181" s="473"/>
      <c r="AU1181" s="473"/>
      <c r="AV1181" s="1164"/>
      <c r="AW1181" s="1164"/>
      <c r="AX1181" s="1236"/>
      <c r="AY1181" s="473"/>
      <c r="AZ1181" s="1236"/>
      <c r="BA1181" s="473"/>
      <c r="BB1181" s="473"/>
      <c r="BC1181" s="1164"/>
      <c r="BD1181" s="20"/>
      <c r="BE1181" s="473"/>
      <c r="BF1181" s="610"/>
      <c r="BG1181" s="610"/>
      <c r="BH1181" s="610"/>
      <c r="BI1181" s="610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</row>
    <row r="1182" spans="1:148" s="22" customFormat="1" x14ac:dyDescent="0.25">
      <c r="A1182" s="20"/>
      <c r="B1182" s="16"/>
      <c r="C1182" s="473"/>
      <c r="D1182" s="473"/>
      <c r="E1182" s="1164"/>
      <c r="F1182" s="473"/>
      <c r="G1182" s="473"/>
      <c r="H1182" s="1164"/>
      <c r="I1182" s="473"/>
      <c r="J1182" s="473"/>
      <c r="K1182" s="1164"/>
      <c r="L1182" s="473"/>
      <c r="M1182" s="473"/>
      <c r="N1182" s="1164"/>
      <c r="O1182" s="473"/>
      <c r="P1182" s="473"/>
      <c r="Q1182" s="1164"/>
      <c r="R1182" s="473"/>
      <c r="S1182" s="473"/>
      <c r="T1182" s="1164"/>
      <c r="U1182" s="1164"/>
      <c r="V1182" s="473"/>
      <c r="W1182" s="473"/>
      <c r="X1182" s="1164"/>
      <c r="Y1182" s="473"/>
      <c r="Z1182" s="473"/>
      <c r="AA1182" s="1164"/>
      <c r="AB1182" s="473"/>
      <c r="AC1182" s="1164"/>
      <c r="AD1182" s="473"/>
      <c r="AE1182" s="1164"/>
      <c r="AF1182" s="473"/>
      <c r="AG1182" s="1164"/>
      <c r="AH1182" s="473"/>
      <c r="AI1182" s="473"/>
      <c r="AJ1182" s="1164"/>
      <c r="AK1182" s="473"/>
      <c r="AL1182" s="473"/>
      <c r="AM1182" s="1164"/>
      <c r="AN1182" s="473"/>
      <c r="AO1182" s="473"/>
      <c r="AP1182" s="1164"/>
      <c r="AQ1182" s="473"/>
      <c r="AR1182" s="473"/>
      <c r="AS1182" s="1236"/>
      <c r="AT1182" s="473"/>
      <c r="AU1182" s="473"/>
      <c r="AV1182" s="1164"/>
      <c r="AW1182" s="1164"/>
      <c r="AX1182" s="1236"/>
      <c r="AY1182" s="473"/>
      <c r="AZ1182" s="1236"/>
      <c r="BA1182" s="473"/>
      <c r="BB1182" s="473"/>
      <c r="BC1182" s="1164"/>
      <c r="BD1182" s="20"/>
      <c r="BE1182" s="473"/>
      <c r="BF1182" s="610"/>
      <c r="BG1182" s="610"/>
      <c r="BH1182" s="610"/>
      <c r="BI1182" s="610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/>
      <c r="EJ1182" s="23"/>
      <c r="EK1182" s="23"/>
      <c r="EL1182" s="23"/>
      <c r="EM1182" s="23"/>
      <c r="EN1182" s="23"/>
      <c r="EO1182" s="23"/>
      <c r="EP1182" s="23"/>
      <c r="EQ1182" s="23"/>
      <c r="ER1182" s="23"/>
    </row>
    <row r="1183" spans="1:148" s="22" customFormat="1" x14ac:dyDescent="0.25">
      <c r="A1183" s="20"/>
      <c r="B1183" s="16"/>
      <c r="C1183" s="473"/>
      <c r="D1183" s="473"/>
      <c r="E1183" s="1164"/>
      <c r="F1183" s="473"/>
      <c r="G1183" s="473"/>
      <c r="H1183" s="1164"/>
      <c r="I1183" s="473"/>
      <c r="J1183" s="473"/>
      <c r="K1183" s="1164"/>
      <c r="L1183" s="473"/>
      <c r="M1183" s="473"/>
      <c r="N1183" s="1164"/>
      <c r="O1183" s="473"/>
      <c r="P1183" s="473"/>
      <c r="Q1183" s="1164"/>
      <c r="R1183" s="473"/>
      <c r="S1183" s="473"/>
      <c r="T1183" s="1164"/>
      <c r="U1183" s="1164"/>
      <c r="V1183" s="473"/>
      <c r="W1183" s="473"/>
      <c r="X1183" s="1164"/>
      <c r="Y1183" s="473"/>
      <c r="Z1183" s="473"/>
      <c r="AA1183" s="1164"/>
      <c r="AB1183" s="473"/>
      <c r="AC1183" s="1164"/>
      <c r="AD1183" s="473"/>
      <c r="AE1183" s="1164"/>
      <c r="AF1183" s="473"/>
      <c r="AG1183" s="1164"/>
      <c r="AH1183" s="473"/>
      <c r="AI1183" s="473"/>
      <c r="AJ1183" s="1164"/>
      <c r="AK1183" s="473"/>
      <c r="AL1183" s="473"/>
      <c r="AM1183" s="1164"/>
      <c r="AN1183" s="473"/>
      <c r="AO1183" s="473"/>
      <c r="AP1183" s="1164"/>
      <c r="AQ1183" s="473"/>
      <c r="AR1183" s="473"/>
      <c r="AS1183" s="1236"/>
      <c r="AT1183" s="473"/>
      <c r="AU1183" s="473"/>
      <c r="AV1183" s="1164"/>
      <c r="AW1183" s="1164"/>
      <c r="AX1183" s="1236"/>
      <c r="AY1183" s="473"/>
      <c r="AZ1183" s="1236"/>
      <c r="BA1183" s="473"/>
      <c r="BB1183" s="473"/>
      <c r="BC1183" s="1164"/>
      <c r="BD1183" s="20"/>
      <c r="BE1183" s="473"/>
      <c r="BF1183" s="610"/>
      <c r="BG1183" s="610"/>
      <c r="BH1183" s="610"/>
      <c r="BI1183" s="610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/>
      <c r="EJ1183" s="23"/>
      <c r="EK1183" s="23"/>
      <c r="EL1183" s="23"/>
      <c r="EM1183" s="23"/>
      <c r="EN1183" s="23"/>
      <c r="EO1183" s="23"/>
      <c r="EP1183" s="23"/>
      <c r="EQ1183" s="23"/>
      <c r="ER1183" s="23"/>
    </row>
    <row r="1184" spans="1:148" s="22" customFormat="1" x14ac:dyDescent="0.25">
      <c r="A1184" s="20"/>
      <c r="B1184" s="16"/>
      <c r="C1184" s="473"/>
      <c r="D1184" s="473"/>
      <c r="E1184" s="1164"/>
      <c r="F1184" s="473"/>
      <c r="G1184" s="473"/>
      <c r="H1184" s="1164"/>
      <c r="I1184" s="473"/>
      <c r="J1184" s="473"/>
      <c r="K1184" s="1164"/>
      <c r="L1184" s="473"/>
      <c r="M1184" s="473"/>
      <c r="N1184" s="1164"/>
      <c r="O1184" s="473"/>
      <c r="P1184" s="473"/>
      <c r="Q1184" s="1164"/>
      <c r="R1184" s="473"/>
      <c r="S1184" s="473"/>
      <c r="T1184" s="1164"/>
      <c r="U1184" s="1164"/>
      <c r="V1184" s="473"/>
      <c r="W1184" s="473"/>
      <c r="X1184" s="1164"/>
      <c r="Y1184" s="473"/>
      <c r="Z1184" s="473"/>
      <c r="AA1184" s="1164"/>
      <c r="AB1184" s="473"/>
      <c r="AC1184" s="1164"/>
      <c r="AD1184" s="473"/>
      <c r="AE1184" s="1164"/>
      <c r="AF1184" s="473"/>
      <c r="AG1184" s="1164"/>
      <c r="AH1184" s="473"/>
      <c r="AI1184" s="473"/>
      <c r="AJ1184" s="1164"/>
      <c r="AK1184" s="473"/>
      <c r="AL1184" s="473"/>
      <c r="AM1184" s="1164"/>
      <c r="AN1184" s="473"/>
      <c r="AO1184" s="473"/>
      <c r="AP1184" s="1164"/>
      <c r="AQ1184" s="473"/>
      <c r="AR1184" s="473"/>
      <c r="AS1184" s="1236"/>
      <c r="AT1184" s="473"/>
      <c r="AU1184" s="473"/>
      <c r="AV1184" s="1164"/>
      <c r="AW1184" s="1164"/>
      <c r="AX1184" s="1236"/>
      <c r="AY1184" s="473"/>
      <c r="AZ1184" s="1236"/>
      <c r="BA1184" s="473"/>
      <c r="BB1184" s="473"/>
      <c r="BC1184" s="1164"/>
      <c r="BD1184" s="20"/>
      <c r="BE1184" s="473"/>
      <c r="BF1184" s="610"/>
      <c r="BG1184" s="610"/>
      <c r="BH1184" s="610"/>
      <c r="BI1184" s="610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/>
      <c r="EJ1184" s="23"/>
      <c r="EK1184" s="23"/>
      <c r="EL1184" s="23"/>
      <c r="EM1184" s="23"/>
      <c r="EN1184" s="23"/>
      <c r="EO1184" s="23"/>
      <c r="EP1184" s="23"/>
      <c r="EQ1184" s="23"/>
      <c r="ER1184" s="23"/>
    </row>
    <row r="1185" spans="1:148" s="22" customFormat="1" x14ac:dyDescent="0.25">
      <c r="A1185" s="20"/>
      <c r="B1185" s="16"/>
      <c r="C1185" s="473"/>
      <c r="D1185" s="473"/>
      <c r="E1185" s="1164"/>
      <c r="F1185" s="473"/>
      <c r="G1185" s="473"/>
      <c r="H1185" s="1164"/>
      <c r="I1185" s="473"/>
      <c r="J1185" s="473"/>
      <c r="K1185" s="1164"/>
      <c r="L1185" s="473"/>
      <c r="M1185" s="473"/>
      <c r="N1185" s="1164"/>
      <c r="O1185" s="473"/>
      <c r="P1185" s="473"/>
      <c r="Q1185" s="1164"/>
      <c r="R1185" s="473"/>
      <c r="S1185" s="473"/>
      <c r="T1185" s="1164"/>
      <c r="U1185" s="1164"/>
      <c r="V1185" s="473"/>
      <c r="W1185" s="473"/>
      <c r="X1185" s="1164"/>
      <c r="Y1185" s="473"/>
      <c r="Z1185" s="473"/>
      <c r="AA1185" s="1164"/>
      <c r="AB1185" s="473"/>
      <c r="AC1185" s="1164"/>
      <c r="AD1185" s="473"/>
      <c r="AE1185" s="1164"/>
      <c r="AF1185" s="473"/>
      <c r="AG1185" s="1164"/>
      <c r="AH1185" s="473"/>
      <c r="AI1185" s="473"/>
      <c r="AJ1185" s="1164"/>
      <c r="AK1185" s="473"/>
      <c r="AL1185" s="473"/>
      <c r="AM1185" s="1164"/>
      <c r="AN1185" s="473"/>
      <c r="AO1185" s="473"/>
      <c r="AP1185" s="1164"/>
      <c r="AQ1185" s="473"/>
      <c r="AR1185" s="473"/>
      <c r="AS1185" s="1236"/>
      <c r="AT1185" s="473"/>
      <c r="AU1185" s="473"/>
      <c r="AV1185" s="1164"/>
      <c r="AW1185" s="1164"/>
      <c r="AX1185" s="1236"/>
      <c r="AY1185" s="473"/>
      <c r="AZ1185" s="1236"/>
      <c r="BA1185" s="473"/>
      <c r="BB1185" s="473"/>
      <c r="BC1185" s="1164"/>
      <c r="BD1185" s="20"/>
      <c r="BE1185" s="473"/>
      <c r="BF1185" s="610"/>
      <c r="BG1185" s="610"/>
      <c r="BH1185" s="610"/>
      <c r="BI1185" s="610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/>
      <c r="EJ1185" s="23"/>
      <c r="EK1185" s="23"/>
      <c r="EL1185" s="23"/>
      <c r="EM1185" s="23"/>
      <c r="EN1185" s="23"/>
      <c r="EO1185" s="23"/>
      <c r="EP1185" s="23"/>
      <c r="EQ1185" s="23"/>
      <c r="ER1185" s="23"/>
    </row>
    <row r="1186" spans="1:148" s="22" customFormat="1" x14ac:dyDescent="0.25">
      <c r="A1186" s="20"/>
      <c r="B1186" s="16"/>
      <c r="C1186" s="473"/>
      <c r="D1186" s="473"/>
      <c r="E1186" s="1164"/>
      <c r="F1186" s="473"/>
      <c r="G1186" s="473"/>
      <c r="H1186" s="1164"/>
      <c r="I1186" s="473"/>
      <c r="J1186" s="473"/>
      <c r="K1186" s="1164"/>
      <c r="L1186" s="473"/>
      <c r="M1186" s="473"/>
      <c r="N1186" s="1164"/>
      <c r="O1186" s="473"/>
      <c r="P1186" s="473"/>
      <c r="Q1186" s="1164"/>
      <c r="R1186" s="473"/>
      <c r="S1186" s="473"/>
      <c r="T1186" s="1164"/>
      <c r="U1186" s="1164"/>
      <c r="V1186" s="473"/>
      <c r="W1186" s="473"/>
      <c r="X1186" s="1164"/>
      <c r="Y1186" s="473"/>
      <c r="Z1186" s="473"/>
      <c r="AA1186" s="1164"/>
      <c r="AB1186" s="473"/>
      <c r="AC1186" s="1164"/>
      <c r="AD1186" s="473"/>
      <c r="AE1186" s="1164"/>
      <c r="AF1186" s="473"/>
      <c r="AG1186" s="1164"/>
      <c r="AH1186" s="473"/>
      <c r="AI1186" s="473"/>
      <c r="AJ1186" s="1164"/>
      <c r="AK1186" s="473"/>
      <c r="AL1186" s="473"/>
      <c r="AM1186" s="1164"/>
      <c r="AN1186" s="473"/>
      <c r="AO1186" s="473"/>
      <c r="AP1186" s="1164"/>
      <c r="AQ1186" s="473"/>
      <c r="AR1186" s="473"/>
      <c r="AS1186" s="1236"/>
      <c r="AT1186" s="473"/>
      <c r="AU1186" s="473"/>
      <c r="AV1186" s="1164"/>
      <c r="AW1186" s="1164"/>
      <c r="AX1186" s="1236"/>
      <c r="AY1186" s="473"/>
      <c r="AZ1186" s="1236"/>
      <c r="BA1186" s="473"/>
      <c r="BB1186" s="473"/>
      <c r="BC1186" s="1164"/>
      <c r="BD1186" s="20"/>
      <c r="BE1186" s="473"/>
      <c r="BF1186" s="610"/>
      <c r="BG1186" s="610"/>
      <c r="BH1186" s="610"/>
      <c r="BI1186" s="610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</row>
    <row r="1187" spans="1:148" s="22" customFormat="1" x14ac:dyDescent="0.25">
      <c r="A1187" s="20"/>
      <c r="B1187" s="16"/>
      <c r="C1187" s="473"/>
      <c r="D1187" s="473"/>
      <c r="E1187" s="1164"/>
      <c r="F1187" s="473"/>
      <c r="G1187" s="473"/>
      <c r="H1187" s="1164"/>
      <c r="I1187" s="473"/>
      <c r="J1187" s="473"/>
      <c r="K1187" s="1164"/>
      <c r="L1187" s="473"/>
      <c r="M1187" s="473"/>
      <c r="N1187" s="1164"/>
      <c r="O1187" s="473"/>
      <c r="P1187" s="473"/>
      <c r="Q1187" s="1164"/>
      <c r="R1187" s="473"/>
      <c r="S1187" s="473"/>
      <c r="T1187" s="1164"/>
      <c r="U1187" s="1164"/>
      <c r="V1187" s="473"/>
      <c r="W1187" s="473"/>
      <c r="X1187" s="1164"/>
      <c r="Y1187" s="473"/>
      <c r="Z1187" s="473"/>
      <c r="AA1187" s="1164"/>
      <c r="AB1187" s="473"/>
      <c r="AC1187" s="1164"/>
      <c r="AD1187" s="473"/>
      <c r="AE1187" s="1164"/>
      <c r="AF1187" s="473"/>
      <c r="AG1187" s="1164"/>
      <c r="AH1187" s="473"/>
      <c r="AI1187" s="473"/>
      <c r="AJ1187" s="1164"/>
      <c r="AK1187" s="473"/>
      <c r="AL1187" s="473"/>
      <c r="AM1187" s="1164"/>
      <c r="AN1187" s="473"/>
      <c r="AO1187" s="473"/>
      <c r="AP1187" s="1164"/>
      <c r="AQ1187" s="473"/>
      <c r="AR1187" s="473"/>
      <c r="AS1187" s="1236"/>
      <c r="AT1187" s="473"/>
      <c r="AU1187" s="473"/>
      <c r="AV1187" s="1164"/>
      <c r="AW1187" s="1164"/>
      <c r="AX1187" s="1236"/>
      <c r="AY1187" s="473"/>
      <c r="AZ1187" s="1236"/>
      <c r="BA1187" s="473"/>
      <c r="BB1187" s="473"/>
      <c r="BC1187" s="1164"/>
      <c r="BD1187" s="20"/>
      <c r="BE1187" s="473"/>
      <c r="BF1187" s="610"/>
      <c r="BG1187" s="610"/>
      <c r="BH1187" s="610"/>
      <c r="BI1187" s="610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</row>
    <row r="1188" spans="1:148" s="22" customFormat="1" x14ac:dyDescent="0.25">
      <c r="A1188" s="20"/>
      <c r="B1188" s="16"/>
      <c r="C1188" s="473"/>
      <c r="D1188" s="473"/>
      <c r="E1188" s="1164"/>
      <c r="F1188" s="473"/>
      <c r="G1188" s="473"/>
      <c r="H1188" s="1164"/>
      <c r="I1188" s="473"/>
      <c r="J1188" s="473"/>
      <c r="K1188" s="1164"/>
      <c r="L1188" s="473"/>
      <c r="M1188" s="473"/>
      <c r="N1188" s="1164"/>
      <c r="O1188" s="473"/>
      <c r="P1188" s="473"/>
      <c r="Q1188" s="1164"/>
      <c r="R1188" s="473"/>
      <c r="S1188" s="473"/>
      <c r="T1188" s="1164"/>
      <c r="U1188" s="1164"/>
      <c r="V1188" s="473"/>
      <c r="W1188" s="473"/>
      <c r="X1188" s="1164"/>
      <c r="Y1188" s="473"/>
      <c r="Z1188" s="473"/>
      <c r="AA1188" s="1164"/>
      <c r="AB1188" s="473"/>
      <c r="AC1188" s="1164"/>
      <c r="AD1188" s="473"/>
      <c r="AE1188" s="1164"/>
      <c r="AF1188" s="473"/>
      <c r="AG1188" s="1164"/>
      <c r="AH1188" s="473"/>
      <c r="AI1188" s="473"/>
      <c r="AJ1188" s="1164"/>
      <c r="AK1188" s="473"/>
      <c r="AL1188" s="473"/>
      <c r="AM1188" s="1164"/>
      <c r="AN1188" s="473"/>
      <c r="AO1188" s="473"/>
      <c r="AP1188" s="1164"/>
      <c r="AQ1188" s="473"/>
      <c r="AR1188" s="473"/>
      <c r="AS1188" s="1236"/>
      <c r="AT1188" s="473"/>
      <c r="AU1188" s="473"/>
      <c r="AV1188" s="1164"/>
      <c r="AW1188" s="1164"/>
      <c r="AX1188" s="1236"/>
      <c r="AY1188" s="473"/>
      <c r="AZ1188" s="1236"/>
      <c r="BA1188" s="473"/>
      <c r="BB1188" s="473"/>
      <c r="BC1188" s="1164"/>
      <c r="BD1188" s="20"/>
      <c r="BE1188" s="473"/>
      <c r="BF1188" s="610"/>
      <c r="BG1188" s="610"/>
      <c r="BH1188" s="610"/>
      <c r="BI1188" s="610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</row>
    <row r="1189" spans="1:148" s="22" customFormat="1" x14ac:dyDescent="0.25">
      <c r="A1189" s="20"/>
      <c r="B1189" s="16"/>
      <c r="C1189" s="473"/>
      <c r="D1189" s="473"/>
      <c r="E1189" s="1164"/>
      <c r="F1189" s="473"/>
      <c r="G1189" s="473"/>
      <c r="H1189" s="1164"/>
      <c r="I1189" s="473"/>
      <c r="J1189" s="473"/>
      <c r="K1189" s="1164"/>
      <c r="L1189" s="473"/>
      <c r="M1189" s="473"/>
      <c r="N1189" s="1164"/>
      <c r="O1189" s="473"/>
      <c r="P1189" s="473"/>
      <c r="Q1189" s="1164"/>
      <c r="R1189" s="473"/>
      <c r="S1189" s="473"/>
      <c r="T1189" s="1164"/>
      <c r="U1189" s="1164"/>
      <c r="V1189" s="473"/>
      <c r="W1189" s="473"/>
      <c r="X1189" s="1164"/>
      <c r="Y1189" s="473"/>
      <c r="Z1189" s="473"/>
      <c r="AA1189" s="1164"/>
      <c r="AB1189" s="473"/>
      <c r="AC1189" s="1164"/>
      <c r="AD1189" s="473"/>
      <c r="AE1189" s="1164"/>
      <c r="AF1189" s="473"/>
      <c r="AG1189" s="1164"/>
      <c r="AH1189" s="473"/>
      <c r="AI1189" s="473"/>
      <c r="AJ1189" s="1164"/>
      <c r="AK1189" s="473"/>
      <c r="AL1189" s="473"/>
      <c r="AM1189" s="1164"/>
      <c r="AN1189" s="473"/>
      <c r="AO1189" s="473"/>
      <c r="AP1189" s="1164"/>
      <c r="AQ1189" s="473"/>
      <c r="AR1189" s="473"/>
      <c r="AS1189" s="1236"/>
      <c r="AT1189" s="473"/>
      <c r="AU1189" s="473"/>
      <c r="AV1189" s="1164"/>
      <c r="AW1189" s="1164"/>
      <c r="AX1189" s="1236"/>
      <c r="AY1189" s="473"/>
      <c r="AZ1189" s="1236"/>
      <c r="BA1189" s="473"/>
      <c r="BB1189" s="473"/>
      <c r="BC1189" s="1164"/>
      <c r="BD1189" s="20"/>
      <c r="BE1189" s="473"/>
      <c r="BF1189" s="610"/>
      <c r="BG1189" s="610"/>
      <c r="BH1189" s="610"/>
      <c r="BI1189" s="610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</row>
    <row r="1190" spans="1:148" s="22" customFormat="1" x14ac:dyDescent="0.25">
      <c r="A1190" s="20"/>
      <c r="B1190" s="16"/>
      <c r="C1190" s="473"/>
      <c r="D1190" s="473"/>
      <c r="E1190" s="1164"/>
      <c r="F1190" s="473"/>
      <c r="G1190" s="473"/>
      <c r="H1190" s="1164"/>
      <c r="I1190" s="473"/>
      <c r="J1190" s="473"/>
      <c r="K1190" s="1164"/>
      <c r="L1190" s="473"/>
      <c r="M1190" s="473"/>
      <c r="N1190" s="1164"/>
      <c r="O1190" s="473"/>
      <c r="P1190" s="473"/>
      <c r="Q1190" s="1164"/>
      <c r="R1190" s="473"/>
      <c r="S1190" s="473"/>
      <c r="T1190" s="1164"/>
      <c r="U1190" s="1164"/>
      <c r="V1190" s="473"/>
      <c r="W1190" s="473"/>
      <c r="X1190" s="1164"/>
      <c r="Y1190" s="473"/>
      <c r="Z1190" s="473"/>
      <c r="AA1190" s="1164"/>
      <c r="AB1190" s="473"/>
      <c r="AC1190" s="1164"/>
      <c r="AD1190" s="473"/>
      <c r="AE1190" s="1164"/>
      <c r="AF1190" s="473"/>
      <c r="AG1190" s="1164"/>
      <c r="AH1190" s="473"/>
      <c r="AI1190" s="473"/>
      <c r="AJ1190" s="1164"/>
      <c r="AK1190" s="473"/>
      <c r="AL1190" s="473"/>
      <c r="AM1190" s="1164"/>
      <c r="AN1190" s="473"/>
      <c r="AO1190" s="473"/>
      <c r="AP1190" s="1164"/>
      <c r="AQ1190" s="473"/>
      <c r="AR1190" s="473"/>
      <c r="AS1190" s="1236"/>
      <c r="AT1190" s="473"/>
      <c r="AU1190" s="473"/>
      <c r="AV1190" s="1164"/>
      <c r="AW1190" s="1164"/>
      <c r="AX1190" s="1236"/>
      <c r="AY1190" s="473"/>
      <c r="AZ1190" s="1236"/>
      <c r="BA1190" s="473"/>
      <c r="BB1190" s="473"/>
      <c r="BC1190" s="1164"/>
      <c r="BD1190" s="20"/>
      <c r="BE1190" s="473"/>
      <c r="BF1190" s="610"/>
      <c r="BG1190" s="610"/>
      <c r="BH1190" s="610"/>
      <c r="BI1190" s="610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</row>
    <row r="1191" spans="1:148" s="22" customFormat="1" x14ac:dyDescent="0.25">
      <c r="A1191" s="20"/>
      <c r="B1191" s="16"/>
      <c r="C1191" s="473"/>
      <c r="D1191" s="473"/>
      <c r="E1191" s="1164"/>
      <c r="F1191" s="473"/>
      <c r="G1191" s="473"/>
      <c r="H1191" s="1164"/>
      <c r="I1191" s="473"/>
      <c r="J1191" s="473"/>
      <c r="K1191" s="1164"/>
      <c r="L1191" s="473"/>
      <c r="M1191" s="473"/>
      <c r="N1191" s="1164"/>
      <c r="O1191" s="473"/>
      <c r="P1191" s="473"/>
      <c r="Q1191" s="1164"/>
      <c r="R1191" s="473"/>
      <c r="S1191" s="473"/>
      <c r="T1191" s="1164"/>
      <c r="U1191" s="1164"/>
      <c r="V1191" s="473"/>
      <c r="W1191" s="473"/>
      <c r="X1191" s="1164"/>
      <c r="Y1191" s="473"/>
      <c r="Z1191" s="473"/>
      <c r="AA1191" s="1164"/>
      <c r="AB1191" s="473"/>
      <c r="AC1191" s="1164"/>
      <c r="AD1191" s="473"/>
      <c r="AE1191" s="1164"/>
      <c r="AF1191" s="473"/>
      <c r="AG1191" s="1164"/>
      <c r="AH1191" s="473"/>
      <c r="AI1191" s="473"/>
      <c r="AJ1191" s="1164"/>
      <c r="AK1191" s="473"/>
      <c r="AL1191" s="473"/>
      <c r="AM1191" s="1164"/>
      <c r="AN1191" s="473"/>
      <c r="AO1191" s="473"/>
      <c r="AP1191" s="1164"/>
      <c r="AQ1191" s="473"/>
      <c r="AR1191" s="473"/>
      <c r="AS1191" s="1236"/>
      <c r="AT1191" s="473"/>
      <c r="AU1191" s="473"/>
      <c r="AV1191" s="1164"/>
      <c r="AW1191" s="1164"/>
      <c r="AX1191" s="1236"/>
      <c r="AY1191" s="473"/>
      <c r="AZ1191" s="1236"/>
      <c r="BA1191" s="473"/>
      <c r="BB1191" s="473"/>
      <c r="BC1191" s="1164"/>
      <c r="BD1191" s="20"/>
      <c r="BE1191" s="473"/>
      <c r="BF1191" s="610"/>
      <c r="BG1191" s="610"/>
      <c r="BH1191" s="610"/>
      <c r="BI1191" s="610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</row>
    <row r="1192" spans="1:148" s="22" customFormat="1" x14ac:dyDescent="0.25">
      <c r="A1192" s="20"/>
      <c r="B1192" s="16"/>
      <c r="C1192" s="473"/>
      <c r="D1192" s="473"/>
      <c r="E1192" s="1164"/>
      <c r="F1192" s="473"/>
      <c r="G1192" s="473"/>
      <c r="H1192" s="1164"/>
      <c r="I1192" s="473"/>
      <c r="J1192" s="473"/>
      <c r="K1192" s="1164"/>
      <c r="L1192" s="473"/>
      <c r="M1192" s="473"/>
      <c r="N1192" s="1164"/>
      <c r="O1192" s="473"/>
      <c r="P1192" s="473"/>
      <c r="Q1192" s="1164"/>
      <c r="R1192" s="473"/>
      <c r="S1192" s="473"/>
      <c r="T1192" s="1164"/>
      <c r="U1192" s="1164"/>
      <c r="V1192" s="473"/>
      <c r="W1192" s="473"/>
      <c r="X1192" s="1164"/>
      <c r="Y1192" s="473"/>
      <c r="Z1192" s="473"/>
      <c r="AA1192" s="1164"/>
      <c r="AB1192" s="473"/>
      <c r="AC1192" s="1164"/>
      <c r="AD1192" s="473"/>
      <c r="AE1192" s="1164"/>
      <c r="AF1192" s="473"/>
      <c r="AG1192" s="1164"/>
      <c r="AH1192" s="473"/>
      <c r="AI1192" s="473"/>
      <c r="AJ1192" s="1164"/>
      <c r="AK1192" s="473"/>
      <c r="AL1192" s="473"/>
      <c r="AM1192" s="1164"/>
      <c r="AN1192" s="473"/>
      <c r="AO1192" s="473"/>
      <c r="AP1192" s="1164"/>
      <c r="AQ1192" s="473"/>
      <c r="AR1192" s="473"/>
      <c r="AS1192" s="1236"/>
      <c r="AT1192" s="473"/>
      <c r="AU1192" s="473"/>
      <c r="AV1192" s="1164"/>
      <c r="AW1192" s="1164"/>
      <c r="AX1192" s="1236"/>
      <c r="AY1192" s="473"/>
      <c r="AZ1192" s="1236"/>
      <c r="BA1192" s="473"/>
      <c r="BB1192" s="473"/>
      <c r="BC1192" s="1164"/>
      <c r="BD1192" s="20"/>
      <c r="BE1192" s="473"/>
      <c r="BF1192" s="610"/>
      <c r="BG1192" s="610"/>
      <c r="BH1192" s="610"/>
      <c r="BI1192" s="610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</row>
    <row r="1193" spans="1:148" s="22" customFormat="1" x14ac:dyDescent="0.25">
      <c r="A1193" s="20"/>
      <c r="B1193" s="16"/>
      <c r="C1193" s="473"/>
      <c r="D1193" s="473"/>
      <c r="E1193" s="1164"/>
      <c r="F1193" s="473"/>
      <c r="G1193" s="473"/>
      <c r="H1193" s="1164"/>
      <c r="I1193" s="473"/>
      <c r="J1193" s="473"/>
      <c r="K1193" s="1164"/>
      <c r="L1193" s="473"/>
      <c r="M1193" s="473"/>
      <c r="N1193" s="1164"/>
      <c r="O1193" s="473"/>
      <c r="P1193" s="473"/>
      <c r="Q1193" s="1164"/>
      <c r="R1193" s="473"/>
      <c r="S1193" s="473"/>
      <c r="T1193" s="1164"/>
      <c r="U1193" s="1164"/>
      <c r="V1193" s="473"/>
      <c r="W1193" s="473"/>
      <c r="X1193" s="1164"/>
      <c r="Y1193" s="473"/>
      <c r="Z1193" s="473"/>
      <c r="AA1193" s="1164"/>
      <c r="AB1193" s="473"/>
      <c r="AC1193" s="1164"/>
      <c r="AD1193" s="473"/>
      <c r="AE1193" s="1164"/>
      <c r="AF1193" s="473"/>
      <c r="AG1193" s="1164"/>
      <c r="AH1193" s="473"/>
      <c r="AI1193" s="473"/>
      <c r="AJ1193" s="1164"/>
      <c r="AK1193" s="473"/>
      <c r="AL1193" s="473"/>
      <c r="AM1193" s="1164"/>
      <c r="AN1193" s="473"/>
      <c r="AO1193" s="473"/>
      <c r="AP1193" s="1164"/>
      <c r="AQ1193" s="473"/>
      <c r="AR1193" s="473"/>
      <c r="AS1193" s="1236"/>
      <c r="AT1193" s="473"/>
      <c r="AU1193" s="473"/>
      <c r="AV1193" s="1164"/>
      <c r="AW1193" s="1164"/>
      <c r="AX1193" s="1236"/>
      <c r="AY1193" s="473"/>
      <c r="AZ1193" s="1236"/>
      <c r="BA1193" s="473"/>
      <c r="BB1193" s="473"/>
      <c r="BC1193" s="1164"/>
      <c r="BD1193" s="20"/>
      <c r="BE1193" s="473"/>
      <c r="BF1193" s="610"/>
      <c r="BG1193" s="610"/>
      <c r="BH1193" s="610"/>
      <c r="BI1193" s="610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</row>
    <row r="1194" spans="1:148" s="22" customFormat="1" x14ac:dyDescent="0.25">
      <c r="A1194" s="20"/>
      <c r="B1194" s="16"/>
      <c r="C1194" s="473"/>
      <c r="D1194" s="473"/>
      <c r="E1194" s="1164"/>
      <c r="F1194" s="473"/>
      <c r="G1194" s="473"/>
      <c r="H1194" s="1164"/>
      <c r="I1194" s="473"/>
      <c r="J1194" s="473"/>
      <c r="K1194" s="1164"/>
      <c r="L1194" s="473"/>
      <c r="M1194" s="473"/>
      <c r="N1194" s="1164"/>
      <c r="O1194" s="473"/>
      <c r="P1194" s="473"/>
      <c r="Q1194" s="1164"/>
      <c r="R1194" s="473"/>
      <c r="S1194" s="473"/>
      <c r="T1194" s="1164"/>
      <c r="U1194" s="1164"/>
      <c r="V1194" s="473"/>
      <c r="W1194" s="473"/>
      <c r="X1194" s="1164"/>
      <c r="Y1194" s="473"/>
      <c r="Z1194" s="473"/>
      <c r="AA1194" s="1164"/>
      <c r="AB1194" s="473"/>
      <c r="AC1194" s="1164"/>
      <c r="AD1194" s="473"/>
      <c r="AE1194" s="1164"/>
      <c r="AF1194" s="473"/>
      <c r="AG1194" s="1164"/>
      <c r="AH1194" s="473"/>
      <c r="AI1194" s="473"/>
      <c r="AJ1194" s="1164"/>
      <c r="AK1194" s="473"/>
      <c r="AL1194" s="473"/>
      <c r="AM1194" s="1164"/>
      <c r="AN1194" s="473"/>
      <c r="AO1194" s="473"/>
      <c r="AP1194" s="1164"/>
      <c r="AQ1194" s="473"/>
      <c r="AR1194" s="473"/>
      <c r="AS1194" s="1236"/>
      <c r="AT1194" s="473"/>
      <c r="AU1194" s="473"/>
      <c r="AV1194" s="1164"/>
      <c r="AW1194" s="1164"/>
      <c r="AX1194" s="1236"/>
      <c r="AY1194" s="473"/>
      <c r="AZ1194" s="1236"/>
      <c r="BA1194" s="473"/>
      <c r="BB1194" s="473"/>
      <c r="BC1194" s="1164"/>
      <c r="BD1194" s="20"/>
      <c r="BE1194" s="473"/>
      <c r="BF1194" s="610"/>
      <c r="BG1194" s="610"/>
      <c r="BH1194" s="610"/>
      <c r="BI1194" s="610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</row>
    <row r="1195" spans="1:148" s="22" customFormat="1" x14ac:dyDescent="0.25">
      <c r="A1195" s="20"/>
      <c r="B1195" s="16"/>
      <c r="C1195" s="473"/>
      <c r="D1195" s="473"/>
      <c r="E1195" s="1164"/>
      <c r="F1195" s="473"/>
      <c r="G1195" s="473"/>
      <c r="H1195" s="1164"/>
      <c r="I1195" s="473"/>
      <c r="J1195" s="473"/>
      <c r="K1195" s="1164"/>
      <c r="L1195" s="473"/>
      <c r="M1195" s="473"/>
      <c r="N1195" s="1164"/>
      <c r="O1195" s="473"/>
      <c r="P1195" s="473"/>
      <c r="Q1195" s="1164"/>
      <c r="R1195" s="473"/>
      <c r="S1195" s="473"/>
      <c r="T1195" s="1164"/>
      <c r="U1195" s="1164"/>
      <c r="V1195" s="473"/>
      <c r="W1195" s="473"/>
      <c r="X1195" s="1164"/>
      <c r="Y1195" s="473"/>
      <c r="Z1195" s="473"/>
      <c r="AA1195" s="1164"/>
      <c r="AB1195" s="473"/>
      <c r="AC1195" s="1164"/>
      <c r="AD1195" s="473"/>
      <c r="AE1195" s="1164"/>
      <c r="AF1195" s="473"/>
      <c r="AG1195" s="1164"/>
      <c r="AH1195" s="473"/>
      <c r="AI1195" s="473"/>
      <c r="AJ1195" s="1164"/>
      <c r="AK1195" s="473"/>
      <c r="AL1195" s="473"/>
      <c r="AM1195" s="1164"/>
      <c r="AN1195" s="473"/>
      <c r="AO1195" s="473"/>
      <c r="AP1195" s="1164"/>
      <c r="AQ1195" s="473"/>
      <c r="AR1195" s="473"/>
      <c r="AS1195" s="1236"/>
      <c r="AT1195" s="473"/>
      <c r="AU1195" s="473"/>
      <c r="AV1195" s="1164"/>
      <c r="AW1195" s="1164"/>
      <c r="AX1195" s="1236"/>
      <c r="AY1195" s="473"/>
      <c r="AZ1195" s="1236"/>
      <c r="BA1195" s="473"/>
      <c r="BB1195" s="473"/>
      <c r="BC1195" s="1164"/>
      <c r="BD1195" s="20"/>
      <c r="BE1195" s="473"/>
      <c r="BF1195" s="610"/>
      <c r="BG1195" s="610"/>
      <c r="BH1195" s="610"/>
      <c r="BI1195" s="610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</row>
    <row r="1196" spans="1:148" s="22" customFormat="1" x14ac:dyDescent="0.25">
      <c r="A1196" s="20"/>
      <c r="B1196" s="16"/>
      <c r="C1196" s="473"/>
      <c r="D1196" s="473"/>
      <c r="E1196" s="1164"/>
      <c r="F1196" s="473"/>
      <c r="G1196" s="473"/>
      <c r="H1196" s="1164"/>
      <c r="I1196" s="473"/>
      <c r="J1196" s="473"/>
      <c r="K1196" s="1164"/>
      <c r="L1196" s="473"/>
      <c r="M1196" s="473"/>
      <c r="N1196" s="1164"/>
      <c r="O1196" s="473"/>
      <c r="P1196" s="473"/>
      <c r="Q1196" s="1164"/>
      <c r="R1196" s="473"/>
      <c r="S1196" s="473"/>
      <c r="T1196" s="1164"/>
      <c r="U1196" s="1164"/>
      <c r="V1196" s="473"/>
      <c r="W1196" s="473"/>
      <c r="X1196" s="1164"/>
      <c r="Y1196" s="473"/>
      <c r="Z1196" s="473"/>
      <c r="AA1196" s="1164"/>
      <c r="AB1196" s="473"/>
      <c r="AC1196" s="1164"/>
      <c r="AD1196" s="473"/>
      <c r="AE1196" s="1164"/>
      <c r="AF1196" s="473"/>
      <c r="AG1196" s="1164"/>
      <c r="AH1196" s="473"/>
      <c r="AI1196" s="473"/>
      <c r="AJ1196" s="1164"/>
      <c r="AK1196" s="473"/>
      <c r="AL1196" s="473"/>
      <c r="AM1196" s="1164"/>
      <c r="AN1196" s="473"/>
      <c r="AO1196" s="473"/>
      <c r="AP1196" s="1164"/>
      <c r="AQ1196" s="473"/>
      <c r="AR1196" s="473"/>
      <c r="AS1196" s="1236"/>
      <c r="AT1196" s="473"/>
      <c r="AU1196" s="473"/>
      <c r="AV1196" s="1164"/>
      <c r="AW1196" s="1164"/>
      <c r="AX1196" s="1236"/>
      <c r="AY1196" s="473"/>
      <c r="AZ1196" s="1236"/>
      <c r="BA1196" s="473"/>
      <c r="BB1196" s="473"/>
      <c r="BC1196" s="1164"/>
      <c r="BD1196" s="20"/>
      <c r="BE1196" s="473"/>
      <c r="BF1196" s="610"/>
      <c r="BG1196" s="610"/>
      <c r="BH1196" s="610"/>
      <c r="BI1196" s="610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</row>
    <row r="1197" spans="1:148" s="22" customFormat="1" x14ac:dyDescent="0.25">
      <c r="A1197" s="20"/>
      <c r="B1197" s="16"/>
      <c r="C1197" s="473"/>
      <c r="D1197" s="473"/>
      <c r="E1197" s="1164"/>
      <c r="F1197" s="473"/>
      <c r="G1197" s="473"/>
      <c r="H1197" s="1164"/>
      <c r="I1197" s="473"/>
      <c r="J1197" s="473"/>
      <c r="K1197" s="1164"/>
      <c r="L1197" s="473"/>
      <c r="M1197" s="473"/>
      <c r="N1197" s="1164"/>
      <c r="O1197" s="473"/>
      <c r="P1197" s="473"/>
      <c r="Q1197" s="1164"/>
      <c r="R1197" s="473"/>
      <c r="S1197" s="473"/>
      <c r="T1197" s="1164"/>
      <c r="U1197" s="1164"/>
      <c r="V1197" s="473"/>
      <c r="W1197" s="473"/>
      <c r="X1197" s="1164"/>
      <c r="Y1197" s="473"/>
      <c r="Z1197" s="473"/>
      <c r="AA1197" s="1164"/>
      <c r="AB1197" s="473"/>
      <c r="AC1197" s="1164"/>
      <c r="AD1197" s="473"/>
      <c r="AE1197" s="1164"/>
      <c r="AF1197" s="473"/>
      <c r="AG1197" s="1164"/>
      <c r="AH1197" s="473"/>
      <c r="AI1197" s="473"/>
      <c r="AJ1197" s="1164"/>
      <c r="AK1197" s="473"/>
      <c r="AL1197" s="473"/>
      <c r="AM1197" s="1164"/>
      <c r="AN1197" s="473"/>
      <c r="AO1197" s="473"/>
      <c r="AP1197" s="1164"/>
      <c r="AQ1197" s="473"/>
      <c r="AR1197" s="473"/>
      <c r="AS1197" s="1236"/>
      <c r="AT1197" s="473"/>
      <c r="AU1197" s="473"/>
      <c r="AV1197" s="1164"/>
      <c r="AW1197" s="1164"/>
      <c r="AX1197" s="1236"/>
      <c r="AY1197" s="473"/>
      <c r="AZ1197" s="1236"/>
      <c r="BA1197" s="473"/>
      <c r="BB1197" s="473"/>
      <c r="BC1197" s="1164"/>
      <c r="BD1197" s="20"/>
      <c r="BE1197" s="473"/>
      <c r="BF1197" s="610"/>
      <c r="BG1197" s="610"/>
      <c r="BH1197" s="610"/>
      <c r="BI1197" s="610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</row>
    <row r="1198" spans="1:148" s="22" customFormat="1" x14ac:dyDescent="0.25">
      <c r="A1198" s="20"/>
      <c r="B1198" s="16"/>
      <c r="C1198" s="473"/>
      <c r="D1198" s="473"/>
      <c r="E1198" s="1164"/>
      <c r="F1198" s="473"/>
      <c r="G1198" s="473"/>
      <c r="H1198" s="1164"/>
      <c r="I1198" s="473"/>
      <c r="J1198" s="473"/>
      <c r="K1198" s="1164"/>
      <c r="L1198" s="473"/>
      <c r="M1198" s="473"/>
      <c r="N1198" s="1164"/>
      <c r="O1198" s="473"/>
      <c r="P1198" s="473"/>
      <c r="Q1198" s="1164"/>
      <c r="R1198" s="473"/>
      <c r="S1198" s="473"/>
      <c r="T1198" s="1164"/>
      <c r="U1198" s="1164"/>
      <c r="V1198" s="473"/>
      <c r="W1198" s="473"/>
      <c r="X1198" s="1164"/>
      <c r="Y1198" s="473"/>
      <c r="Z1198" s="473"/>
      <c r="AA1198" s="1164"/>
      <c r="AB1198" s="473"/>
      <c r="AC1198" s="1164"/>
      <c r="AD1198" s="473"/>
      <c r="AE1198" s="1164"/>
      <c r="AF1198" s="473"/>
      <c r="AG1198" s="1164"/>
      <c r="AH1198" s="473"/>
      <c r="AI1198" s="473"/>
      <c r="AJ1198" s="1164"/>
      <c r="AK1198" s="473"/>
      <c r="AL1198" s="473"/>
      <c r="AM1198" s="1164"/>
      <c r="AN1198" s="473"/>
      <c r="AO1198" s="473"/>
      <c r="AP1198" s="1164"/>
      <c r="AQ1198" s="473"/>
      <c r="AR1198" s="473"/>
      <c r="AS1198" s="1236"/>
      <c r="AT1198" s="473"/>
      <c r="AU1198" s="473"/>
      <c r="AV1198" s="1164"/>
      <c r="AW1198" s="1164"/>
      <c r="AX1198" s="1236"/>
      <c r="AY1198" s="473"/>
      <c r="AZ1198" s="1236"/>
      <c r="BA1198" s="473"/>
      <c r="BB1198" s="473"/>
      <c r="BC1198" s="1164"/>
      <c r="BD1198" s="20"/>
      <c r="BE1198" s="473"/>
      <c r="BF1198" s="610"/>
      <c r="BG1198" s="610"/>
      <c r="BH1198" s="610"/>
      <c r="BI1198" s="610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</row>
    <row r="1199" spans="1:148" s="22" customFormat="1" x14ac:dyDescent="0.25">
      <c r="A1199" s="20"/>
      <c r="B1199" s="16"/>
      <c r="C1199" s="473"/>
      <c r="D1199" s="473"/>
      <c r="E1199" s="1164"/>
      <c r="F1199" s="473"/>
      <c r="G1199" s="473"/>
      <c r="H1199" s="1164"/>
      <c r="I1199" s="473"/>
      <c r="J1199" s="473"/>
      <c r="K1199" s="1164"/>
      <c r="L1199" s="473"/>
      <c r="M1199" s="473"/>
      <c r="N1199" s="1164"/>
      <c r="O1199" s="473"/>
      <c r="P1199" s="473"/>
      <c r="Q1199" s="1164"/>
      <c r="R1199" s="473"/>
      <c r="S1199" s="473"/>
      <c r="T1199" s="1164"/>
      <c r="U1199" s="1164"/>
      <c r="V1199" s="473"/>
      <c r="W1199" s="473"/>
      <c r="X1199" s="1164"/>
      <c r="Y1199" s="473"/>
      <c r="Z1199" s="473"/>
      <c r="AA1199" s="1164"/>
      <c r="AB1199" s="473"/>
      <c r="AC1199" s="1164"/>
      <c r="AD1199" s="473"/>
      <c r="AE1199" s="1164"/>
      <c r="AF1199" s="473"/>
      <c r="AG1199" s="1164"/>
      <c r="AH1199" s="473"/>
      <c r="AI1199" s="473"/>
      <c r="AJ1199" s="1164"/>
      <c r="AK1199" s="473"/>
      <c r="AL1199" s="473"/>
      <c r="AM1199" s="1164"/>
      <c r="AN1199" s="473"/>
      <c r="AO1199" s="473"/>
      <c r="AP1199" s="1164"/>
      <c r="AQ1199" s="473"/>
      <c r="AR1199" s="473"/>
      <c r="AS1199" s="1236"/>
      <c r="AT1199" s="473"/>
      <c r="AU1199" s="473"/>
      <c r="AV1199" s="1164"/>
      <c r="AW1199" s="1164"/>
      <c r="AX1199" s="1236"/>
      <c r="AY1199" s="473"/>
      <c r="AZ1199" s="1236"/>
      <c r="BA1199" s="473"/>
      <c r="BB1199" s="473"/>
      <c r="BC1199" s="1164"/>
      <c r="BD1199" s="20"/>
      <c r="BE1199" s="473"/>
      <c r="BF1199" s="610"/>
      <c r="BG1199" s="610"/>
      <c r="BH1199" s="610"/>
      <c r="BI1199" s="610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</row>
    <row r="1200" spans="1:148" s="22" customFormat="1" x14ac:dyDescent="0.25">
      <c r="A1200" s="20"/>
      <c r="B1200" s="16"/>
      <c r="C1200" s="473"/>
      <c r="D1200" s="473"/>
      <c r="E1200" s="1164"/>
      <c r="F1200" s="473"/>
      <c r="G1200" s="473"/>
      <c r="H1200" s="1164"/>
      <c r="I1200" s="473"/>
      <c r="J1200" s="473"/>
      <c r="K1200" s="1164"/>
      <c r="L1200" s="473"/>
      <c r="M1200" s="473"/>
      <c r="N1200" s="1164"/>
      <c r="O1200" s="473"/>
      <c r="P1200" s="473"/>
      <c r="Q1200" s="1164"/>
      <c r="R1200" s="473"/>
      <c r="S1200" s="473"/>
      <c r="T1200" s="1164"/>
      <c r="U1200" s="1164"/>
      <c r="V1200" s="473"/>
      <c r="W1200" s="473"/>
      <c r="X1200" s="1164"/>
      <c r="Y1200" s="473"/>
      <c r="Z1200" s="473"/>
      <c r="AA1200" s="1164"/>
      <c r="AB1200" s="473"/>
      <c r="AC1200" s="1164"/>
      <c r="AD1200" s="473"/>
      <c r="AE1200" s="1164"/>
      <c r="AF1200" s="473"/>
      <c r="AG1200" s="1164"/>
      <c r="AH1200" s="473"/>
      <c r="AI1200" s="473"/>
      <c r="AJ1200" s="1164"/>
      <c r="AK1200" s="473"/>
      <c r="AL1200" s="473"/>
      <c r="AM1200" s="1164"/>
      <c r="AN1200" s="473"/>
      <c r="AO1200" s="473"/>
      <c r="AP1200" s="1164"/>
      <c r="AQ1200" s="473"/>
      <c r="AR1200" s="473"/>
      <c r="AS1200" s="1236"/>
      <c r="AT1200" s="473"/>
      <c r="AU1200" s="473"/>
      <c r="AV1200" s="1164"/>
      <c r="AW1200" s="1164"/>
      <c r="AX1200" s="1236"/>
      <c r="AY1200" s="473"/>
      <c r="AZ1200" s="1236"/>
      <c r="BA1200" s="473"/>
      <c r="BB1200" s="473"/>
      <c r="BC1200" s="1164"/>
      <c r="BD1200" s="20"/>
      <c r="BE1200" s="473"/>
      <c r="BF1200" s="610"/>
      <c r="BG1200" s="610"/>
      <c r="BH1200" s="610"/>
      <c r="BI1200" s="610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</row>
    <row r="1201" spans="1:148" s="22" customFormat="1" x14ac:dyDescent="0.25">
      <c r="A1201" s="20"/>
      <c r="B1201" s="16"/>
      <c r="C1201" s="473"/>
      <c r="D1201" s="473"/>
      <c r="E1201" s="1164"/>
      <c r="F1201" s="473"/>
      <c r="G1201" s="473"/>
      <c r="H1201" s="1164"/>
      <c r="I1201" s="473"/>
      <c r="J1201" s="473"/>
      <c r="K1201" s="1164"/>
      <c r="L1201" s="473"/>
      <c r="M1201" s="473"/>
      <c r="N1201" s="1164"/>
      <c r="O1201" s="473"/>
      <c r="P1201" s="473"/>
      <c r="Q1201" s="1164"/>
      <c r="R1201" s="473"/>
      <c r="S1201" s="473"/>
      <c r="T1201" s="1164"/>
      <c r="U1201" s="1164"/>
      <c r="V1201" s="473"/>
      <c r="W1201" s="473"/>
      <c r="X1201" s="1164"/>
      <c r="Y1201" s="473"/>
      <c r="Z1201" s="473"/>
      <c r="AA1201" s="1164"/>
      <c r="AB1201" s="473"/>
      <c r="AC1201" s="1164"/>
      <c r="AD1201" s="473"/>
      <c r="AE1201" s="1164"/>
      <c r="AF1201" s="473"/>
      <c r="AG1201" s="1164"/>
      <c r="AH1201" s="473"/>
      <c r="AI1201" s="473"/>
      <c r="AJ1201" s="1164"/>
      <c r="AK1201" s="473"/>
      <c r="AL1201" s="473"/>
      <c r="AM1201" s="1164"/>
      <c r="AN1201" s="473"/>
      <c r="AO1201" s="473"/>
      <c r="AP1201" s="1164"/>
      <c r="AQ1201" s="473"/>
      <c r="AR1201" s="473"/>
      <c r="AS1201" s="1236"/>
      <c r="AT1201" s="473"/>
      <c r="AU1201" s="473"/>
      <c r="AV1201" s="1164"/>
      <c r="AW1201" s="1164"/>
      <c r="AX1201" s="1236"/>
      <c r="AY1201" s="473"/>
      <c r="AZ1201" s="1236"/>
      <c r="BA1201" s="473"/>
      <c r="BB1201" s="473"/>
      <c r="BC1201" s="1164"/>
      <c r="BD1201" s="20"/>
      <c r="BE1201" s="473"/>
      <c r="BF1201" s="610"/>
      <c r="BG1201" s="610"/>
      <c r="BH1201" s="610"/>
      <c r="BI1201" s="610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</row>
    <row r="1202" spans="1:148" s="22" customFormat="1" x14ac:dyDescent="0.25">
      <c r="A1202" s="20"/>
      <c r="B1202" s="16"/>
      <c r="C1202" s="473"/>
      <c r="D1202" s="473"/>
      <c r="E1202" s="1164"/>
      <c r="F1202" s="473"/>
      <c r="G1202" s="473"/>
      <c r="H1202" s="1164"/>
      <c r="I1202" s="473"/>
      <c r="J1202" s="473"/>
      <c r="K1202" s="1164"/>
      <c r="L1202" s="473"/>
      <c r="M1202" s="473"/>
      <c r="N1202" s="1164"/>
      <c r="O1202" s="473"/>
      <c r="P1202" s="473"/>
      <c r="Q1202" s="1164"/>
      <c r="R1202" s="473"/>
      <c r="S1202" s="473"/>
      <c r="T1202" s="1164"/>
      <c r="U1202" s="1164"/>
      <c r="V1202" s="473"/>
      <c r="W1202" s="473"/>
      <c r="X1202" s="1164"/>
      <c r="Y1202" s="473"/>
      <c r="Z1202" s="473"/>
      <c r="AA1202" s="1164"/>
      <c r="AB1202" s="473"/>
      <c r="AC1202" s="1164"/>
      <c r="AD1202" s="473"/>
      <c r="AE1202" s="1164"/>
      <c r="AF1202" s="473"/>
      <c r="AG1202" s="1164"/>
      <c r="AH1202" s="473"/>
      <c r="AI1202" s="473"/>
      <c r="AJ1202" s="1164"/>
      <c r="AK1202" s="473"/>
      <c r="AL1202" s="473"/>
      <c r="AM1202" s="1164"/>
      <c r="AN1202" s="473"/>
      <c r="AO1202" s="473"/>
      <c r="AP1202" s="1164"/>
      <c r="AQ1202" s="473"/>
      <c r="AR1202" s="473"/>
      <c r="AS1202" s="1236"/>
      <c r="AT1202" s="473"/>
      <c r="AU1202" s="473"/>
      <c r="AV1202" s="1164"/>
      <c r="AW1202" s="1164"/>
      <c r="AX1202" s="1236"/>
      <c r="AY1202" s="473"/>
      <c r="AZ1202" s="1236"/>
      <c r="BA1202" s="473"/>
      <c r="BB1202" s="473"/>
      <c r="BC1202" s="1164"/>
      <c r="BD1202" s="20"/>
      <c r="BE1202" s="473"/>
      <c r="BF1202" s="610"/>
      <c r="BG1202" s="610"/>
      <c r="BH1202" s="610"/>
      <c r="BI1202" s="610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  <c r="EH1202" s="23"/>
      <c r="EI1202" s="23"/>
      <c r="EJ1202" s="23"/>
      <c r="EK1202" s="23"/>
      <c r="EL1202" s="23"/>
      <c r="EM1202" s="23"/>
      <c r="EN1202" s="23"/>
      <c r="EO1202" s="23"/>
      <c r="EP1202" s="23"/>
      <c r="EQ1202" s="23"/>
      <c r="ER1202" s="23"/>
    </row>
    <row r="1203" spans="1:148" s="22" customFormat="1" x14ac:dyDescent="0.25">
      <c r="A1203" s="20"/>
      <c r="B1203" s="16"/>
      <c r="C1203" s="473"/>
      <c r="D1203" s="473"/>
      <c r="E1203" s="1164"/>
      <c r="F1203" s="473"/>
      <c r="G1203" s="473"/>
      <c r="H1203" s="1164"/>
      <c r="I1203" s="473"/>
      <c r="J1203" s="473"/>
      <c r="K1203" s="1164"/>
      <c r="L1203" s="473"/>
      <c r="M1203" s="473"/>
      <c r="N1203" s="1164"/>
      <c r="O1203" s="473"/>
      <c r="P1203" s="473"/>
      <c r="Q1203" s="1164"/>
      <c r="R1203" s="473"/>
      <c r="S1203" s="473"/>
      <c r="T1203" s="1164"/>
      <c r="U1203" s="1164"/>
      <c r="V1203" s="473"/>
      <c r="W1203" s="473"/>
      <c r="X1203" s="1164"/>
      <c r="Y1203" s="473"/>
      <c r="Z1203" s="473"/>
      <c r="AA1203" s="1164"/>
      <c r="AB1203" s="473"/>
      <c r="AC1203" s="1164"/>
      <c r="AD1203" s="473"/>
      <c r="AE1203" s="1164"/>
      <c r="AF1203" s="473"/>
      <c r="AG1203" s="1164"/>
      <c r="AH1203" s="473"/>
      <c r="AI1203" s="473"/>
      <c r="AJ1203" s="1164"/>
      <c r="AK1203" s="473"/>
      <c r="AL1203" s="473"/>
      <c r="AM1203" s="1164"/>
      <c r="AN1203" s="473"/>
      <c r="AO1203" s="473"/>
      <c r="AP1203" s="1164"/>
      <c r="AQ1203" s="473"/>
      <c r="AR1203" s="473"/>
      <c r="AS1203" s="1236"/>
      <c r="AT1203" s="473"/>
      <c r="AU1203" s="473"/>
      <c r="AV1203" s="1164"/>
      <c r="AW1203" s="1164"/>
      <c r="AX1203" s="1236"/>
      <c r="AY1203" s="473"/>
      <c r="AZ1203" s="1236"/>
      <c r="BA1203" s="473"/>
      <c r="BB1203" s="473"/>
      <c r="BC1203" s="1164"/>
      <c r="BD1203" s="20"/>
      <c r="BE1203" s="473"/>
      <c r="BF1203" s="610"/>
      <c r="BG1203" s="610"/>
      <c r="BH1203" s="610"/>
      <c r="BI1203" s="610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</row>
    <row r="1204" spans="1:148" s="22" customFormat="1" x14ac:dyDescent="0.25">
      <c r="A1204" s="20"/>
      <c r="B1204" s="16"/>
      <c r="C1204" s="473"/>
      <c r="D1204" s="473"/>
      <c r="E1204" s="1164"/>
      <c r="F1204" s="473"/>
      <c r="G1204" s="473"/>
      <c r="H1204" s="1164"/>
      <c r="I1204" s="473"/>
      <c r="J1204" s="473"/>
      <c r="K1204" s="1164"/>
      <c r="L1204" s="473"/>
      <c r="M1204" s="473"/>
      <c r="N1204" s="1164"/>
      <c r="O1204" s="473"/>
      <c r="P1204" s="473"/>
      <c r="Q1204" s="1164"/>
      <c r="R1204" s="473"/>
      <c r="S1204" s="473"/>
      <c r="T1204" s="1164"/>
      <c r="U1204" s="1164"/>
      <c r="V1204" s="473"/>
      <c r="W1204" s="473"/>
      <c r="X1204" s="1164"/>
      <c r="Y1204" s="473"/>
      <c r="Z1204" s="473"/>
      <c r="AA1204" s="1164"/>
      <c r="AB1204" s="473"/>
      <c r="AC1204" s="1164"/>
      <c r="AD1204" s="473"/>
      <c r="AE1204" s="1164"/>
      <c r="AF1204" s="473"/>
      <c r="AG1204" s="1164"/>
      <c r="AH1204" s="473"/>
      <c r="AI1204" s="473"/>
      <c r="AJ1204" s="1164"/>
      <c r="AK1204" s="473"/>
      <c r="AL1204" s="473"/>
      <c r="AM1204" s="1164"/>
      <c r="AN1204" s="473"/>
      <c r="AO1204" s="473"/>
      <c r="AP1204" s="1164"/>
      <c r="AQ1204" s="473"/>
      <c r="AR1204" s="473"/>
      <c r="AS1204" s="1236"/>
      <c r="AT1204" s="473"/>
      <c r="AU1204" s="473"/>
      <c r="AV1204" s="1164"/>
      <c r="AW1204" s="1164"/>
      <c r="AX1204" s="1236"/>
      <c r="AY1204" s="473"/>
      <c r="AZ1204" s="1236"/>
      <c r="BA1204" s="473"/>
      <c r="BB1204" s="473"/>
      <c r="BC1204" s="1164"/>
      <c r="BD1204" s="20"/>
      <c r="BE1204" s="473"/>
      <c r="BF1204" s="610"/>
      <c r="BG1204" s="610"/>
      <c r="BH1204" s="610"/>
      <c r="BI1204" s="610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  <c r="EH1204" s="23"/>
      <c r="EI1204" s="23"/>
      <c r="EJ1204" s="23"/>
      <c r="EK1204" s="23"/>
      <c r="EL1204" s="23"/>
      <c r="EM1204" s="23"/>
      <c r="EN1204" s="23"/>
      <c r="EO1204" s="23"/>
      <c r="EP1204" s="23"/>
      <c r="EQ1204" s="23"/>
      <c r="ER1204" s="23"/>
    </row>
    <row r="1205" spans="1:148" s="22" customFormat="1" x14ac:dyDescent="0.25">
      <c r="A1205" s="20"/>
      <c r="B1205" s="16"/>
      <c r="C1205" s="473"/>
      <c r="D1205" s="473"/>
      <c r="E1205" s="1164"/>
      <c r="F1205" s="473"/>
      <c r="G1205" s="473"/>
      <c r="H1205" s="1164"/>
      <c r="I1205" s="473"/>
      <c r="J1205" s="473"/>
      <c r="K1205" s="1164"/>
      <c r="L1205" s="473"/>
      <c r="M1205" s="473"/>
      <c r="N1205" s="1164"/>
      <c r="O1205" s="473"/>
      <c r="P1205" s="473"/>
      <c r="Q1205" s="1164"/>
      <c r="R1205" s="473"/>
      <c r="S1205" s="473"/>
      <c r="T1205" s="1164"/>
      <c r="U1205" s="1164"/>
      <c r="V1205" s="473"/>
      <c r="W1205" s="473"/>
      <c r="X1205" s="1164"/>
      <c r="Y1205" s="473"/>
      <c r="Z1205" s="473"/>
      <c r="AA1205" s="1164"/>
      <c r="AB1205" s="473"/>
      <c r="AC1205" s="1164"/>
      <c r="AD1205" s="473"/>
      <c r="AE1205" s="1164"/>
      <c r="AF1205" s="473"/>
      <c r="AG1205" s="1164"/>
      <c r="AH1205" s="473"/>
      <c r="AI1205" s="473"/>
      <c r="AJ1205" s="1164"/>
      <c r="AK1205" s="473"/>
      <c r="AL1205" s="473"/>
      <c r="AM1205" s="1164"/>
      <c r="AN1205" s="473"/>
      <c r="AO1205" s="473"/>
      <c r="AP1205" s="1164"/>
      <c r="AQ1205" s="473"/>
      <c r="AR1205" s="473"/>
      <c r="AS1205" s="1236"/>
      <c r="AT1205" s="473"/>
      <c r="AU1205" s="473"/>
      <c r="AV1205" s="1164"/>
      <c r="AW1205" s="1164"/>
      <c r="AX1205" s="1236"/>
      <c r="AY1205" s="473"/>
      <c r="AZ1205" s="1236"/>
      <c r="BA1205" s="473"/>
      <c r="BB1205" s="473"/>
      <c r="BC1205" s="1164"/>
      <c r="BD1205" s="20"/>
      <c r="BE1205" s="473"/>
      <c r="BF1205" s="610"/>
      <c r="BG1205" s="610"/>
      <c r="BH1205" s="610"/>
      <c r="BI1205" s="610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  <c r="EH1205" s="23"/>
      <c r="EI1205" s="23"/>
      <c r="EJ1205" s="23"/>
      <c r="EK1205" s="23"/>
      <c r="EL1205" s="23"/>
      <c r="EM1205" s="23"/>
      <c r="EN1205" s="23"/>
      <c r="EO1205" s="23"/>
      <c r="EP1205" s="23"/>
      <c r="EQ1205" s="23"/>
      <c r="ER1205" s="23"/>
    </row>
    <row r="1206" spans="1:148" s="22" customFormat="1" x14ac:dyDescent="0.25">
      <c r="A1206" s="20"/>
      <c r="B1206" s="16"/>
      <c r="C1206" s="473"/>
      <c r="D1206" s="473"/>
      <c r="E1206" s="1164"/>
      <c r="F1206" s="473"/>
      <c r="G1206" s="473"/>
      <c r="H1206" s="1164"/>
      <c r="I1206" s="473"/>
      <c r="J1206" s="473"/>
      <c r="K1206" s="1164"/>
      <c r="L1206" s="473"/>
      <c r="M1206" s="473"/>
      <c r="N1206" s="1164"/>
      <c r="O1206" s="473"/>
      <c r="P1206" s="473"/>
      <c r="Q1206" s="1164"/>
      <c r="R1206" s="473"/>
      <c r="S1206" s="473"/>
      <c r="T1206" s="1164"/>
      <c r="U1206" s="1164"/>
      <c r="V1206" s="473"/>
      <c r="W1206" s="473"/>
      <c r="X1206" s="1164"/>
      <c r="Y1206" s="473"/>
      <c r="Z1206" s="473"/>
      <c r="AA1206" s="1164"/>
      <c r="AB1206" s="473"/>
      <c r="AC1206" s="1164"/>
      <c r="AD1206" s="473"/>
      <c r="AE1206" s="1164"/>
      <c r="AF1206" s="473"/>
      <c r="AG1206" s="1164"/>
      <c r="AH1206" s="473"/>
      <c r="AI1206" s="473"/>
      <c r="AJ1206" s="1164"/>
      <c r="AK1206" s="473"/>
      <c r="AL1206" s="473"/>
      <c r="AM1206" s="1164"/>
      <c r="AN1206" s="473"/>
      <c r="AO1206" s="473"/>
      <c r="AP1206" s="1164"/>
      <c r="AQ1206" s="473"/>
      <c r="AR1206" s="473"/>
      <c r="AS1206" s="1236"/>
      <c r="AT1206" s="473"/>
      <c r="AU1206" s="473"/>
      <c r="AV1206" s="1164"/>
      <c r="AW1206" s="1164"/>
      <c r="AX1206" s="1236"/>
      <c r="AY1206" s="473"/>
      <c r="AZ1206" s="1236"/>
      <c r="BA1206" s="473"/>
      <c r="BB1206" s="473"/>
      <c r="BC1206" s="1164"/>
      <c r="BD1206" s="20"/>
      <c r="BE1206" s="473"/>
      <c r="BF1206" s="610"/>
      <c r="BG1206" s="610"/>
      <c r="BH1206" s="610"/>
      <c r="BI1206" s="610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  <c r="EH1206" s="23"/>
      <c r="EI1206" s="23"/>
      <c r="EJ1206" s="23"/>
      <c r="EK1206" s="23"/>
      <c r="EL1206" s="23"/>
      <c r="EM1206" s="23"/>
      <c r="EN1206" s="23"/>
      <c r="EO1206" s="23"/>
      <c r="EP1206" s="23"/>
      <c r="EQ1206" s="23"/>
      <c r="ER1206" s="23"/>
    </row>
    <row r="1207" spans="1:148" s="22" customFormat="1" x14ac:dyDescent="0.25">
      <c r="A1207" s="20"/>
      <c r="B1207" s="16"/>
      <c r="C1207" s="473"/>
      <c r="D1207" s="473"/>
      <c r="E1207" s="1164"/>
      <c r="F1207" s="473"/>
      <c r="G1207" s="473"/>
      <c r="H1207" s="1164"/>
      <c r="I1207" s="473"/>
      <c r="J1207" s="473"/>
      <c r="K1207" s="1164"/>
      <c r="L1207" s="473"/>
      <c r="M1207" s="473"/>
      <c r="N1207" s="1164"/>
      <c r="O1207" s="473"/>
      <c r="P1207" s="473"/>
      <c r="Q1207" s="1164"/>
      <c r="R1207" s="473"/>
      <c r="S1207" s="473"/>
      <c r="T1207" s="1164"/>
      <c r="U1207" s="1164"/>
      <c r="V1207" s="473"/>
      <c r="W1207" s="473"/>
      <c r="X1207" s="1164"/>
      <c r="Y1207" s="473"/>
      <c r="Z1207" s="473"/>
      <c r="AA1207" s="1164"/>
      <c r="AB1207" s="473"/>
      <c r="AC1207" s="1164"/>
      <c r="AD1207" s="473"/>
      <c r="AE1207" s="1164"/>
      <c r="AF1207" s="473"/>
      <c r="AG1207" s="1164"/>
      <c r="AH1207" s="473"/>
      <c r="AI1207" s="473"/>
      <c r="AJ1207" s="1164"/>
      <c r="AK1207" s="473"/>
      <c r="AL1207" s="473"/>
      <c r="AM1207" s="1164"/>
      <c r="AN1207" s="473"/>
      <c r="AO1207" s="473"/>
      <c r="AP1207" s="1164"/>
      <c r="AQ1207" s="473"/>
      <c r="AR1207" s="473"/>
      <c r="AS1207" s="1236"/>
      <c r="AT1207" s="473"/>
      <c r="AU1207" s="473"/>
      <c r="AV1207" s="1164"/>
      <c r="AW1207" s="1164"/>
      <c r="AX1207" s="1236"/>
      <c r="AY1207" s="473"/>
      <c r="AZ1207" s="1236"/>
      <c r="BA1207" s="473"/>
      <c r="BB1207" s="473"/>
      <c r="BC1207" s="1164"/>
      <c r="BD1207" s="20"/>
      <c r="BE1207" s="473"/>
      <c r="BF1207" s="610"/>
      <c r="BG1207" s="610"/>
      <c r="BH1207" s="610"/>
      <c r="BI1207" s="610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  <c r="EH1207" s="23"/>
      <c r="EI1207" s="23"/>
      <c r="EJ1207" s="23"/>
      <c r="EK1207" s="23"/>
      <c r="EL1207" s="23"/>
      <c r="EM1207" s="23"/>
      <c r="EN1207" s="23"/>
      <c r="EO1207" s="23"/>
      <c r="EP1207" s="23"/>
      <c r="EQ1207" s="23"/>
      <c r="ER1207" s="23"/>
    </row>
    <row r="1208" spans="1:148" s="22" customFormat="1" x14ac:dyDescent="0.25">
      <c r="A1208" s="20"/>
      <c r="B1208" s="16"/>
      <c r="C1208" s="473"/>
      <c r="D1208" s="473"/>
      <c r="E1208" s="1164"/>
      <c r="F1208" s="473"/>
      <c r="G1208" s="473"/>
      <c r="H1208" s="1164"/>
      <c r="I1208" s="473"/>
      <c r="J1208" s="473"/>
      <c r="K1208" s="1164"/>
      <c r="L1208" s="473"/>
      <c r="M1208" s="473"/>
      <c r="N1208" s="1164"/>
      <c r="O1208" s="473"/>
      <c r="P1208" s="473"/>
      <c r="Q1208" s="1164"/>
      <c r="R1208" s="473"/>
      <c r="S1208" s="473"/>
      <c r="T1208" s="1164"/>
      <c r="U1208" s="1164"/>
      <c r="V1208" s="473"/>
      <c r="W1208" s="473"/>
      <c r="X1208" s="1164"/>
      <c r="Y1208" s="473"/>
      <c r="Z1208" s="473"/>
      <c r="AA1208" s="1164"/>
      <c r="AB1208" s="473"/>
      <c r="AC1208" s="1164"/>
      <c r="AD1208" s="473"/>
      <c r="AE1208" s="1164"/>
      <c r="AF1208" s="473"/>
      <c r="AG1208" s="1164"/>
      <c r="AH1208" s="473"/>
      <c r="AI1208" s="473"/>
      <c r="AJ1208" s="1164"/>
      <c r="AK1208" s="473"/>
      <c r="AL1208" s="473"/>
      <c r="AM1208" s="1164"/>
      <c r="AN1208" s="473"/>
      <c r="AO1208" s="473"/>
      <c r="AP1208" s="1164"/>
      <c r="AQ1208" s="473"/>
      <c r="AR1208" s="473"/>
      <c r="AS1208" s="1236"/>
      <c r="AT1208" s="473"/>
      <c r="AU1208" s="473"/>
      <c r="AV1208" s="1164"/>
      <c r="AW1208" s="1164"/>
      <c r="AX1208" s="1236"/>
      <c r="AY1208" s="473"/>
      <c r="AZ1208" s="1236"/>
      <c r="BA1208" s="473"/>
      <c r="BB1208" s="473"/>
      <c r="BC1208" s="1164"/>
      <c r="BD1208" s="20"/>
      <c r="BE1208" s="473"/>
      <c r="BF1208" s="610"/>
      <c r="BG1208" s="610"/>
      <c r="BH1208" s="610"/>
      <c r="BI1208" s="610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  <c r="EH1208" s="23"/>
      <c r="EI1208" s="23"/>
      <c r="EJ1208" s="23"/>
      <c r="EK1208" s="23"/>
      <c r="EL1208" s="23"/>
      <c r="EM1208" s="23"/>
      <c r="EN1208" s="23"/>
      <c r="EO1208" s="23"/>
      <c r="EP1208" s="23"/>
      <c r="EQ1208" s="23"/>
      <c r="ER1208" s="23"/>
    </row>
    <row r="1209" spans="1:148" s="22" customFormat="1" x14ac:dyDescent="0.25">
      <c r="A1209" s="20"/>
      <c r="B1209" s="16"/>
      <c r="C1209" s="473"/>
      <c r="D1209" s="473"/>
      <c r="E1209" s="1164"/>
      <c r="F1209" s="473"/>
      <c r="G1209" s="473"/>
      <c r="H1209" s="1164"/>
      <c r="I1209" s="473"/>
      <c r="J1209" s="473"/>
      <c r="K1209" s="1164"/>
      <c r="L1209" s="473"/>
      <c r="M1209" s="473"/>
      <c r="N1209" s="1164"/>
      <c r="O1209" s="473"/>
      <c r="P1209" s="473"/>
      <c r="Q1209" s="1164"/>
      <c r="R1209" s="473"/>
      <c r="S1209" s="473"/>
      <c r="T1209" s="1164"/>
      <c r="U1209" s="1164"/>
      <c r="V1209" s="473"/>
      <c r="W1209" s="473"/>
      <c r="X1209" s="1164"/>
      <c r="Y1209" s="473"/>
      <c r="Z1209" s="473"/>
      <c r="AA1209" s="1164"/>
      <c r="AB1209" s="473"/>
      <c r="AC1209" s="1164"/>
      <c r="AD1209" s="473"/>
      <c r="AE1209" s="1164"/>
      <c r="AF1209" s="473"/>
      <c r="AG1209" s="1164"/>
      <c r="AH1209" s="473"/>
      <c r="AI1209" s="473"/>
      <c r="AJ1209" s="1164"/>
      <c r="AK1209" s="473"/>
      <c r="AL1209" s="473"/>
      <c r="AM1209" s="1164"/>
      <c r="AN1209" s="473"/>
      <c r="AO1209" s="473"/>
      <c r="AP1209" s="1164"/>
      <c r="AQ1209" s="473"/>
      <c r="AR1209" s="473"/>
      <c r="AS1209" s="1236"/>
      <c r="AT1209" s="473"/>
      <c r="AU1209" s="473"/>
      <c r="AV1209" s="1164"/>
      <c r="AW1209" s="1164"/>
      <c r="AX1209" s="1236"/>
      <c r="AY1209" s="473"/>
      <c r="AZ1209" s="1236"/>
      <c r="BA1209" s="473"/>
      <c r="BB1209" s="473"/>
      <c r="BC1209" s="1164"/>
      <c r="BD1209" s="20"/>
      <c r="BE1209" s="473"/>
      <c r="BF1209" s="610"/>
      <c r="BG1209" s="610"/>
      <c r="BH1209" s="610"/>
      <c r="BI1209" s="610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</row>
    <row r="1210" spans="1:148" s="22" customFormat="1" x14ac:dyDescent="0.25">
      <c r="A1210" s="20"/>
      <c r="B1210" s="16"/>
      <c r="C1210" s="473"/>
      <c r="D1210" s="473"/>
      <c r="E1210" s="1164"/>
      <c r="F1210" s="473"/>
      <c r="G1210" s="473"/>
      <c r="H1210" s="1164"/>
      <c r="I1210" s="473"/>
      <c r="J1210" s="473"/>
      <c r="K1210" s="1164"/>
      <c r="L1210" s="473"/>
      <c r="M1210" s="473"/>
      <c r="N1210" s="1164"/>
      <c r="O1210" s="473"/>
      <c r="P1210" s="473"/>
      <c r="Q1210" s="1164"/>
      <c r="R1210" s="473"/>
      <c r="S1210" s="473"/>
      <c r="T1210" s="1164"/>
      <c r="U1210" s="1164"/>
      <c r="V1210" s="473"/>
      <c r="W1210" s="473"/>
      <c r="X1210" s="1164"/>
      <c r="Y1210" s="473"/>
      <c r="Z1210" s="473"/>
      <c r="AA1210" s="1164"/>
      <c r="AB1210" s="473"/>
      <c r="AC1210" s="1164"/>
      <c r="AD1210" s="473"/>
      <c r="AE1210" s="1164"/>
      <c r="AF1210" s="473"/>
      <c r="AG1210" s="1164"/>
      <c r="AH1210" s="473"/>
      <c r="AI1210" s="473"/>
      <c r="AJ1210" s="1164"/>
      <c r="AK1210" s="473"/>
      <c r="AL1210" s="473"/>
      <c r="AM1210" s="1164"/>
      <c r="AN1210" s="473"/>
      <c r="AO1210" s="473"/>
      <c r="AP1210" s="1164"/>
      <c r="AQ1210" s="473"/>
      <c r="AR1210" s="473"/>
      <c r="AS1210" s="1236"/>
      <c r="AT1210" s="473"/>
      <c r="AU1210" s="473"/>
      <c r="AV1210" s="1164"/>
      <c r="AW1210" s="1164"/>
      <c r="AX1210" s="1236"/>
      <c r="AY1210" s="473"/>
      <c r="AZ1210" s="1236"/>
      <c r="BA1210" s="473"/>
      <c r="BB1210" s="473"/>
      <c r="BC1210" s="1164"/>
      <c r="BD1210" s="20"/>
      <c r="BE1210" s="473"/>
      <c r="BF1210" s="610"/>
      <c r="BG1210" s="610"/>
      <c r="BH1210" s="610"/>
      <c r="BI1210" s="610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</row>
    <row r="1211" spans="1:148" s="22" customFormat="1" x14ac:dyDescent="0.25">
      <c r="A1211" s="20"/>
      <c r="B1211" s="16"/>
      <c r="C1211" s="473"/>
      <c r="D1211" s="473"/>
      <c r="E1211" s="1164"/>
      <c r="F1211" s="473"/>
      <c r="G1211" s="473"/>
      <c r="H1211" s="1164"/>
      <c r="I1211" s="473"/>
      <c r="J1211" s="473"/>
      <c r="K1211" s="1164"/>
      <c r="L1211" s="473"/>
      <c r="M1211" s="473"/>
      <c r="N1211" s="1164"/>
      <c r="O1211" s="473"/>
      <c r="P1211" s="473"/>
      <c r="Q1211" s="1164"/>
      <c r="R1211" s="473"/>
      <c r="S1211" s="473"/>
      <c r="T1211" s="1164"/>
      <c r="U1211" s="1164"/>
      <c r="V1211" s="473"/>
      <c r="W1211" s="473"/>
      <c r="X1211" s="1164"/>
      <c r="Y1211" s="473"/>
      <c r="Z1211" s="473"/>
      <c r="AA1211" s="1164"/>
      <c r="AB1211" s="473"/>
      <c r="AC1211" s="1164"/>
      <c r="AD1211" s="473"/>
      <c r="AE1211" s="1164"/>
      <c r="AF1211" s="473"/>
      <c r="AG1211" s="1164"/>
      <c r="AH1211" s="473"/>
      <c r="AI1211" s="473"/>
      <c r="AJ1211" s="1164"/>
      <c r="AK1211" s="473"/>
      <c r="AL1211" s="473"/>
      <c r="AM1211" s="1164"/>
      <c r="AN1211" s="473"/>
      <c r="AO1211" s="473"/>
      <c r="AP1211" s="1164"/>
      <c r="AQ1211" s="473"/>
      <c r="AR1211" s="473"/>
      <c r="AS1211" s="1236"/>
      <c r="AT1211" s="473"/>
      <c r="AU1211" s="473"/>
      <c r="AV1211" s="1164"/>
      <c r="AW1211" s="1164"/>
      <c r="AX1211" s="1236"/>
      <c r="AY1211" s="473"/>
      <c r="AZ1211" s="1236"/>
      <c r="BA1211" s="473"/>
      <c r="BB1211" s="473"/>
      <c r="BC1211" s="1164"/>
      <c r="BD1211" s="20"/>
      <c r="BE1211" s="473"/>
      <c r="BF1211" s="610"/>
      <c r="BG1211" s="610"/>
      <c r="BH1211" s="610"/>
      <c r="BI1211" s="610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</row>
    <row r="1212" spans="1:148" s="22" customFormat="1" x14ac:dyDescent="0.25">
      <c r="A1212" s="20"/>
      <c r="B1212" s="16"/>
      <c r="C1212" s="473"/>
      <c r="D1212" s="473"/>
      <c r="E1212" s="1164"/>
      <c r="F1212" s="473"/>
      <c r="G1212" s="473"/>
      <c r="H1212" s="1164"/>
      <c r="I1212" s="473"/>
      <c r="J1212" s="473"/>
      <c r="K1212" s="1164"/>
      <c r="L1212" s="473"/>
      <c r="M1212" s="473"/>
      <c r="N1212" s="1164"/>
      <c r="O1212" s="473"/>
      <c r="P1212" s="473"/>
      <c r="Q1212" s="1164"/>
      <c r="R1212" s="473"/>
      <c r="S1212" s="473"/>
      <c r="T1212" s="1164"/>
      <c r="U1212" s="1164"/>
      <c r="V1212" s="473"/>
      <c r="W1212" s="473"/>
      <c r="X1212" s="1164"/>
      <c r="Y1212" s="473"/>
      <c r="Z1212" s="473"/>
      <c r="AA1212" s="1164"/>
      <c r="AB1212" s="473"/>
      <c r="AC1212" s="1164"/>
      <c r="AD1212" s="473"/>
      <c r="AE1212" s="1164"/>
      <c r="AF1212" s="473"/>
      <c r="AG1212" s="1164"/>
      <c r="AH1212" s="473"/>
      <c r="AI1212" s="473"/>
      <c r="AJ1212" s="1164"/>
      <c r="AK1212" s="473"/>
      <c r="AL1212" s="473"/>
      <c r="AM1212" s="1164"/>
      <c r="AN1212" s="473"/>
      <c r="AO1212" s="473"/>
      <c r="AP1212" s="1164"/>
      <c r="AQ1212" s="473"/>
      <c r="AR1212" s="473"/>
      <c r="AS1212" s="1236"/>
      <c r="AT1212" s="473"/>
      <c r="AU1212" s="473"/>
      <c r="AV1212" s="1164"/>
      <c r="AW1212" s="1164"/>
      <c r="AX1212" s="1236"/>
      <c r="AY1212" s="473"/>
      <c r="AZ1212" s="1236"/>
      <c r="BA1212" s="473"/>
      <c r="BB1212" s="473"/>
      <c r="BC1212" s="1164"/>
      <c r="BD1212" s="20"/>
      <c r="BE1212" s="473"/>
      <c r="BF1212" s="610"/>
      <c r="BG1212" s="610"/>
      <c r="BH1212" s="610"/>
      <c r="BI1212" s="610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</row>
    <row r="1213" spans="1:148" s="22" customFormat="1" x14ac:dyDescent="0.25">
      <c r="A1213" s="20"/>
      <c r="B1213" s="16"/>
      <c r="C1213" s="473"/>
      <c r="D1213" s="473"/>
      <c r="E1213" s="1164"/>
      <c r="F1213" s="473"/>
      <c r="G1213" s="473"/>
      <c r="H1213" s="1164"/>
      <c r="I1213" s="473"/>
      <c r="J1213" s="473"/>
      <c r="K1213" s="1164"/>
      <c r="L1213" s="473"/>
      <c r="M1213" s="473"/>
      <c r="N1213" s="1164"/>
      <c r="O1213" s="473"/>
      <c r="P1213" s="473"/>
      <c r="Q1213" s="1164"/>
      <c r="R1213" s="473"/>
      <c r="S1213" s="473"/>
      <c r="T1213" s="1164"/>
      <c r="U1213" s="1164"/>
      <c r="V1213" s="473"/>
      <c r="W1213" s="473"/>
      <c r="X1213" s="1164"/>
      <c r="Y1213" s="473"/>
      <c r="Z1213" s="473"/>
      <c r="AA1213" s="1164"/>
      <c r="AB1213" s="473"/>
      <c r="AC1213" s="1164"/>
      <c r="AD1213" s="473"/>
      <c r="AE1213" s="1164"/>
      <c r="AF1213" s="473"/>
      <c r="AG1213" s="1164"/>
      <c r="AH1213" s="473"/>
      <c r="AI1213" s="473"/>
      <c r="AJ1213" s="1164"/>
      <c r="AK1213" s="473"/>
      <c r="AL1213" s="473"/>
      <c r="AM1213" s="1164"/>
      <c r="AN1213" s="473"/>
      <c r="AO1213" s="473"/>
      <c r="AP1213" s="1164"/>
      <c r="AQ1213" s="473"/>
      <c r="AR1213" s="473"/>
      <c r="AS1213" s="1236"/>
      <c r="AT1213" s="473"/>
      <c r="AU1213" s="473"/>
      <c r="AV1213" s="1164"/>
      <c r="AW1213" s="1164"/>
      <c r="AX1213" s="1236"/>
      <c r="AY1213" s="473"/>
      <c r="AZ1213" s="1236"/>
      <c r="BA1213" s="473"/>
      <c r="BB1213" s="473"/>
      <c r="BC1213" s="1164"/>
      <c r="BD1213" s="20"/>
      <c r="BE1213" s="473"/>
      <c r="BF1213" s="610"/>
      <c r="BG1213" s="610"/>
      <c r="BH1213" s="610"/>
      <c r="BI1213" s="610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  <c r="EH1213" s="23"/>
      <c r="EI1213" s="23"/>
      <c r="EJ1213" s="23"/>
      <c r="EK1213" s="23"/>
      <c r="EL1213" s="23"/>
      <c r="EM1213" s="23"/>
      <c r="EN1213" s="23"/>
      <c r="EO1213" s="23"/>
      <c r="EP1213" s="23"/>
      <c r="EQ1213" s="23"/>
      <c r="ER1213" s="23"/>
    </row>
    <row r="1214" spans="1:148" s="22" customFormat="1" x14ac:dyDescent="0.25">
      <c r="A1214" s="20"/>
      <c r="B1214" s="16"/>
      <c r="C1214" s="473"/>
      <c r="D1214" s="473"/>
      <c r="E1214" s="1164"/>
      <c r="F1214" s="473"/>
      <c r="G1214" s="473"/>
      <c r="H1214" s="1164"/>
      <c r="I1214" s="473"/>
      <c r="J1214" s="473"/>
      <c r="K1214" s="1164"/>
      <c r="L1214" s="473"/>
      <c r="M1214" s="473"/>
      <c r="N1214" s="1164"/>
      <c r="O1214" s="473"/>
      <c r="P1214" s="473"/>
      <c r="Q1214" s="1164"/>
      <c r="R1214" s="473"/>
      <c r="S1214" s="473"/>
      <c r="T1214" s="1164"/>
      <c r="U1214" s="1164"/>
      <c r="V1214" s="473"/>
      <c r="W1214" s="473"/>
      <c r="X1214" s="1164"/>
      <c r="Y1214" s="473"/>
      <c r="Z1214" s="473"/>
      <c r="AA1214" s="1164"/>
      <c r="AB1214" s="473"/>
      <c r="AC1214" s="1164"/>
      <c r="AD1214" s="473"/>
      <c r="AE1214" s="1164"/>
      <c r="AF1214" s="473"/>
      <c r="AG1214" s="1164"/>
      <c r="AH1214" s="473"/>
      <c r="AI1214" s="473"/>
      <c r="AJ1214" s="1164"/>
      <c r="AK1214" s="473"/>
      <c r="AL1214" s="473"/>
      <c r="AM1214" s="1164"/>
      <c r="AN1214" s="473"/>
      <c r="AO1214" s="473"/>
      <c r="AP1214" s="1164"/>
      <c r="AQ1214" s="473"/>
      <c r="AR1214" s="473"/>
      <c r="AS1214" s="1236"/>
      <c r="AT1214" s="473"/>
      <c r="AU1214" s="473"/>
      <c r="AV1214" s="1164"/>
      <c r="AW1214" s="1164"/>
      <c r="AX1214" s="1236"/>
      <c r="AY1214" s="473"/>
      <c r="AZ1214" s="1236"/>
      <c r="BA1214" s="473"/>
      <c r="BB1214" s="473"/>
      <c r="BC1214" s="1164"/>
      <c r="BD1214" s="20"/>
      <c r="BE1214" s="473"/>
      <c r="BF1214" s="610"/>
      <c r="BG1214" s="610"/>
      <c r="BH1214" s="610"/>
      <c r="BI1214" s="610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  <c r="EF1214" s="23"/>
      <c r="EG1214" s="23"/>
      <c r="EH1214" s="23"/>
      <c r="EI1214" s="23"/>
      <c r="EJ1214" s="23"/>
      <c r="EK1214" s="23"/>
      <c r="EL1214" s="23"/>
      <c r="EM1214" s="23"/>
      <c r="EN1214" s="23"/>
      <c r="EO1214" s="23"/>
      <c r="EP1214" s="23"/>
      <c r="EQ1214" s="23"/>
      <c r="ER1214" s="23"/>
    </row>
    <row r="1215" spans="1:148" s="22" customFormat="1" x14ac:dyDescent="0.25">
      <c r="A1215" s="20"/>
      <c r="B1215" s="16"/>
      <c r="C1215" s="473"/>
      <c r="D1215" s="473"/>
      <c r="E1215" s="1164"/>
      <c r="F1215" s="473"/>
      <c r="G1215" s="473"/>
      <c r="H1215" s="1164"/>
      <c r="I1215" s="473"/>
      <c r="J1215" s="473"/>
      <c r="K1215" s="1164"/>
      <c r="L1215" s="473"/>
      <c r="M1215" s="473"/>
      <c r="N1215" s="1164"/>
      <c r="O1215" s="473"/>
      <c r="P1215" s="473"/>
      <c r="Q1215" s="1164"/>
      <c r="R1215" s="473"/>
      <c r="S1215" s="473"/>
      <c r="T1215" s="1164"/>
      <c r="U1215" s="1164"/>
      <c r="V1215" s="473"/>
      <c r="W1215" s="473"/>
      <c r="X1215" s="1164"/>
      <c r="Y1215" s="473"/>
      <c r="Z1215" s="473"/>
      <c r="AA1215" s="1164"/>
      <c r="AB1215" s="473"/>
      <c r="AC1215" s="1164"/>
      <c r="AD1215" s="473"/>
      <c r="AE1215" s="1164"/>
      <c r="AF1215" s="473"/>
      <c r="AG1215" s="1164"/>
      <c r="AH1215" s="473"/>
      <c r="AI1215" s="473"/>
      <c r="AJ1215" s="1164"/>
      <c r="AK1215" s="473"/>
      <c r="AL1215" s="473"/>
      <c r="AM1215" s="1164"/>
      <c r="AN1215" s="473"/>
      <c r="AO1215" s="473"/>
      <c r="AP1215" s="1164"/>
      <c r="AQ1215" s="473"/>
      <c r="AR1215" s="473"/>
      <c r="AS1215" s="1236"/>
      <c r="AT1215" s="473"/>
      <c r="AU1215" s="473"/>
      <c r="AV1215" s="1164"/>
      <c r="AW1215" s="1164"/>
      <c r="AX1215" s="1236"/>
      <c r="AY1215" s="473"/>
      <c r="AZ1215" s="1236"/>
      <c r="BA1215" s="473"/>
      <c r="BB1215" s="473"/>
      <c r="BC1215" s="1164"/>
      <c r="BD1215" s="20"/>
      <c r="BE1215" s="473"/>
      <c r="BF1215" s="610"/>
      <c r="BG1215" s="610"/>
      <c r="BH1215" s="610"/>
      <c r="BI1215" s="610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  <c r="EF1215" s="23"/>
      <c r="EG1215" s="23"/>
      <c r="EH1215" s="23"/>
      <c r="EI1215" s="23"/>
      <c r="EJ1215" s="23"/>
      <c r="EK1215" s="23"/>
      <c r="EL1215" s="23"/>
      <c r="EM1215" s="23"/>
      <c r="EN1215" s="23"/>
      <c r="EO1215" s="23"/>
      <c r="EP1215" s="23"/>
      <c r="EQ1215" s="23"/>
      <c r="ER1215" s="23"/>
    </row>
    <row r="1216" spans="1:148" s="22" customFormat="1" x14ac:dyDescent="0.25">
      <c r="A1216" s="20"/>
      <c r="B1216" s="16"/>
      <c r="C1216" s="473"/>
      <c r="D1216" s="473"/>
      <c r="E1216" s="1164"/>
      <c r="F1216" s="473"/>
      <c r="G1216" s="473"/>
      <c r="H1216" s="1164"/>
      <c r="I1216" s="473"/>
      <c r="J1216" s="473"/>
      <c r="K1216" s="1164"/>
      <c r="L1216" s="473"/>
      <c r="M1216" s="473"/>
      <c r="N1216" s="1164"/>
      <c r="O1216" s="473"/>
      <c r="P1216" s="473"/>
      <c r="Q1216" s="1164"/>
      <c r="R1216" s="473"/>
      <c r="S1216" s="473"/>
      <c r="T1216" s="1164"/>
      <c r="U1216" s="1164"/>
      <c r="V1216" s="473"/>
      <c r="W1216" s="473"/>
      <c r="X1216" s="1164"/>
      <c r="Y1216" s="473"/>
      <c r="Z1216" s="473"/>
      <c r="AA1216" s="1164"/>
      <c r="AB1216" s="473"/>
      <c r="AC1216" s="1164"/>
      <c r="AD1216" s="473"/>
      <c r="AE1216" s="1164"/>
      <c r="AF1216" s="473"/>
      <c r="AG1216" s="1164"/>
      <c r="AH1216" s="473"/>
      <c r="AI1216" s="473"/>
      <c r="AJ1216" s="1164"/>
      <c r="AK1216" s="473"/>
      <c r="AL1216" s="473"/>
      <c r="AM1216" s="1164"/>
      <c r="AN1216" s="473"/>
      <c r="AO1216" s="473"/>
      <c r="AP1216" s="1164"/>
      <c r="AQ1216" s="473"/>
      <c r="AR1216" s="473"/>
      <c r="AS1216" s="1236"/>
      <c r="AT1216" s="473"/>
      <c r="AU1216" s="473"/>
      <c r="AV1216" s="1164"/>
      <c r="AW1216" s="1164"/>
      <c r="AX1216" s="1236"/>
      <c r="AY1216" s="473"/>
      <c r="AZ1216" s="1236"/>
      <c r="BA1216" s="473"/>
      <c r="BB1216" s="473"/>
      <c r="BC1216" s="1164"/>
      <c r="BD1216" s="20"/>
      <c r="BE1216" s="473"/>
      <c r="BF1216" s="610"/>
      <c r="BG1216" s="610"/>
      <c r="BH1216" s="610"/>
      <c r="BI1216" s="610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  <c r="EH1216" s="23"/>
      <c r="EI1216" s="23"/>
      <c r="EJ1216" s="23"/>
      <c r="EK1216" s="23"/>
      <c r="EL1216" s="23"/>
      <c r="EM1216" s="23"/>
      <c r="EN1216" s="23"/>
      <c r="EO1216" s="23"/>
      <c r="EP1216" s="23"/>
      <c r="EQ1216" s="23"/>
      <c r="ER1216" s="23"/>
    </row>
    <row r="1217" spans="1:148" s="22" customFormat="1" x14ac:dyDescent="0.25">
      <c r="A1217" s="20"/>
      <c r="B1217" s="16"/>
      <c r="C1217" s="473"/>
      <c r="D1217" s="473"/>
      <c r="E1217" s="1164"/>
      <c r="F1217" s="473"/>
      <c r="G1217" s="473"/>
      <c r="H1217" s="1164"/>
      <c r="I1217" s="473"/>
      <c r="J1217" s="473"/>
      <c r="K1217" s="1164"/>
      <c r="L1217" s="473"/>
      <c r="M1217" s="473"/>
      <c r="N1217" s="1164"/>
      <c r="O1217" s="473"/>
      <c r="P1217" s="473"/>
      <c r="Q1217" s="1164"/>
      <c r="R1217" s="473"/>
      <c r="S1217" s="473"/>
      <c r="T1217" s="1164"/>
      <c r="U1217" s="1164"/>
      <c r="V1217" s="473"/>
      <c r="W1217" s="473"/>
      <c r="X1217" s="1164"/>
      <c r="Y1217" s="473"/>
      <c r="Z1217" s="473"/>
      <c r="AA1217" s="1164"/>
      <c r="AB1217" s="473"/>
      <c r="AC1217" s="1164"/>
      <c r="AD1217" s="473"/>
      <c r="AE1217" s="1164"/>
      <c r="AF1217" s="473"/>
      <c r="AG1217" s="1164"/>
      <c r="AH1217" s="473"/>
      <c r="AI1217" s="473"/>
      <c r="AJ1217" s="1164"/>
      <c r="AK1217" s="473"/>
      <c r="AL1217" s="473"/>
      <c r="AM1217" s="1164"/>
      <c r="AN1217" s="473"/>
      <c r="AO1217" s="473"/>
      <c r="AP1217" s="1164"/>
      <c r="AQ1217" s="473"/>
      <c r="AR1217" s="473"/>
      <c r="AS1217" s="1236"/>
      <c r="AT1217" s="473"/>
      <c r="AU1217" s="473"/>
      <c r="AV1217" s="1164"/>
      <c r="AW1217" s="1164"/>
      <c r="AX1217" s="1236"/>
      <c r="AY1217" s="473"/>
      <c r="AZ1217" s="1236"/>
      <c r="BA1217" s="473"/>
      <c r="BB1217" s="473"/>
      <c r="BC1217" s="1164"/>
      <c r="BD1217" s="20"/>
      <c r="BE1217" s="473"/>
      <c r="BF1217" s="610"/>
      <c r="BG1217" s="610"/>
      <c r="BH1217" s="610"/>
      <c r="BI1217" s="610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  <c r="EF1217" s="23"/>
      <c r="EG1217" s="23"/>
      <c r="EH1217" s="23"/>
      <c r="EI1217" s="23"/>
      <c r="EJ1217" s="23"/>
      <c r="EK1217" s="23"/>
      <c r="EL1217" s="23"/>
      <c r="EM1217" s="23"/>
      <c r="EN1217" s="23"/>
      <c r="EO1217" s="23"/>
      <c r="EP1217" s="23"/>
      <c r="EQ1217" s="23"/>
      <c r="ER1217" s="23"/>
    </row>
    <row r="1218" spans="1:148" s="22" customFormat="1" x14ac:dyDescent="0.25">
      <c r="A1218" s="20"/>
      <c r="B1218" s="16"/>
      <c r="C1218" s="473"/>
      <c r="D1218" s="473"/>
      <c r="E1218" s="1164"/>
      <c r="F1218" s="473"/>
      <c r="G1218" s="473"/>
      <c r="H1218" s="1164"/>
      <c r="I1218" s="473"/>
      <c r="J1218" s="473"/>
      <c r="K1218" s="1164"/>
      <c r="L1218" s="473"/>
      <c r="M1218" s="473"/>
      <c r="N1218" s="1164"/>
      <c r="O1218" s="473"/>
      <c r="P1218" s="473"/>
      <c r="Q1218" s="1164"/>
      <c r="R1218" s="473"/>
      <c r="S1218" s="473"/>
      <c r="T1218" s="1164"/>
      <c r="U1218" s="1164"/>
      <c r="V1218" s="473"/>
      <c r="W1218" s="473"/>
      <c r="X1218" s="1164"/>
      <c r="Y1218" s="473"/>
      <c r="Z1218" s="473"/>
      <c r="AA1218" s="1164"/>
      <c r="AB1218" s="473"/>
      <c r="AC1218" s="1164"/>
      <c r="AD1218" s="473"/>
      <c r="AE1218" s="1164"/>
      <c r="AF1218" s="473"/>
      <c r="AG1218" s="1164"/>
      <c r="AH1218" s="473"/>
      <c r="AI1218" s="473"/>
      <c r="AJ1218" s="1164"/>
      <c r="AK1218" s="473"/>
      <c r="AL1218" s="473"/>
      <c r="AM1218" s="1164"/>
      <c r="AN1218" s="473"/>
      <c r="AO1218" s="473"/>
      <c r="AP1218" s="1164"/>
      <c r="AQ1218" s="473"/>
      <c r="AR1218" s="473"/>
      <c r="AS1218" s="1236"/>
      <c r="AT1218" s="473"/>
      <c r="AU1218" s="473"/>
      <c r="AV1218" s="1164"/>
      <c r="AW1218" s="1164"/>
      <c r="AX1218" s="1236"/>
      <c r="AY1218" s="473"/>
      <c r="AZ1218" s="1236"/>
      <c r="BA1218" s="473"/>
      <c r="BB1218" s="473"/>
      <c r="BC1218" s="1164"/>
      <c r="BD1218" s="20"/>
      <c r="BE1218" s="473"/>
      <c r="BF1218" s="610"/>
      <c r="BG1218" s="610"/>
      <c r="BH1218" s="610"/>
      <c r="BI1218" s="610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  <c r="EF1218" s="23"/>
      <c r="EG1218" s="23"/>
      <c r="EH1218" s="23"/>
      <c r="EI1218" s="23"/>
      <c r="EJ1218" s="23"/>
      <c r="EK1218" s="23"/>
      <c r="EL1218" s="23"/>
      <c r="EM1218" s="23"/>
      <c r="EN1218" s="23"/>
      <c r="EO1218" s="23"/>
      <c r="EP1218" s="23"/>
      <c r="EQ1218" s="23"/>
      <c r="ER1218" s="23"/>
    </row>
    <row r="1219" spans="1:148" s="22" customFormat="1" x14ac:dyDescent="0.25">
      <c r="A1219" s="20"/>
      <c r="B1219" s="16"/>
      <c r="C1219" s="473"/>
      <c r="D1219" s="473"/>
      <c r="E1219" s="1164"/>
      <c r="F1219" s="473"/>
      <c r="G1219" s="473"/>
      <c r="H1219" s="1164"/>
      <c r="I1219" s="473"/>
      <c r="J1219" s="473"/>
      <c r="K1219" s="1164"/>
      <c r="L1219" s="473"/>
      <c r="M1219" s="473"/>
      <c r="N1219" s="1164"/>
      <c r="O1219" s="473"/>
      <c r="P1219" s="473"/>
      <c r="Q1219" s="1164"/>
      <c r="R1219" s="473"/>
      <c r="S1219" s="473"/>
      <c r="T1219" s="1164"/>
      <c r="U1219" s="1164"/>
      <c r="V1219" s="473"/>
      <c r="W1219" s="473"/>
      <c r="X1219" s="1164"/>
      <c r="Y1219" s="473"/>
      <c r="Z1219" s="473"/>
      <c r="AA1219" s="1164"/>
      <c r="AB1219" s="473"/>
      <c r="AC1219" s="1164"/>
      <c r="AD1219" s="473"/>
      <c r="AE1219" s="1164"/>
      <c r="AF1219" s="473"/>
      <c r="AG1219" s="1164"/>
      <c r="AH1219" s="473"/>
      <c r="AI1219" s="473"/>
      <c r="AJ1219" s="1164"/>
      <c r="AK1219" s="473"/>
      <c r="AL1219" s="473"/>
      <c r="AM1219" s="1164"/>
      <c r="AN1219" s="473"/>
      <c r="AO1219" s="473"/>
      <c r="AP1219" s="1164"/>
      <c r="AQ1219" s="473"/>
      <c r="AR1219" s="473"/>
      <c r="AS1219" s="1236"/>
      <c r="AT1219" s="473"/>
      <c r="AU1219" s="473"/>
      <c r="AV1219" s="1164"/>
      <c r="AW1219" s="1164"/>
      <c r="AX1219" s="1236"/>
      <c r="AY1219" s="473"/>
      <c r="AZ1219" s="1236"/>
      <c r="BA1219" s="473"/>
      <c r="BB1219" s="473"/>
      <c r="BC1219" s="1164"/>
      <c r="BD1219" s="20"/>
      <c r="BE1219" s="473"/>
      <c r="BF1219" s="610"/>
      <c r="BG1219" s="610"/>
      <c r="BH1219" s="610"/>
      <c r="BI1219" s="610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  <c r="EF1219" s="23"/>
      <c r="EG1219" s="23"/>
      <c r="EH1219" s="23"/>
      <c r="EI1219" s="23"/>
      <c r="EJ1219" s="23"/>
      <c r="EK1219" s="23"/>
      <c r="EL1219" s="23"/>
      <c r="EM1219" s="23"/>
      <c r="EN1219" s="23"/>
      <c r="EO1219" s="23"/>
      <c r="EP1219" s="23"/>
      <c r="EQ1219" s="23"/>
      <c r="ER1219" s="23"/>
    </row>
    <row r="1220" spans="1:148" s="22" customFormat="1" x14ac:dyDescent="0.25">
      <c r="A1220" s="20"/>
      <c r="B1220" s="16"/>
      <c r="C1220" s="473"/>
      <c r="D1220" s="473"/>
      <c r="E1220" s="1164"/>
      <c r="F1220" s="473"/>
      <c r="G1220" s="473"/>
      <c r="H1220" s="1164"/>
      <c r="I1220" s="473"/>
      <c r="J1220" s="473"/>
      <c r="K1220" s="1164"/>
      <c r="L1220" s="473"/>
      <c r="M1220" s="473"/>
      <c r="N1220" s="1164"/>
      <c r="O1220" s="473"/>
      <c r="P1220" s="473"/>
      <c r="Q1220" s="1164"/>
      <c r="R1220" s="473"/>
      <c r="S1220" s="473"/>
      <c r="T1220" s="1164"/>
      <c r="U1220" s="1164"/>
      <c r="V1220" s="473"/>
      <c r="W1220" s="473"/>
      <c r="X1220" s="1164"/>
      <c r="Y1220" s="473"/>
      <c r="Z1220" s="473"/>
      <c r="AA1220" s="1164"/>
      <c r="AB1220" s="473"/>
      <c r="AC1220" s="1164"/>
      <c r="AD1220" s="473"/>
      <c r="AE1220" s="1164"/>
      <c r="AF1220" s="473"/>
      <c r="AG1220" s="1164"/>
      <c r="AH1220" s="473"/>
      <c r="AI1220" s="473"/>
      <c r="AJ1220" s="1164"/>
      <c r="AK1220" s="473"/>
      <c r="AL1220" s="473"/>
      <c r="AM1220" s="1164"/>
      <c r="AN1220" s="473"/>
      <c r="AO1220" s="473"/>
      <c r="AP1220" s="1164"/>
      <c r="AQ1220" s="473"/>
      <c r="AR1220" s="473"/>
      <c r="AS1220" s="1236"/>
      <c r="AT1220" s="473"/>
      <c r="AU1220" s="473"/>
      <c r="AV1220" s="1164"/>
      <c r="AW1220" s="1164"/>
      <c r="AX1220" s="1236"/>
      <c r="AY1220" s="473"/>
      <c r="AZ1220" s="1236"/>
      <c r="BA1220" s="473"/>
      <c r="BB1220" s="473"/>
      <c r="BC1220" s="1164"/>
      <c r="BD1220" s="20"/>
      <c r="BE1220" s="473"/>
      <c r="BF1220" s="610"/>
      <c r="BG1220" s="610"/>
      <c r="BH1220" s="610"/>
      <c r="BI1220" s="610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  <c r="EF1220" s="23"/>
      <c r="EG1220" s="23"/>
      <c r="EH1220" s="23"/>
      <c r="EI1220" s="23"/>
      <c r="EJ1220" s="23"/>
      <c r="EK1220" s="23"/>
      <c r="EL1220" s="23"/>
      <c r="EM1220" s="23"/>
      <c r="EN1220" s="23"/>
      <c r="EO1220" s="23"/>
      <c r="EP1220" s="23"/>
      <c r="EQ1220" s="23"/>
      <c r="ER1220" s="23"/>
    </row>
    <row r="1221" spans="1:148" s="22" customFormat="1" x14ac:dyDescent="0.25">
      <c r="A1221" s="20"/>
      <c r="B1221" s="16"/>
      <c r="C1221" s="473"/>
      <c r="D1221" s="473"/>
      <c r="E1221" s="1164"/>
      <c r="F1221" s="473"/>
      <c r="G1221" s="473"/>
      <c r="H1221" s="1164"/>
      <c r="I1221" s="473"/>
      <c r="J1221" s="473"/>
      <c r="K1221" s="1164"/>
      <c r="L1221" s="473"/>
      <c r="M1221" s="473"/>
      <c r="N1221" s="1164"/>
      <c r="O1221" s="473"/>
      <c r="P1221" s="473"/>
      <c r="Q1221" s="1164"/>
      <c r="R1221" s="473"/>
      <c r="S1221" s="473"/>
      <c r="T1221" s="1164"/>
      <c r="U1221" s="1164"/>
      <c r="V1221" s="473"/>
      <c r="W1221" s="473"/>
      <c r="X1221" s="1164"/>
      <c r="Y1221" s="473"/>
      <c r="Z1221" s="473"/>
      <c r="AA1221" s="1164"/>
      <c r="AB1221" s="473"/>
      <c r="AC1221" s="1164"/>
      <c r="AD1221" s="473"/>
      <c r="AE1221" s="1164"/>
      <c r="AF1221" s="473"/>
      <c r="AG1221" s="1164"/>
      <c r="AH1221" s="473"/>
      <c r="AI1221" s="473"/>
      <c r="AJ1221" s="1164"/>
      <c r="AK1221" s="473"/>
      <c r="AL1221" s="473"/>
      <c r="AM1221" s="1164"/>
      <c r="AN1221" s="473"/>
      <c r="AO1221" s="473"/>
      <c r="AP1221" s="1164"/>
      <c r="AQ1221" s="473"/>
      <c r="AR1221" s="473"/>
      <c r="AS1221" s="1236"/>
      <c r="AT1221" s="473"/>
      <c r="AU1221" s="473"/>
      <c r="AV1221" s="1164"/>
      <c r="AW1221" s="1164"/>
      <c r="AX1221" s="1236"/>
      <c r="AY1221" s="473"/>
      <c r="AZ1221" s="1236"/>
      <c r="BA1221" s="473"/>
      <c r="BB1221" s="473"/>
      <c r="BC1221" s="1164"/>
      <c r="BD1221" s="20"/>
      <c r="BE1221" s="473"/>
      <c r="BF1221" s="610"/>
      <c r="BG1221" s="610"/>
      <c r="BH1221" s="610"/>
      <c r="BI1221" s="610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  <c r="EF1221" s="23"/>
      <c r="EG1221" s="23"/>
      <c r="EH1221" s="23"/>
      <c r="EI1221" s="23"/>
      <c r="EJ1221" s="23"/>
      <c r="EK1221" s="23"/>
      <c r="EL1221" s="23"/>
      <c r="EM1221" s="23"/>
      <c r="EN1221" s="23"/>
      <c r="EO1221" s="23"/>
      <c r="EP1221" s="23"/>
      <c r="EQ1221" s="23"/>
      <c r="ER1221" s="23"/>
    </row>
    <row r="1222" spans="1:148" s="22" customFormat="1" x14ac:dyDescent="0.25">
      <c r="A1222" s="20"/>
      <c r="B1222" s="16"/>
      <c r="C1222" s="473"/>
      <c r="D1222" s="473"/>
      <c r="E1222" s="1164"/>
      <c r="F1222" s="473"/>
      <c r="G1222" s="473"/>
      <c r="H1222" s="1164"/>
      <c r="I1222" s="473"/>
      <c r="J1222" s="473"/>
      <c r="K1222" s="1164"/>
      <c r="L1222" s="473"/>
      <c r="M1222" s="473"/>
      <c r="N1222" s="1164"/>
      <c r="O1222" s="473"/>
      <c r="P1222" s="473"/>
      <c r="Q1222" s="1164"/>
      <c r="R1222" s="473"/>
      <c r="S1222" s="473"/>
      <c r="T1222" s="1164"/>
      <c r="U1222" s="1164"/>
      <c r="V1222" s="473"/>
      <c r="W1222" s="473"/>
      <c r="X1222" s="1164"/>
      <c r="Y1222" s="473"/>
      <c r="Z1222" s="473"/>
      <c r="AA1222" s="1164"/>
      <c r="AB1222" s="473"/>
      <c r="AC1222" s="1164"/>
      <c r="AD1222" s="473"/>
      <c r="AE1222" s="1164"/>
      <c r="AF1222" s="473"/>
      <c r="AG1222" s="1164"/>
      <c r="AH1222" s="473"/>
      <c r="AI1222" s="473"/>
      <c r="AJ1222" s="1164"/>
      <c r="AK1222" s="473"/>
      <c r="AL1222" s="473"/>
      <c r="AM1222" s="1164"/>
      <c r="AN1222" s="473"/>
      <c r="AO1222" s="473"/>
      <c r="AP1222" s="1164"/>
      <c r="AQ1222" s="473"/>
      <c r="AR1222" s="473"/>
      <c r="AS1222" s="1236"/>
      <c r="AT1222" s="473"/>
      <c r="AU1222" s="473"/>
      <c r="AV1222" s="1164"/>
      <c r="AW1222" s="1164"/>
      <c r="AX1222" s="1236"/>
      <c r="AY1222" s="473"/>
      <c r="AZ1222" s="1236"/>
      <c r="BA1222" s="473"/>
      <c r="BB1222" s="473"/>
      <c r="BC1222" s="1164"/>
      <c r="BD1222" s="20"/>
      <c r="BE1222" s="473"/>
      <c r="BF1222" s="610"/>
      <c r="BG1222" s="610"/>
      <c r="BH1222" s="610"/>
      <c r="BI1222" s="610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  <c r="EF1222" s="23"/>
      <c r="EG1222" s="23"/>
      <c r="EH1222" s="23"/>
      <c r="EI1222" s="23"/>
      <c r="EJ1222" s="23"/>
      <c r="EK1222" s="23"/>
      <c r="EL1222" s="23"/>
      <c r="EM1222" s="23"/>
      <c r="EN1222" s="23"/>
      <c r="EO1222" s="23"/>
      <c r="EP1222" s="23"/>
      <c r="EQ1222" s="23"/>
      <c r="ER1222" s="23"/>
    </row>
    <row r="1223" spans="1:148" s="22" customFormat="1" x14ac:dyDescent="0.25">
      <c r="A1223" s="20"/>
      <c r="B1223" s="16"/>
      <c r="C1223" s="473"/>
      <c r="D1223" s="473"/>
      <c r="E1223" s="1164"/>
      <c r="F1223" s="473"/>
      <c r="G1223" s="473"/>
      <c r="H1223" s="1164"/>
      <c r="I1223" s="473"/>
      <c r="J1223" s="473"/>
      <c r="K1223" s="1164"/>
      <c r="L1223" s="473"/>
      <c r="M1223" s="473"/>
      <c r="N1223" s="1164"/>
      <c r="O1223" s="473"/>
      <c r="P1223" s="473"/>
      <c r="Q1223" s="1164"/>
      <c r="R1223" s="473"/>
      <c r="S1223" s="473"/>
      <c r="T1223" s="1164"/>
      <c r="U1223" s="1164"/>
      <c r="V1223" s="473"/>
      <c r="W1223" s="473"/>
      <c r="X1223" s="1164"/>
      <c r="Y1223" s="473"/>
      <c r="Z1223" s="473"/>
      <c r="AA1223" s="1164"/>
      <c r="AB1223" s="473"/>
      <c r="AC1223" s="1164"/>
      <c r="AD1223" s="473"/>
      <c r="AE1223" s="1164"/>
      <c r="AF1223" s="473"/>
      <c r="AG1223" s="1164"/>
      <c r="AH1223" s="473"/>
      <c r="AI1223" s="473"/>
      <c r="AJ1223" s="1164"/>
      <c r="AK1223" s="473"/>
      <c r="AL1223" s="473"/>
      <c r="AM1223" s="1164"/>
      <c r="AN1223" s="473"/>
      <c r="AO1223" s="473"/>
      <c r="AP1223" s="1164"/>
      <c r="AQ1223" s="473"/>
      <c r="AR1223" s="473"/>
      <c r="AS1223" s="1236"/>
      <c r="AT1223" s="473"/>
      <c r="AU1223" s="473"/>
      <c r="AV1223" s="1164"/>
      <c r="AW1223" s="1164"/>
      <c r="AX1223" s="1236"/>
      <c r="AY1223" s="473"/>
      <c r="AZ1223" s="1236"/>
      <c r="BA1223" s="473"/>
      <c r="BB1223" s="473"/>
      <c r="BC1223" s="1164"/>
      <c r="BD1223" s="20"/>
      <c r="BE1223" s="473"/>
      <c r="BF1223" s="610"/>
      <c r="BG1223" s="610"/>
      <c r="BH1223" s="610"/>
      <c r="BI1223" s="610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  <c r="CM1223" s="23"/>
      <c r="CN1223" s="23"/>
      <c r="CO1223" s="23"/>
      <c r="CP1223" s="23"/>
      <c r="CQ1223" s="23"/>
      <c r="CR1223" s="23"/>
      <c r="CS1223" s="23"/>
      <c r="CT1223" s="23"/>
      <c r="CU1223" s="23"/>
      <c r="CV1223" s="23"/>
      <c r="CW1223" s="23"/>
      <c r="CX1223" s="23"/>
      <c r="CY1223" s="23"/>
      <c r="CZ1223" s="23"/>
      <c r="DA1223" s="23"/>
      <c r="DB1223" s="23"/>
      <c r="DC1223" s="23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  <c r="DZ1223" s="23"/>
      <c r="EA1223" s="23"/>
      <c r="EB1223" s="23"/>
      <c r="EC1223" s="23"/>
      <c r="ED1223" s="23"/>
      <c r="EE1223" s="23"/>
      <c r="EF1223" s="23"/>
      <c r="EG1223" s="23"/>
      <c r="EH1223" s="23"/>
      <c r="EI1223" s="23"/>
      <c r="EJ1223" s="23"/>
      <c r="EK1223" s="23"/>
      <c r="EL1223" s="23"/>
      <c r="EM1223" s="23"/>
      <c r="EN1223" s="23"/>
      <c r="EO1223" s="23"/>
      <c r="EP1223" s="23"/>
      <c r="EQ1223" s="23"/>
      <c r="ER1223" s="23"/>
    </row>
    <row r="1224" spans="1:148" s="22" customFormat="1" x14ac:dyDescent="0.25">
      <c r="A1224" s="20"/>
      <c r="B1224" s="16"/>
      <c r="C1224" s="473"/>
      <c r="D1224" s="473"/>
      <c r="E1224" s="1164"/>
      <c r="F1224" s="473"/>
      <c r="G1224" s="473"/>
      <c r="H1224" s="1164"/>
      <c r="I1224" s="473"/>
      <c r="J1224" s="473"/>
      <c r="K1224" s="1164"/>
      <c r="L1224" s="473"/>
      <c r="M1224" s="473"/>
      <c r="N1224" s="1164"/>
      <c r="O1224" s="473"/>
      <c r="P1224" s="473"/>
      <c r="Q1224" s="1164"/>
      <c r="R1224" s="473"/>
      <c r="S1224" s="473"/>
      <c r="T1224" s="1164"/>
      <c r="U1224" s="1164"/>
      <c r="V1224" s="473"/>
      <c r="W1224" s="473"/>
      <c r="X1224" s="1164"/>
      <c r="Y1224" s="473"/>
      <c r="Z1224" s="473"/>
      <c r="AA1224" s="1164"/>
      <c r="AB1224" s="473"/>
      <c r="AC1224" s="1164"/>
      <c r="AD1224" s="473"/>
      <c r="AE1224" s="1164"/>
      <c r="AF1224" s="473"/>
      <c r="AG1224" s="1164"/>
      <c r="AH1224" s="473"/>
      <c r="AI1224" s="473"/>
      <c r="AJ1224" s="1164"/>
      <c r="AK1224" s="473"/>
      <c r="AL1224" s="473"/>
      <c r="AM1224" s="1164"/>
      <c r="AN1224" s="473"/>
      <c r="AO1224" s="473"/>
      <c r="AP1224" s="1164"/>
      <c r="AQ1224" s="473"/>
      <c r="AR1224" s="473"/>
      <c r="AS1224" s="1236"/>
      <c r="AT1224" s="473"/>
      <c r="AU1224" s="473"/>
      <c r="AV1224" s="1164"/>
      <c r="AW1224" s="1164"/>
      <c r="AX1224" s="1236"/>
      <c r="AY1224" s="473"/>
      <c r="AZ1224" s="1236"/>
      <c r="BA1224" s="473"/>
      <c r="BB1224" s="473"/>
      <c r="BC1224" s="1164"/>
      <c r="BD1224" s="20"/>
      <c r="BE1224" s="473"/>
      <c r="BF1224" s="610"/>
      <c r="BG1224" s="610"/>
      <c r="BH1224" s="610"/>
      <c r="BI1224" s="610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  <c r="CM1224" s="23"/>
      <c r="CN1224" s="23"/>
      <c r="CO1224" s="23"/>
      <c r="CP1224" s="23"/>
      <c r="CQ1224" s="23"/>
      <c r="CR1224" s="23"/>
      <c r="CS1224" s="23"/>
      <c r="CT1224" s="23"/>
      <c r="CU1224" s="23"/>
      <c r="CV1224" s="23"/>
      <c r="CW1224" s="23"/>
      <c r="CX1224" s="23"/>
      <c r="CY1224" s="23"/>
      <c r="CZ1224" s="23"/>
      <c r="DA1224" s="23"/>
      <c r="DB1224" s="23"/>
      <c r="DC1224" s="23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  <c r="DZ1224" s="23"/>
      <c r="EA1224" s="23"/>
      <c r="EB1224" s="23"/>
      <c r="EC1224" s="23"/>
      <c r="ED1224" s="23"/>
      <c r="EE1224" s="23"/>
      <c r="EF1224" s="23"/>
      <c r="EG1224" s="23"/>
      <c r="EH1224" s="23"/>
      <c r="EI1224" s="23"/>
      <c r="EJ1224" s="23"/>
      <c r="EK1224" s="23"/>
      <c r="EL1224" s="23"/>
      <c r="EM1224" s="23"/>
      <c r="EN1224" s="23"/>
      <c r="EO1224" s="23"/>
      <c r="EP1224" s="23"/>
      <c r="EQ1224" s="23"/>
      <c r="ER1224" s="23"/>
    </row>
    <row r="1225" spans="1:148" s="22" customFormat="1" x14ac:dyDescent="0.25">
      <c r="A1225" s="20"/>
      <c r="B1225" s="16"/>
      <c r="C1225" s="473"/>
      <c r="D1225" s="473"/>
      <c r="E1225" s="1164"/>
      <c r="F1225" s="473"/>
      <c r="G1225" s="473"/>
      <c r="H1225" s="1164"/>
      <c r="I1225" s="473"/>
      <c r="J1225" s="473"/>
      <c r="K1225" s="1164"/>
      <c r="L1225" s="473"/>
      <c r="M1225" s="473"/>
      <c r="N1225" s="1164"/>
      <c r="O1225" s="473"/>
      <c r="P1225" s="473"/>
      <c r="Q1225" s="1164"/>
      <c r="R1225" s="473"/>
      <c r="S1225" s="473"/>
      <c r="T1225" s="1164"/>
      <c r="U1225" s="1164"/>
      <c r="V1225" s="473"/>
      <c r="W1225" s="473"/>
      <c r="X1225" s="1164"/>
      <c r="Y1225" s="473"/>
      <c r="Z1225" s="473"/>
      <c r="AA1225" s="1164"/>
      <c r="AB1225" s="473"/>
      <c r="AC1225" s="1164"/>
      <c r="AD1225" s="473"/>
      <c r="AE1225" s="1164"/>
      <c r="AF1225" s="473"/>
      <c r="AG1225" s="1164"/>
      <c r="AH1225" s="473"/>
      <c r="AI1225" s="473"/>
      <c r="AJ1225" s="1164"/>
      <c r="AK1225" s="473"/>
      <c r="AL1225" s="473"/>
      <c r="AM1225" s="1164"/>
      <c r="AN1225" s="473"/>
      <c r="AO1225" s="473"/>
      <c r="AP1225" s="1164"/>
      <c r="AQ1225" s="473"/>
      <c r="AR1225" s="473"/>
      <c r="AS1225" s="1236"/>
      <c r="AT1225" s="473"/>
      <c r="AU1225" s="473"/>
      <c r="AV1225" s="1164"/>
      <c r="AW1225" s="1164"/>
      <c r="AX1225" s="1236"/>
      <c r="AY1225" s="473"/>
      <c r="AZ1225" s="1236"/>
      <c r="BA1225" s="473"/>
      <c r="BB1225" s="473"/>
      <c r="BC1225" s="1164"/>
      <c r="BD1225" s="20"/>
      <c r="BE1225" s="473"/>
      <c r="BF1225" s="610"/>
      <c r="BG1225" s="610"/>
      <c r="BH1225" s="610"/>
      <c r="BI1225" s="610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  <c r="EF1225" s="23"/>
      <c r="EG1225" s="23"/>
      <c r="EH1225" s="23"/>
      <c r="EI1225" s="23"/>
      <c r="EJ1225" s="23"/>
      <c r="EK1225" s="23"/>
      <c r="EL1225" s="23"/>
      <c r="EM1225" s="23"/>
      <c r="EN1225" s="23"/>
      <c r="EO1225" s="23"/>
      <c r="EP1225" s="23"/>
      <c r="EQ1225" s="23"/>
      <c r="ER1225" s="23"/>
    </row>
    <row r="1226" spans="1:148" s="22" customFormat="1" x14ac:dyDescent="0.25">
      <c r="A1226" s="20"/>
      <c r="B1226" s="16"/>
      <c r="C1226" s="473"/>
      <c r="D1226" s="473"/>
      <c r="E1226" s="1164"/>
      <c r="F1226" s="473"/>
      <c r="G1226" s="473"/>
      <c r="H1226" s="1164"/>
      <c r="I1226" s="473"/>
      <c r="J1226" s="473"/>
      <c r="K1226" s="1164"/>
      <c r="L1226" s="473"/>
      <c r="M1226" s="473"/>
      <c r="N1226" s="1164"/>
      <c r="O1226" s="473"/>
      <c r="P1226" s="473"/>
      <c r="Q1226" s="1164"/>
      <c r="R1226" s="473"/>
      <c r="S1226" s="473"/>
      <c r="T1226" s="1164"/>
      <c r="U1226" s="1164"/>
      <c r="V1226" s="473"/>
      <c r="W1226" s="473"/>
      <c r="X1226" s="1164"/>
      <c r="Y1226" s="473"/>
      <c r="Z1226" s="473"/>
      <c r="AA1226" s="1164"/>
      <c r="AB1226" s="473"/>
      <c r="AC1226" s="1164"/>
      <c r="AD1226" s="473"/>
      <c r="AE1226" s="1164"/>
      <c r="AF1226" s="473"/>
      <c r="AG1226" s="1164"/>
      <c r="AH1226" s="473"/>
      <c r="AI1226" s="473"/>
      <c r="AJ1226" s="1164"/>
      <c r="AK1226" s="473"/>
      <c r="AL1226" s="473"/>
      <c r="AM1226" s="1164"/>
      <c r="AN1226" s="473"/>
      <c r="AO1226" s="473"/>
      <c r="AP1226" s="1164"/>
      <c r="AQ1226" s="473"/>
      <c r="AR1226" s="473"/>
      <c r="AS1226" s="1236"/>
      <c r="AT1226" s="473"/>
      <c r="AU1226" s="473"/>
      <c r="AV1226" s="1164"/>
      <c r="AW1226" s="1164"/>
      <c r="AX1226" s="1236"/>
      <c r="AY1226" s="473"/>
      <c r="AZ1226" s="1236"/>
      <c r="BA1226" s="473"/>
      <c r="BB1226" s="473"/>
      <c r="BC1226" s="1164"/>
      <c r="BD1226" s="20"/>
      <c r="BE1226" s="473"/>
      <c r="BF1226" s="610"/>
      <c r="BG1226" s="610"/>
      <c r="BH1226" s="610"/>
      <c r="BI1226" s="610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  <c r="EF1226" s="23"/>
      <c r="EG1226" s="23"/>
      <c r="EH1226" s="23"/>
      <c r="EI1226" s="23"/>
      <c r="EJ1226" s="23"/>
      <c r="EK1226" s="23"/>
      <c r="EL1226" s="23"/>
      <c r="EM1226" s="23"/>
      <c r="EN1226" s="23"/>
      <c r="EO1226" s="23"/>
      <c r="EP1226" s="23"/>
      <c r="EQ1226" s="23"/>
      <c r="ER1226" s="23"/>
    </row>
    <row r="1227" spans="1:148" s="22" customFormat="1" x14ac:dyDescent="0.25">
      <c r="A1227" s="20"/>
      <c r="B1227" s="16"/>
      <c r="C1227" s="473"/>
      <c r="D1227" s="473"/>
      <c r="E1227" s="1164"/>
      <c r="F1227" s="473"/>
      <c r="G1227" s="473"/>
      <c r="H1227" s="1164"/>
      <c r="I1227" s="473"/>
      <c r="J1227" s="473"/>
      <c r="K1227" s="1164"/>
      <c r="L1227" s="473"/>
      <c r="M1227" s="473"/>
      <c r="N1227" s="1164"/>
      <c r="O1227" s="473"/>
      <c r="P1227" s="473"/>
      <c r="Q1227" s="1164"/>
      <c r="R1227" s="473"/>
      <c r="S1227" s="473"/>
      <c r="T1227" s="1164"/>
      <c r="U1227" s="1164"/>
      <c r="V1227" s="473"/>
      <c r="W1227" s="473"/>
      <c r="X1227" s="1164"/>
      <c r="Y1227" s="473"/>
      <c r="Z1227" s="473"/>
      <c r="AA1227" s="1164"/>
      <c r="AB1227" s="473"/>
      <c r="AC1227" s="1164"/>
      <c r="AD1227" s="473"/>
      <c r="AE1227" s="1164"/>
      <c r="AF1227" s="473"/>
      <c r="AG1227" s="1164"/>
      <c r="AH1227" s="473"/>
      <c r="AI1227" s="473"/>
      <c r="AJ1227" s="1164"/>
      <c r="AK1227" s="473"/>
      <c r="AL1227" s="473"/>
      <c r="AM1227" s="1164"/>
      <c r="AN1227" s="473"/>
      <c r="AO1227" s="473"/>
      <c r="AP1227" s="1164"/>
      <c r="AQ1227" s="473"/>
      <c r="AR1227" s="473"/>
      <c r="AS1227" s="1236"/>
      <c r="AT1227" s="473"/>
      <c r="AU1227" s="473"/>
      <c r="AV1227" s="1164"/>
      <c r="AW1227" s="1164"/>
      <c r="AX1227" s="1236"/>
      <c r="AY1227" s="473"/>
      <c r="AZ1227" s="1236"/>
      <c r="BA1227" s="473"/>
      <c r="BB1227" s="473"/>
      <c r="BC1227" s="1164"/>
      <c r="BD1227" s="20"/>
      <c r="BE1227" s="473"/>
      <c r="BF1227" s="610"/>
      <c r="BG1227" s="610"/>
      <c r="BH1227" s="610"/>
      <c r="BI1227" s="610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  <c r="CM1227" s="23"/>
      <c r="CN1227" s="23"/>
      <c r="CO1227" s="23"/>
      <c r="CP1227" s="23"/>
      <c r="CQ1227" s="23"/>
      <c r="CR1227" s="23"/>
      <c r="CS1227" s="23"/>
      <c r="CT1227" s="23"/>
      <c r="CU1227" s="23"/>
      <c r="CV1227" s="23"/>
      <c r="CW1227" s="23"/>
      <c r="CX1227" s="23"/>
      <c r="CY1227" s="23"/>
      <c r="CZ1227" s="23"/>
      <c r="DA1227" s="23"/>
      <c r="DB1227" s="23"/>
      <c r="DC1227" s="23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  <c r="DZ1227" s="23"/>
      <c r="EA1227" s="23"/>
      <c r="EB1227" s="23"/>
      <c r="EC1227" s="23"/>
      <c r="ED1227" s="23"/>
      <c r="EE1227" s="23"/>
      <c r="EF1227" s="23"/>
      <c r="EG1227" s="23"/>
      <c r="EH1227" s="23"/>
      <c r="EI1227" s="23"/>
      <c r="EJ1227" s="23"/>
      <c r="EK1227" s="23"/>
      <c r="EL1227" s="23"/>
      <c r="EM1227" s="23"/>
      <c r="EN1227" s="23"/>
      <c r="EO1227" s="23"/>
      <c r="EP1227" s="23"/>
      <c r="EQ1227" s="23"/>
      <c r="ER1227" s="23"/>
    </row>
    <row r="1228" spans="1:148" s="22" customFormat="1" x14ac:dyDescent="0.25">
      <c r="A1228" s="20"/>
      <c r="B1228" s="16"/>
      <c r="C1228" s="473"/>
      <c r="D1228" s="473"/>
      <c r="E1228" s="1164"/>
      <c r="F1228" s="473"/>
      <c r="G1228" s="473"/>
      <c r="H1228" s="1164"/>
      <c r="I1228" s="473"/>
      <c r="J1228" s="473"/>
      <c r="K1228" s="1164"/>
      <c r="L1228" s="473"/>
      <c r="M1228" s="473"/>
      <c r="N1228" s="1164"/>
      <c r="O1228" s="473"/>
      <c r="P1228" s="473"/>
      <c r="Q1228" s="1164"/>
      <c r="R1228" s="473"/>
      <c r="S1228" s="473"/>
      <c r="T1228" s="1164"/>
      <c r="U1228" s="1164"/>
      <c r="V1228" s="473"/>
      <c r="W1228" s="473"/>
      <c r="X1228" s="1164"/>
      <c r="Y1228" s="473"/>
      <c r="Z1228" s="473"/>
      <c r="AA1228" s="1164"/>
      <c r="AB1228" s="473"/>
      <c r="AC1228" s="1164"/>
      <c r="AD1228" s="473"/>
      <c r="AE1228" s="1164"/>
      <c r="AF1228" s="473"/>
      <c r="AG1228" s="1164"/>
      <c r="AH1228" s="473"/>
      <c r="AI1228" s="473"/>
      <c r="AJ1228" s="1164"/>
      <c r="AK1228" s="473"/>
      <c r="AL1228" s="473"/>
      <c r="AM1228" s="1164"/>
      <c r="AN1228" s="473"/>
      <c r="AO1228" s="473"/>
      <c r="AP1228" s="1164"/>
      <c r="AQ1228" s="473"/>
      <c r="AR1228" s="473"/>
      <c r="AS1228" s="1236"/>
      <c r="AT1228" s="473"/>
      <c r="AU1228" s="473"/>
      <c r="AV1228" s="1164"/>
      <c r="AW1228" s="1164"/>
      <c r="AX1228" s="1236"/>
      <c r="AY1228" s="473"/>
      <c r="AZ1228" s="1236"/>
      <c r="BA1228" s="473"/>
      <c r="BB1228" s="473"/>
      <c r="BC1228" s="1164"/>
      <c r="BD1228" s="20"/>
      <c r="BE1228" s="473"/>
      <c r="BF1228" s="610"/>
      <c r="BG1228" s="610"/>
      <c r="BH1228" s="610"/>
      <c r="BI1228" s="610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23"/>
      <c r="CY1228" s="23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  <c r="EF1228" s="23"/>
      <c r="EG1228" s="23"/>
      <c r="EH1228" s="23"/>
      <c r="EI1228" s="23"/>
      <c r="EJ1228" s="23"/>
      <c r="EK1228" s="23"/>
      <c r="EL1228" s="23"/>
      <c r="EM1228" s="23"/>
      <c r="EN1228" s="23"/>
      <c r="EO1228" s="23"/>
      <c r="EP1228" s="23"/>
      <c r="EQ1228" s="23"/>
      <c r="ER1228" s="23"/>
    </row>
    <row r="1229" spans="1:148" s="22" customFormat="1" x14ac:dyDescent="0.25">
      <c r="A1229" s="20"/>
      <c r="B1229" s="16"/>
      <c r="C1229" s="473"/>
      <c r="D1229" s="473"/>
      <c r="E1229" s="1164"/>
      <c r="F1229" s="473"/>
      <c r="G1229" s="473"/>
      <c r="H1229" s="1164"/>
      <c r="I1229" s="473"/>
      <c r="J1229" s="473"/>
      <c r="K1229" s="1164"/>
      <c r="L1229" s="473"/>
      <c r="M1229" s="473"/>
      <c r="N1229" s="1164"/>
      <c r="O1229" s="473"/>
      <c r="P1229" s="473"/>
      <c r="Q1229" s="1164"/>
      <c r="R1229" s="473"/>
      <c r="S1229" s="473"/>
      <c r="T1229" s="1164"/>
      <c r="U1229" s="1164"/>
      <c r="V1229" s="473"/>
      <c r="W1229" s="473"/>
      <c r="X1229" s="1164"/>
      <c r="Y1229" s="473"/>
      <c r="Z1229" s="473"/>
      <c r="AA1229" s="1164"/>
      <c r="AB1229" s="473"/>
      <c r="AC1229" s="1164"/>
      <c r="AD1229" s="473"/>
      <c r="AE1229" s="1164"/>
      <c r="AF1229" s="473"/>
      <c r="AG1229" s="1164"/>
      <c r="AH1229" s="473"/>
      <c r="AI1229" s="473"/>
      <c r="AJ1229" s="1164"/>
      <c r="AK1229" s="473"/>
      <c r="AL1229" s="473"/>
      <c r="AM1229" s="1164"/>
      <c r="AN1229" s="473"/>
      <c r="AO1229" s="473"/>
      <c r="AP1229" s="1164"/>
      <c r="AQ1229" s="473"/>
      <c r="AR1229" s="473"/>
      <c r="AS1229" s="1236"/>
      <c r="AT1229" s="473"/>
      <c r="AU1229" s="473"/>
      <c r="AV1229" s="1164"/>
      <c r="AW1229" s="1164"/>
      <c r="AX1229" s="1236"/>
      <c r="AY1229" s="473"/>
      <c r="AZ1229" s="1236"/>
      <c r="BA1229" s="473"/>
      <c r="BB1229" s="473"/>
      <c r="BC1229" s="1164"/>
      <c r="BD1229" s="20"/>
      <c r="BE1229" s="473"/>
      <c r="BF1229" s="610"/>
      <c r="BG1229" s="610"/>
      <c r="BH1229" s="610"/>
      <c r="BI1229" s="610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</row>
    <row r="1230" spans="1:148" s="22" customFormat="1" x14ac:dyDescent="0.25">
      <c r="A1230" s="20"/>
      <c r="B1230" s="16"/>
      <c r="C1230" s="473"/>
      <c r="D1230" s="473"/>
      <c r="E1230" s="1164"/>
      <c r="F1230" s="473"/>
      <c r="G1230" s="473"/>
      <c r="H1230" s="1164"/>
      <c r="I1230" s="473"/>
      <c r="J1230" s="473"/>
      <c r="K1230" s="1164"/>
      <c r="L1230" s="473"/>
      <c r="M1230" s="473"/>
      <c r="N1230" s="1164"/>
      <c r="O1230" s="473"/>
      <c r="P1230" s="473"/>
      <c r="Q1230" s="1164"/>
      <c r="R1230" s="473"/>
      <c r="S1230" s="473"/>
      <c r="T1230" s="1164"/>
      <c r="U1230" s="1164"/>
      <c r="V1230" s="473"/>
      <c r="W1230" s="473"/>
      <c r="X1230" s="1164"/>
      <c r="Y1230" s="473"/>
      <c r="Z1230" s="473"/>
      <c r="AA1230" s="1164"/>
      <c r="AB1230" s="473"/>
      <c r="AC1230" s="1164"/>
      <c r="AD1230" s="473"/>
      <c r="AE1230" s="1164"/>
      <c r="AF1230" s="473"/>
      <c r="AG1230" s="1164"/>
      <c r="AH1230" s="473"/>
      <c r="AI1230" s="473"/>
      <c r="AJ1230" s="1164"/>
      <c r="AK1230" s="473"/>
      <c r="AL1230" s="473"/>
      <c r="AM1230" s="1164"/>
      <c r="AN1230" s="473"/>
      <c r="AO1230" s="473"/>
      <c r="AP1230" s="1164"/>
      <c r="AQ1230" s="473"/>
      <c r="AR1230" s="473"/>
      <c r="AS1230" s="1236"/>
      <c r="AT1230" s="473"/>
      <c r="AU1230" s="473"/>
      <c r="AV1230" s="1164"/>
      <c r="AW1230" s="1164"/>
      <c r="AX1230" s="1236"/>
      <c r="AY1230" s="473"/>
      <c r="AZ1230" s="1236"/>
      <c r="BA1230" s="473"/>
      <c r="BB1230" s="473"/>
      <c r="BC1230" s="1164"/>
      <c r="BD1230" s="20"/>
      <c r="BE1230" s="473"/>
      <c r="BF1230" s="610"/>
      <c r="BG1230" s="610"/>
      <c r="BH1230" s="610"/>
      <c r="BI1230" s="610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  <c r="EF1230" s="23"/>
      <c r="EG1230" s="23"/>
      <c r="EH1230" s="23"/>
      <c r="EI1230" s="23"/>
      <c r="EJ1230" s="23"/>
      <c r="EK1230" s="23"/>
      <c r="EL1230" s="23"/>
      <c r="EM1230" s="23"/>
      <c r="EN1230" s="23"/>
      <c r="EO1230" s="23"/>
      <c r="EP1230" s="23"/>
      <c r="EQ1230" s="23"/>
      <c r="ER1230" s="23"/>
    </row>
    <row r="1231" spans="1:148" s="22" customFormat="1" x14ac:dyDescent="0.25">
      <c r="A1231" s="20"/>
      <c r="B1231" s="16"/>
      <c r="C1231" s="473"/>
      <c r="D1231" s="473"/>
      <c r="E1231" s="1164"/>
      <c r="F1231" s="473"/>
      <c r="G1231" s="473"/>
      <c r="H1231" s="1164"/>
      <c r="I1231" s="473"/>
      <c r="J1231" s="473"/>
      <c r="K1231" s="1164"/>
      <c r="L1231" s="473"/>
      <c r="M1231" s="473"/>
      <c r="N1231" s="1164"/>
      <c r="O1231" s="473"/>
      <c r="P1231" s="473"/>
      <c r="Q1231" s="1164"/>
      <c r="R1231" s="473"/>
      <c r="S1231" s="473"/>
      <c r="T1231" s="1164"/>
      <c r="U1231" s="1164"/>
      <c r="V1231" s="473"/>
      <c r="W1231" s="473"/>
      <c r="X1231" s="1164"/>
      <c r="Y1231" s="473"/>
      <c r="Z1231" s="473"/>
      <c r="AA1231" s="1164"/>
      <c r="AB1231" s="473"/>
      <c r="AC1231" s="1164"/>
      <c r="AD1231" s="473"/>
      <c r="AE1231" s="1164"/>
      <c r="AF1231" s="473"/>
      <c r="AG1231" s="1164"/>
      <c r="AH1231" s="473"/>
      <c r="AI1231" s="473"/>
      <c r="AJ1231" s="1164"/>
      <c r="AK1231" s="473"/>
      <c r="AL1231" s="473"/>
      <c r="AM1231" s="1164"/>
      <c r="AN1231" s="473"/>
      <c r="AO1231" s="473"/>
      <c r="AP1231" s="1164"/>
      <c r="AQ1231" s="473"/>
      <c r="AR1231" s="473"/>
      <c r="AS1231" s="1236"/>
      <c r="AT1231" s="473"/>
      <c r="AU1231" s="473"/>
      <c r="AV1231" s="1164"/>
      <c r="AW1231" s="1164"/>
      <c r="AX1231" s="1236"/>
      <c r="AY1231" s="473"/>
      <c r="AZ1231" s="1236"/>
      <c r="BA1231" s="473"/>
      <c r="BB1231" s="473"/>
      <c r="BC1231" s="1164"/>
      <c r="BD1231" s="20"/>
      <c r="BE1231" s="473"/>
      <c r="BF1231" s="610"/>
      <c r="BG1231" s="610"/>
      <c r="BH1231" s="610"/>
      <c r="BI1231" s="610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  <c r="CM1231" s="23"/>
      <c r="CN1231" s="23"/>
      <c r="CO1231" s="23"/>
      <c r="CP1231" s="23"/>
      <c r="CQ1231" s="23"/>
      <c r="CR1231" s="23"/>
      <c r="CS1231" s="23"/>
      <c r="CT1231" s="23"/>
      <c r="CU1231" s="23"/>
      <c r="CV1231" s="23"/>
      <c r="CW1231" s="23"/>
      <c r="CX1231" s="23"/>
      <c r="CY1231" s="23"/>
      <c r="CZ1231" s="23"/>
      <c r="DA1231" s="23"/>
      <c r="DB1231" s="23"/>
      <c r="DC1231" s="23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  <c r="DZ1231" s="23"/>
      <c r="EA1231" s="23"/>
      <c r="EB1231" s="23"/>
      <c r="EC1231" s="23"/>
      <c r="ED1231" s="23"/>
      <c r="EE1231" s="23"/>
      <c r="EF1231" s="23"/>
      <c r="EG1231" s="23"/>
      <c r="EH1231" s="23"/>
      <c r="EI1231" s="23"/>
      <c r="EJ1231" s="23"/>
      <c r="EK1231" s="23"/>
      <c r="EL1231" s="23"/>
      <c r="EM1231" s="23"/>
      <c r="EN1231" s="23"/>
      <c r="EO1231" s="23"/>
      <c r="EP1231" s="23"/>
      <c r="EQ1231" s="23"/>
      <c r="ER1231" s="23"/>
    </row>
    <row r="1232" spans="1:148" s="22" customFormat="1" x14ac:dyDescent="0.25">
      <c r="A1232" s="20"/>
      <c r="B1232" s="16"/>
      <c r="C1232" s="473"/>
      <c r="D1232" s="473"/>
      <c r="E1232" s="1164"/>
      <c r="F1232" s="473"/>
      <c r="G1232" s="473"/>
      <c r="H1232" s="1164"/>
      <c r="I1232" s="473"/>
      <c r="J1232" s="473"/>
      <c r="K1232" s="1164"/>
      <c r="L1232" s="473"/>
      <c r="M1232" s="473"/>
      <c r="N1232" s="1164"/>
      <c r="O1232" s="473"/>
      <c r="P1232" s="473"/>
      <c r="Q1232" s="1164"/>
      <c r="R1232" s="473"/>
      <c r="S1232" s="473"/>
      <c r="T1232" s="1164"/>
      <c r="U1232" s="1164"/>
      <c r="V1232" s="473"/>
      <c r="W1232" s="473"/>
      <c r="X1232" s="1164"/>
      <c r="Y1232" s="473"/>
      <c r="Z1232" s="473"/>
      <c r="AA1232" s="1164"/>
      <c r="AB1232" s="473"/>
      <c r="AC1232" s="1164"/>
      <c r="AD1232" s="473"/>
      <c r="AE1232" s="1164"/>
      <c r="AF1232" s="473"/>
      <c r="AG1232" s="1164"/>
      <c r="AH1232" s="473"/>
      <c r="AI1232" s="473"/>
      <c r="AJ1232" s="1164"/>
      <c r="AK1232" s="473"/>
      <c r="AL1232" s="473"/>
      <c r="AM1232" s="1164"/>
      <c r="AN1232" s="473"/>
      <c r="AO1232" s="473"/>
      <c r="AP1232" s="1164"/>
      <c r="AQ1232" s="473"/>
      <c r="AR1232" s="473"/>
      <c r="AS1232" s="1236"/>
      <c r="AT1232" s="473"/>
      <c r="AU1232" s="473"/>
      <c r="AV1232" s="1164"/>
      <c r="AW1232" s="1164"/>
      <c r="AX1232" s="1236"/>
      <c r="AY1232" s="473"/>
      <c r="AZ1232" s="1236"/>
      <c r="BA1232" s="473"/>
      <c r="BB1232" s="473"/>
      <c r="BC1232" s="1164"/>
      <c r="BD1232" s="20"/>
      <c r="BE1232" s="473"/>
      <c r="BF1232" s="610"/>
      <c r="BG1232" s="610"/>
      <c r="BH1232" s="610"/>
      <c r="BI1232" s="610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  <c r="EF1232" s="23"/>
      <c r="EG1232" s="23"/>
      <c r="EH1232" s="23"/>
      <c r="EI1232" s="23"/>
      <c r="EJ1232" s="23"/>
      <c r="EK1232" s="23"/>
      <c r="EL1232" s="23"/>
      <c r="EM1232" s="23"/>
      <c r="EN1232" s="23"/>
      <c r="EO1232" s="23"/>
      <c r="EP1232" s="23"/>
      <c r="EQ1232" s="23"/>
      <c r="ER1232" s="23"/>
    </row>
    <row r="1233" spans="1:148" s="22" customFormat="1" x14ac:dyDescent="0.25">
      <c r="A1233" s="20"/>
      <c r="B1233" s="16"/>
      <c r="C1233" s="473"/>
      <c r="D1233" s="473"/>
      <c r="E1233" s="1164"/>
      <c r="F1233" s="473"/>
      <c r="G1233" s="473"/>
      <c r="H1233" s="1164"/>
      <c r="I1233" s="473"/>
      <c r="J1233" s="473"/>
      <c r="K1233" s="1164"/>
      <c r="L1233" s="473"/>
      <c r="M1233" s="473"/>
      <c r="N1233" s="1164"/>
      <c r="O1233" s="473"/>
      <c r="P1233" s="473"/>
      <c r="Q1233" s="1164"/>
      <c r="R1233" s="473"/>
      <c r="S1233" s="473"/>
      <c r="T1233" s="1164"/>
      <c r="U1233" s="1164"/>
      <c r="V1233" s="473"/>
      <c r="W1233" s="473"/>
      <c r="X1233" s="1164"/>
      <c r="Y1233" s="473"/>
      <c r="Z1233" s="473"/>
      <c r="AA1233" s="1164"/>
      <c r="AB1233" s="473"/>
      <c r="AC1233" s="1164"/>
      <c r="AD1233" s="473"/>
      <c r="AE1233" s="1164"/>
      <c r="AF1233" s="473"/>
      <c r="AG1233" s="1164"/>
      <c r="AH1233" s="473"/>
      <c r="AI1233" s="473"/>
      <c r="AJ1233" s="1164"/>
      <c r="AK1233" s="473"/>
      <c r="AL1233" s="473"/>
      <c r="AM1233" s="1164"/>
      <c r="AN1233" s="473"/>
      <c r="AO1233" s="473"/>
      <c r="AP1233" s="1164"/>
      <c r="AQ1233" s="473"/>
      <c r="AR1233" s="473"/>
      <c r="AS1233" s="1236"/>
      <c r="AT1233" s="473"/>
      <c r="AU1233" s="473"/>
      <c r="AV1233" s="1164"/>
      <c r="AW1233" s="1164"/>
      <c r="AX1233" s="1236"/>
      <c r="AY1233" s="473"/>
      <c r="AZ1233" s="1236"/>
      <c r="BA1233" s="473"/>
      <c r="BB1233" s="473"/>
      <c r="BC1233" s="1164"/>
      <c r="BD1233" s="20"/>
      <c r="BE1233" s="473"/>
      <c r="BF1233" s="610"/>
      <c r="BG1233" s="610"/>
      <c r="BH1233" s="610"/>
      <c r="BI1233" s="610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  <c r="EH1233" s="23"/>
      <c r="EI1233" s="23"/>
      <c r="EJ1233" s="23"/>
      <c r="EK1233" s="23"/>
      <c r="EL1233" s="23"/>
      <c r="EM1233" s="23"/>
      <c r="EN1233" s="23"/>
      <c r="EO1233" s="23"/>
      <c r="EP1233" s="23"/>
      <c r="EQ1233" s="23"/>
      <c r="ER1233" s="23"/>
    </row>
    <row r="1234" spans="1:148" s="22" customFormat="1" x14ac:dyDescent="0.25">
      <c r="A1234" s="20"/>
      <c r="B1234" s="16"/>
      <c r="C1234" s="473"/>
      <c r="D1234" s="473"/>
      <c r="E1234" s="1164"/>
      <c r="F1234" s="473"/>
      <c r="G1234" s="473"/>
      <c r="H1234" s="1164"/>
      <c r="I1234" s="473"/>
      <c r="J1234" s="473"/>
      <c r="K1234" s="1164"/>
      <c r="L1234" s="473"/>
      <c r="M1234" s="473"/>
      <c r="N1234" s="1164"/>
      <c r="O1234" s="473"/>
      <c r="P1234" s="473"/>
      <c r="Q1234" s="1164"/>
      <c r="R1234" s="473"/>
      <c r="S1234" s="473"/>
      <c r="T1234" s="1164"/>
      <c r="U1234" s="1164"/>
      <c r="V1234" s="473"/>
      <c r="W1234" s="473"/>
      <c r="X1234" s="1164"/>
      <c r="Y1234" s="473"/>
      <c r="Z1234" s="473"/>
      <c r="AA1234" s="1164"/>
      <c r="AB1234" s="473"/>
      <c r="AC1234" s="1164"/>
      <c r="AD1234" s="473"/>
      <c r="AE1234" s="1164"/>
      <c r="AF1234" s="473"/>
      <c r="AG1234" s="1164"/>
      <c r="AH1234" s="473"/>
      <c r="AI1234" s="473"/>
      <c r="AJ1234" s="1164"/>
      <c r="AK1234" s="473"/>
      <c r="AL1234" s="473"/>
      <c r="AM1234" s="1164"/>
      <c r="AN1234" s="473"/>
      <c r="AO1234" s="473"/>
      <c r="AP1234" s="1164"/>
      <c r="AQ1234" s="473"/>
      <c r="AR1234" s="473"/>
      <c r="AS1234" s="1236"/>
      <c r="AT1234" s="473"/>
      <c r="AU1234" s="473"/>
      <c r="AV1234" s="1164"/>
      <c r="AW1234" s="1164"/>
      <c r="AX1234" s="1236"/>
      <c r="AY1234" s="473"/>
      <c r="AZ1234" s="1236"/>
      <c r="BA1234" s="473"/>
      <c r="BB1234" s="473"/>
      <c r="BC1234" s="1164"/>
      <c r="BD1234" s="20"/>
      <c r="BE1234" s="473"/>
      <c r="BF1234" s="610"/>
      <c r="BG1234" s="610"/>
      <c r="BH1234" s="610"/>
      <c r="BI1234" s="610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  <c r="EH1234" s="23"/>
      <c r="EI1234" s="23"/>
      <c r="EJ1234" s="23"/>
      <c r="EK1234" s="23"/>
      <c r="EL1234" s="23"/>
      <c r="EM1234" s="23"/>
      <c r="EN1234" s="23"/>
      <c r="EO1234" s="23"/>
      <c r="EP1234" s="23"/>
      <c r="EQ1234" s="23"/>
      <c r="ER1234" s="23"/>
    </row>
    <row r="1235" spans="1:148" s="22" customFormat="1" x14ac:dyDescent="0.25">
      <c r="A1235" s="20"/>
      <c r="B1235" s="16"/>
      <c r="C1235" s="473"/>
      <c r="D1235" s="473"/>
      <c r="E1235" s="1164"/>
      <c r="F1235" s="473"/>
      <c r="G1235" s="473"/>
      <c r="H1235" s="1164"/>
      <c r="I1235" s="473"/>
      <c r="J1235" s="473"/>
      <c r="K1235" s="1164"/>
      <c r="L1235" s="473"/>
      <c r="M1235" s="473"/>
      <c r="N1235" s="1164"/>
      <c r="O1235" s="473"/>
      <c r="P1235" s="473"/>
      <c r="Q1235" s="1164"/>
      <c r="R1235" s="473"/>
      <c r="S1235" s="473"/>
      <c r="T1235" s="1164"/>
      <c r="U1235" s="1164"/>
      <c r="V1235" s="473"/>
      <c r="W1235" s="473"/>
      <c r="X1235" s="1164"/>
      <c r="Y1235" s="473"/>
      <c r="Z1235" s="473"/>
      <c r="AA1235" s="1164"/>
      <c r="AB1235" s="473"/>
      <c r="AC1235" s="1164"/>
      <c r="AD1235" s="473"/>
      <c r="AE1235" s="1164"/>
      <c r="AF1235" s="473"/>
      <c r="AG1235" s="1164"/>
      <c r="AH1235" s="473"/>
      <c r="AI1235" s="473"/>
      <c r="AJ1235" s="1164"/>
      <c r="AK1235" s="473"/>
      <c r="AL1235" s="473"/>
      <c r="AM1235" s="1164"/>
      <c r="AN1235" s="473"/>
      <c r="AO1235" s="473"/>
      <c r="AP1235" s="1164"/>
      <c r="AQ1235" s="473"/>
      <c r="AR1235" s="473"/>
      <c r="AS1235" s="1236"/>
      <c r="AT1235" s="473"/>
      <c r="AU1235" s="473"/>
      <c r="AV1235" s="1164"/>
      <c r="AW1235" s="1164"/>
      <c r="AX1235" s="1236"/>
      <c r="AY1235" s="473"/>
      <c r="AZ1235" s="1236"/>
      <c r="BA1235" s="473"/>
      <c r="BB1235" s="473"/>
      <c r="BC1235" s="1164"/>
      <c r="BD1235" s="20"/>
      <c r="BE1235" s="473"/>
      <c r="BF1235" s="610"/>
      <c r="BG1235" s="610"/>
      <c r="BH1235" s="610"/>
      <c r="BI1235" s="610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  <c r="EF1235" s="23"/>
      <c r="EG1235" s="23"/>
      <c r="EH1235" s="23"/>
      <c r="EI1235" s="23"/>
      <c r="EJ1235" s="23"/>
      <c r="EK1235" s="23"/>
      <c r="EL1235" s="23"/>
      <c r="EM1235" s="23"/>
      <c r="EN1235" s="23"/>
      <c r="EO1235" s="23"/>
      <c r="EP1235" s="23"/>
      <c r="EQ1235" s="23"/>
      <c r="ER1235" s="23"/>
    </row>
    <row r="1236" spans="1:148" s="22" customFormat="1" x14ac:dyDescent="0.25">
      <c r="A1236" s="20"/>
      <c r="B1236" s="16"/>
      <c r="C1236" s="473"/>
      <c r="D1236" s="473"/>
      <c r="E1236" s="1164"/>
      <c r="F1236" s="473"/>
      <c r="G1236" s="473"/>
      <c r="H1236" s="1164"/>
      <c r="I1236" s="473"/>
      <c r="J1236" s="473"/>
      <c r="K1236" s="1164"/>
      <c r="L1236" s="473"/>
      <c r="M1236" s="473"/>
      <c r="N1236" s="1164"/>
      <c r="O1236" s="473"/>
      <c r="P1236" s="473"/>
      <c r="Q1236" s="1164"/>
      <c r="R1236" s="473"/>
      <c r="S1236" s="473"/>
      <c r="T1236" s="1164"/>
      <c r="U1236" s="1164"/>
      <c r="V1236" s="473"/>
      <c r="W1236" s="473"/>
      <c r="X1236" s="1164"/>
      <c r="Y1236" s="473"/>
      <c r="Z1236" s="473"/>
      <c r="AA1236" s="1164"/>
      <c r="AB1236" s="473"/>
      <c r="AC1236" s="1164"/>
      <c r="AD1236" s="473"/>
      <c r="AE1236" s="1164"/>
      <c r="AF1236" s="473"/>
      <c r="AG1236" s="1164"/>
      <c r="AH1236" s="473"/>
      <c r="AI1236" s="473"/>
      <c r="AJ1236" s="1164"/>
      <c r="AK1236" s="473"/>
      <c r="AL1236" s="473"/>
      <c r="AM1236" s="1164"/>
      <c r="AN1236" s="473"/>
      <c r="AO1236" s="473"/>
      <c r="AP1236" s="1164"/>
      <c r="AQ1236" s="473"/>
      <c r="AR1236" s="473"/>
      <c r="AS1236" s="1236"/>
      <c r="AT1236" s="473"/>
      <c r="AU1236" s="473"/>
      <c r="AV1236" s="1164"/>
      <c r="AW1236" s="1164"/>
      <c r="AX1236" s="1236"/>
      <c r="AY1236" s="473"/>
      <c r="AZ1236" s="1236"/>
      <c r="BA1236" s="473"/>
      <c r="BB1236" s="473"/>
      <c r="BC1236" s="1164"/>
      <c r="BD1236" s="20"/>
      <c r="BE1236" s="473"/>
      <c r="BF1236" s="610"/>
      <c r="BG1236" s="610"/>
      <c r="BH1236" s="610"/>
      <c r="BI1236" s="610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  <c r="EF1236" s="23"/>
      <c r="EG1236" s="23"/>
      <c r="EH1236" s="23"/>
      <c r="EI1236" s="23"/>
      <c r="EJ1236" s="23"/>
      <c r="EK1236" s="23"/>
      <c r="EL1236" s="23"/>
      <c r="EM1236" s="23"/>
      <c r="EN1236" s="23"/>
      <c r="EO1236" s="23"/>
      <c r="EP1236" s="23"/>
      <c r="EQ1236" s="23"/>
      <c r="ER1236" s="23"/>
    </row>
    <row r="1237" spans="1:148" s="22" customFormat="1" x14ac:dyDescent="0.25">
      <c r="A1237" s="20"/>
      <c r="B1237" s="16"/>
      <c r="C1237" s="473"/>
      <c r="D1237" s="473"/>
      <c r="E1237" s="1164"/>
      <c r="F1237" s="473"/>
      <c r="G1237" s="473"/>
      <c r="H1237" s="1164"/>
      <c r="I1237" s="473"/>
      <c r="J1237" s="473"/>
      <c r="K1237" s="1164"/>
      <c r="L1237" s="473"/>
      <c r="M1237" s="473"/>
      <c r="N1237" s="1164"/>
      <c r="O1237" s="473"/>
      <c r="P1237" s="473"/>
      <c r="Q1237" s="1164"/>
      <c r="R1237" s="473"/>
      <c r="S1237" s="473"/>
      <c r="T1237" s="1164"/>
      <c r="U1237" s="1164"/>
      <c r="V1237" s="473"/>
      <c r="W1237" s="473"/>
      <c r="X1237" s="1164"/>
      <c r="Y1237" s="473"/>
      <c r="Z1237" s="473"/>
      <c r="AA1237" s="1164"/>
      <c r="AB1237" s="473"/>
      <c r="AC1237" s="1164"/>
      <c r="AD1237" s="473"/>
      <c r="AE1237" s="1164"/>
      <c r="AF1237" s="473"/>
      <c r="AG1237" s="1164"/>
      <c r="AH1237" s="473"/>
      <c r="AI1237" s="473"/>
      <c r="AJ1237" s="1164"/>
      <c r="AK1237" s="473"/>
      <c r="AL1237" s="473"/>
      <c r="AM1237" s="1164"/>
      <c r="AN1237" s="473"/>
      <c r="AO1237" s="473"/>
      <c r="AP1237" s="1164"/>
      <c r="AQ1237" s="473"/>
      <c r="AR1237" s="473"/>
      <c r="AS1237" s="1236"/>
      <c r="AT1237" s="473"/>
      <c r="AU1237" s="473"/>
      <c r="AV1237" s="1164"/>
      <c r="AW1237" s="1164"/>
      <c r="AX1237" s="1236"/>
      <c r="AY1237" s="473"/>
      <c r="AZ1237" s="1236"/>
      <c r="BA1237" s="473"/>
      <c r="BB1237" s="473"/>
      <c r="BC1237" s="1164"/>
      <c r="BD1237" s="20"/>
      <c r="BE1237" s="473"/>
      <c r="BF1237" s="610"/>
      <c r="BG1237" s="610"/>
      <c r="BH1237" s="610"/>
      <c r="BI1237" s="610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  <c r="CM1237" s="23"/>
      <c r="CN1237" s="23"/>
      <c r="CO1237" s="23"/>
      <c r="CP1237" s="23"/>
      <c r="CQ1237" s="23"/>
      <c r="CR1237" s="23"/>
      <c r="CS1237" s="23"/>
      <c r="CT1237" s="23"/>
      <c r="CU1237" s="23"/>
      <c r="CV1237" s="23"/>
      <c r="CW1237" s="23"/>
      <c r="CX1237" s="23"/>
      <c r="CY1237" s="23"/>
      <c r="CZ1237" s="23"/>
      <c r="DA1237" s="23"/>
      <c r="DB1237" s="23"/>
      <c r="DC1237" s="23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  <c r="DZ1237" s="23"/>
      <c r="EA1237" s="23"/>
      <c r="EB1237" s="23"/>
      <c r="EC1237" s="23"/>
      <c r="ED1237" s="23"/>
      <c r="EE1237" s="23"/>
      <c r="EF1237" s="23"/>
      <c r="EG1237" s="23"/>
      <c r="EH1237" s="23"/>
      <c r="EI1237" s="23"/>
      <c r="EJ1237" s="23"/>
      <c r="EK1237" s="23"/>
      <c r="EL1237" s="23"/>
      <c r="EM1237" s="23"/>
      <c r="EN1237" s="23"/>
      <c r="EO1237" s="23"/>
      <c r="EP1237" s="23"/>
      <c r="EQ1237" s="23"/>
      <c r="ER1237" s="23"/>
    </row>
    <row r="1238" spans="1:148" s="22" customFormat="1" x14ac:dyDescent="0.25">
      <c r="A1238" s="20"/>
      <c r="B1238" s="16"/>
      <c r="C1238" s="473"/>
      <c r="D1238" s="473"/>
      <c r="E1238" s="1164"/>
      <c r="F1238" s="473"/>
      <c r="G1238" s="473"/>
      <c r="H1238" s="1164"/>
      <c r="I1238" s="473"/>
      <c r="J1238" s="473"/>
      <c r="K1238" s="1164"/>
      <c r="L1238" s="473"/>
      <c r="M1238" s="473"/>
      <c r="N1238" s="1164"/>
      <c r="O1238" s="473"/>
      <c r="P1238" s="473"/>
      <c r="Q1238" s="1164"/>
      <c r="R1238" s="473"/>
      <c r="S1238" s="473"/>
      <c r="T1238" s="1164"/>
      <c r="U1238" s="1164"/>
      <c r="V1238" s="473"/>
      <c r="W1238" s="473"/>
      <c r="X1238" s="1164"/>
      <c r="Y1238" s="473"/>
      <c r="Z1238" s="473"/>
      <c r="AA1238" s="1164"/>
      <c r="AB1238" s="473"/>
      <c r="AC1238" s="1164"/>
      <c r="AD1238" s="473"/>
      <c r="AE1238" s="1164"/>
      <c r="AF1238" s="473"/>
      <c r="AG1238" s="1164"/>
      <c r="AH1238" s="473"/>
      <c r="AI1238" s="473"/>
      <c r="AJ1238" s="1164"/>
      <c r="AK1238" s="473"/>
      <c r="AL1238" s="473"/>
      <c r="AM1238" s="1164"/>
      <c r="AN1238" s="473"/>
      <c r="AO1238" s="473"/>
      <c r="AP1238" s="1164"/>
      <c r="AQ1238" s="473"/>
      <c r="AR1238" s="473"/>
      <c r="AS1238" s="1236"/>
      <c r="AT1238" s="473"/>
      <c r="AU1238" s="473"/>
      <c r="AV1238" s="1164"/>
      <c r="AW1238" s="1164"/>
      <c r="AX1238" s="1236"/>
      <c r="AY1238" s="473"/>
      <c r="AZ1238" s="1236"/>
      <c r="BA1238" s="473"/>
      <c r="BB1238" s="473"/>
      <c r="BC1238" s="1164"/>
      <c r="BD1238" s="20"/>
      <c r="BE1238" s="473"/>
      <c r="BF1238" s="610"/>
      <c r="BG1238" s="610"/>
      <c r="BH1238" s="610"/>
      <c r="BI1238" s="610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  <c r="CM1238" s="23"/>
      <c r="CN1238" s="23"/>
      <c r="CO1238" s="23"/>
      <c r="CP1238" s="23"/>
      <c r="CQ1238" s="23"/>
      <c r="CR1238" s="23"/>
      <c r="CS1238" s="23"/>
      <c r="CT1238" s="23"/>
      <c r="CU1238" s="23"/>
      <c r="CV1238" s="23"/>
      <c r="CW1238" s="23"/>
      <c r="CX1238" s="23"/>
      <c r="CY1238" s="23"/>
      <c r="CZ1238" s="23"/>
      <c r="DA1238" s="23"/>
      <c r="DB1238" s="23"/>
      <c r="DC1238" s="23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  <c r="DZ1238" s="23"/>
      <c r="EA1238" s="23"/>
      <c r="EB1238" s="23"/>
      <c r="EC1238" s="23"/>
      <c r="ED1238" s="23"/>
      <c r="EE1238" s="23"/>
      <c r="EF1238" s="23"/>
      <c r="EG1238" s="23"/>
      <c r="EH1238" s="23"/>
      <c r="EI1238" s="23"/>
      <c r="EJ1238" s="23"/>
      <c r="EK1238" s="23"/>
      <c r="EL1238" s="23"/>
      <c r="EM1238" s="23"/>
      <c r="EN1238" s="23"/>
      <c r="EO1238" s="23"/>
      <c r="EP1238" s="23"/>
      <c r="EQ1238" s="23"/>
      <c r="ER1238" s="23"/>
    </row>
    <row r="1239" spans="1:148" s="22" customFormat="1" x14ac:dyDescent="0.25">
      <c r="A1239" s="20"/>
      <c r="B1239" s="16"/>
      <c r="C1239" s="473"/>
      <c r="D1239" s="473"/>
      <c r="E1239" s="1164"/>
      <c r="F1239" s="473"/>
      <c r="G1239" s="473"/>
      <c r="H1239" s="1164"/>
      <c r="I1239" s="473"/>
      <c r="J1239" s="473"/>
      <c r="K1239" s="1164"/>
      <c r="L1239" s="473"/>
      <c r="M1239" s="473"/>
      <c r="N1239" s="1164"/>
      <c r="O1239" s="473"/>
      <c r="P1239" s="473"/>
      <c r="Q1239" s="1164"/>
      <c r="R1239" s="473"/>
      <c r="S1239" s="473"/>
      <c r="T1239" s="1164"/>
      <c r="U1239" s="1164"/>
      <c r="V1239" s="473"/>
      <c r="W1239" s="473"/>
      <c r="X1239" s="1164"/>
      <c r="Y1239" s="473"/>
      <c r="Z1239" s="473"/>
      <c r="AA1239" s="1164"/>
      <c r="AB1239" s="473"/>
      <c r="AC1239" s="1164"/>
      <c r="AD1239" s="473"/>
      <c r="AE1239" s="1164"/>
      <c r="AF1239" s="473"/>
      <c r="AG1239" s="1164"/>
      <c r="AH1239" s="473"/>
      <c r="AI1239" s="473"/>
      <c r="AJ1239" s="1164"/>
      <c r="AK1239" s="473"/>
      <c r="AL1239" s="473"/>
      <c r="AM1239" s="1164"/>
      <c r="AN1239" s="473"/>
      <c r="AO1239" s="473"/>
      <c r="AP1239" s="1164"/>
      <c r="AQ1239" s="473"/>
      <c r="AR1239" s="473"/>
      <c r="AS1239" s="1236"/>
      <c r="AT1239" s="473"/>
      <c r="AU1239" s="473"/>
      <c r="AV1239" s="1164"/>
      <c r="AW1239" s="1164"/>
      <c r="AX1239" s="1236"/>
      <c r="AY1239" s="473"/>
      <c r="AZ1239" s="1236"/>
      <c r="BA1239" s="473"/>
      <c r="BB1239" s="473"/>
      <c r="BC1239" s="1164"/>
      <c r="BD1239" s="20"/>
      <c r="BE1239" s="473"/>
      <c r="BF1239" s="610"/>
      <c r="BG1239" s="610"/>
      <c r="BH1239" s="610"/>
      <c r="BI1239" s="610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  <c r="CM1239" s="23"/>
      <c r="CN1239" s="23"/>
      <c r="CO1239" s="23"/>
      <c r="CP1239" s="23"/>
      <c r="CQ1239" s="23"/>
      <c r="CR1239" s="23"/>
      <c r="CS1239" s="23"/>
      <c r="CT1239" s="23"/>
      <c r="CU1239" s="23"/>
      <c r="CV1239" s="23"/>
      <c r="CW1239" s="23"/>
      <c r="CX1239" s="23"/>
      <c r="CY1239" s="23"/>
      <c r="CZ1239" s="23"/>
      <c r="DA1239" s="23"/>
      <c r="DB1239" s="23"/>
      <c r="DC1239" s="23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  <c r="DZ1239" s="23"/>
      <c r="EA1239" s="23"/>
      <c r="EB1239" s="23"/>
      <c r="EC1239" s="23"/>
      <c r="ED1239" s="23"/>
      <c r="EE1239" s="23"/>
      <c r="EF1239" s="23"/>
      <c r="EG1239" s="23"/>
      <c r="EH1239" s="23"/>
      <c r="EI1239" s="23"/>
      <c r="EJ1239" s="23"/>
      <c r="EK1239" s="23"/>
      <c r="EL1239" s="23"/>
      <c r="EM1239" s="23"/>
      <c r="EN1239" s="23"/>
      <c r="EO1239" s="23"/>
      <c r="EP1239" s="23"/>
      <c r="EQ1239" s="23"/>
      <c r="ER1239" s="23"/>
    </row>
    <row r="1240" spans="1:148" s="22" customFormat="1" x14ac:dyDescent="0.25">
      <c r="A1240" s="20"/>
      <c r="B1240" s="16"/>
      <c r="C1240" s="473"/>
      <c r="D1240" s="473"/>
      <c r="E1240" s="1164"/>
      <c r="F1240" s="473"/>
      <c r="G1240" s="473"/>
      <c r="H1240" s="1164"/>
      <c r="I1240" s="473"/>
      <c r="J1240" s="473"/>
      <c r="K1240" s="1164"/>
      <c r="L1240" s="473"/>
      <c r="M1240" s="473"/>
      <c r="N1240" s="1164"/>
      <c r="O1240" s="473"/>
      <c r="P1240" s="473"/>
      <c r="Q1240" s="1164"/>
      <c r="R1240" s="473"/>
      <c r="S1240" s="473"/>
      <c r="T1240" s="1164"/>
      <c r="U1240" s="1164"/>
      <c r="V1240" s="473"/>
      <c r="W1240" s="473"/>
      <c r="X1240" s="1164"/>
      <c r="Y1240" s="473"/>
      <c r="Z1240" s="473"/>
      <c r="AA1240" s="1164"/>
      <c r="AB1240" s="473"/>
      <c r="AC1240" s="1164"/>
      <c r="AD1240" s="473"/>
      <c r="AE1240" s="1164"/>
      <c r="AF1240" s="473"/>
      <c r="AG1240" s="1164"/>
      <c r="AH1240" s="473"/>
      <c r="AI1240" s="473"/>
      <c r="AJ1240" s="1164"/>
      <c r="AK1240" s="473"/>
      <c r="AL1240" s="473"/>
      <c r="AM1240" s="1164"/>
      <c r="AN1240" s="473"/>
      <c r="AO1240" s="473"/>
      <c r="AP1240" s="1164"/>
      <c r="AQ1240" s="473"/>
      <c r="AR1240" s="473"/>
      <c r="AS1240" s="1236"/>
      <c r="AT1240" s="473"/>
      <c r="AU1240" s="473"/>
      <c r="AV1240" s="1164"/>
      <c r="AW1240" s="1164"/>
      <c r="AX1240" s="1236"/>
      <c r="AY1240" s="473"/>
      <c r="AZ1240" s="1236"/>
      <c r="BA1240" s="473"/>
      <c r="BB1240" s="473"/>
      <c r="BC1240" s="1164"/>
      <c r="BD1240" s="20"/>
      <c r="BE1240" s="473"/>
      <c r="BF1240" s="610"/>
      <c r="BG1240" s="610"/>
      <c r="BH1240" s="610"/>
      <c r="BI1240" s="610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  <c r="CM1240" s="23"/>
      <c r="CN1240" s="23"/>
      <c r="CO1240" s="23"/>
      <c r="CP1240" s="23"/>
      <c r="CQ1240" s="23"/>
      <c r="CR1240" s="23"/>
      <c r="CS1240" s="23"/>
      <c r="CT1240" s="23"/>
      <c r="CU1240" s="23"/>
      <c r="CV1240" s="23"/>
      <c r="CW1240" s="23"/>
      <c r="CX1240" s="23"/>
      <c r="CY1240" s="23"/>
      <c r="CZ1240" s="23"/>
      <c r="DA1240" s="23"/>
      <c r="DB1240" s="23"/>
      <c r="DC1240" s="23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  <c r="DZ1240" s="23"/>
      <c r="EA1240" s="23"/>
      <c r="EB1240" s="23"/>
      <c r="EC1240" s="23"/>
      <c r="ED1240" s="23"/>
      <c r="EE1240" s="23"/>
      <c r="EF1240" s="23"/>
      <c r="EG1240" s="23"/>
      <c r="EH1240" s="23"/>
      <c r="EI1240" s="23"/>
      <c r="EJ1240" s="23"/>
      <c r="EK1240" s="23"/>
      <c r="EL1240" s="23"/>
      <c r="EM1240" s="23"/>
      <c r="EN1240" s="23"/>
      <c r="EO1240" s="23"/>
      <c r="EP1240" s="23"/>
      <c r="EQ1240" s="23"/>
      <c r="ER1240" s="23"/>
    </row>
    <row r="1241" spans="1:148" s="22" customFormat="1" x14ac:dyDescent="0.25">
      <c r="A1241" s="20"/>
      <c r="B1241" s="16"/>
      <c r="C1241" s="473"/>
      <c r="D1241" s="473"/>
      <c r="E1241" s="1164"/>
      <c r="F1241" s="473"/>
      <c r="G1241" s="473"/>
      <c r="H1241" s="1164"/>
      <c r="I1241" s="473"/>
      <c r="J1241" s="473"/>
      <c r="K1241" s="1164"/>
      <c r="L1241" s="473"/>
      <c r="M1241" s="473"/>
      <c r="N1241" s="1164"/>
      <c r="O1241" s="473"/>
      <c r="P1241" s="473"/>
      <c r="Q1241" s="1164"/>
      <c r="R1241" s="473"/>
      <c r="S1241" s="473"/>
      <c r="T1241" s="1164"/>
      <c r="U1241" s="1164"/>
      <c r="V1241" s="473"/>
      <c r="W1241" s="473"/>
      <c r="X1241" s="1164"/>
      <c r="Y1241" s="473"/>
      <c r="Z1241" s="473"/>
      <c r="AA1241" s="1164"/>
      <c r="AB1241" s="473"/>
      <c r="AC1241" s="1164"/>
      <c r="AD1241" s="473"/>
      <c r="AE1241" s="1164"/>
      <c r="AF1241" s="473"/>
      <c r="AG1241" s="1164"/>
      <c r="AH1241" s="473"/>
      <c r="AI1241" s="473"/>
      <c r="AJ1241" s="1164"/>
      <c r="AK1241" s="473"/>
      <c r="AL1241" s="473"/>
      <c r="AM1241" s="1164"/>
      <c r="AN1241" s="473"/>
      <c r="AO1241" s="473"/>
      <c r="AP1241" s="1164"/>
      <c r="AQ1241" s="473"/>
      <c r="AR1241" s="473"/>
      <c r="AS1241" s="1236"/>
      <c r="AT1241" s="473"/>
      <c r="AU1241" s="473"/>
      <c r="AV1241" s="1164"/>
      <c r="AW1241" s="1164"/>
      <c r="AX1241" s="1236"/>
      <c r="AY1241" s="473"/>
      <c r="AZ1241" s="1236"/>
      <c r="BA1241" s="473"/>
      <c r="BB1241" s="473"/>
      <c r="BC1241" s="1164"/>
      <c r="BD1241" s="20"/>
      <c r="BE1241" s="473"/>
      <c r="BF1241" s="610"/>
      <c r="BG1241" s="610"/>
      <c r="BH1241" s="610"/>
      <c r="BI1241" s="610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3"/>
      <c r="CQ1241" s="23"/>
      <c r="CR1241" s="23"/>
      <c r="CS1241" s="23"/>
      <c r="CT1241" s="23"/>
      <c r="CU1241" s="23"/>
      <c r="CV1241" s="23"/>
      <c r="CW1241" s="23"/>
      <c r="CX1241" s="23"/>
      <c r="CY1241" s="23"/>
      <c r="CZ1241" s="23"/>
      <c r="DA1241" s="23"/>
      <c r="DB1241" s="23"/>
      <c r="DC1241" s="23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  <c r="DZ1241" s="23"/>
      <c r="EA1241" s="23"/>
      <c r="EB1241" s="23"/>
      <c r="EC1241" s="23"/>
      <c r="ED1241" s="23"/>
      <c r="EE1241" s="23"/>
      <c r="EF1241" s="23"/>
      <c r="EG1241" s="23"/>
      <c r="EH1241" s="23"/>
      <c r="EI1241" s="23"/>
      <c r="EJ1241" s="23"/>
      <c r="EK1241" s="23"/>
      <c r="EL1241" s="23"/>
      <c r="EM1241" s="23"/>
      <c r="EN1241" s="23"/>
      <c r="EO1241" s="23"/>
      <c r="EP1241" s="23"/>
      <c r="EQ1241" s="23"/>
      <c r="ER1241" s="23"/>
    </row>
    <row r="1242" spans="1:148" s="22" customFormat="1" x14ac:dyDescent="0.25">
      <c r="A1242" s="20"/>
      <c r="B1242" s="16"/>
      <c r="C1242" s="473"/>
      <c r="D1242" s="473"/>
      <c r="E1242" s="1164"/>
      <c r="F1242" s="473"/>
      <c r="G1242" s="473"/>
      <c r="H1242" s="1164"/>
      <c r="I1242" s="473"/>
      <c r="J1242" s="473"/>
      <c r="K1242" s="1164"/>
      <c r="L1242" s="473"/>
      <c r="M1242" s="473"/>
      <c r="N1242" s="1164"/>
      <c r="O1242" s="473"/>
      <c r="P1242" s="473"/>
      <c r="Q1242" s="1164"/>
      <c r="R1242" s="473"/>
      <c r="S1242" s="473"/>
      <c r="T1242" s="1164"/>
      <c r="U1242" s="1164"/>
      <c r="V1242" s="473"/>
      <c r="W1242" s="473"/>
      <c r="X1242" s="1164"/>
      <c r="Y1242" s="473"/>
      <c r="Z1242" s="473"/>
      <c r="AA1242" s="1164"/>
      <c r="AB1242" s="473"/>
      <c r="AC1242" s="1164"/>
      <c r="AD1242" s="473"/>
      <c r="AE1242" s="1164"/>
      <c r="AF1242" s="473"/>
      <c r="AG1242" s="1164"/>
      <c r="AH1242" s="473"/>
      <c r="AI1242" s="473"/>
      <c r="AJ1242" s="1164"/>
      <c r="AK1242" s="473"/>
      <c r="AL1242" s="473"/>
      <c r="AM1242" s="1164"/>
      <c r="AN1242" s="473"/>
      <c r="AO1242" s="473"/>
      <c r="AP1242" s="1164"/>
      <c r="AQ1242" s="473"/>
      <c r="AR1242" s="473"/>
      <c r="AS1242" s="1236"/>
      <c r="AT1242" s="473"/>
      <c r="AU1242" s="473"/>
      <c r="AV1242" s="1164"/>
      <c r="AW1242" s="1164"/>
      <c r="AX1242" s="1236"/>
      <c r="AY1242" s="473"/>
      <c r="AZ1242" s="1236"/>
      <c r="BA1242" s="473"/>
      <c r="BB1242" s="473"/>
      <c r="BC1242" s="1164"/>
      <c r="BD1242" s="20"/>
      <c r="BE1242" s="473"/>
      <c r="BF1242" s="610"/>
      <c r="BG1242" s="610"/>
      <c r="BH1242" s="610"/>
      <c r="BI1242" s="610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3"/>
      <c r="CQ1242" s="23"/>
      <c r="CR1242" s="23"/>
      <c r="CS1242" s="23"/>
      <c r="CT1242" s="23"/>
      <c r="CU1242" s="23"/>
      <c r="CV1242" s="23"/>
      <c r="CW1242" s="23"/>
      <c r="CX1242" s="23"/>
      <c r="CY1242" s="23"/>
      <c r="CZ1242" s="23"/>
      <c r="DA1242" s="23"/>
      <c r="DB1242" s="23"/>
      <c r="DC1242" s="23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3"/>
      <c r="EA1242" s="23"/>
      <c r="EB1242" s="23"/>
      <c r="EC1242" s="23"/>
      <c r="ED1242" s="23"/>
      <c r="EE1242" s="23"/>
      <c r="EF1242" s="23"/>
      <c r="EG1242" s="23"/>
      <c r="EH1242" s="23"/>
      <c r="EI1242" s="23"/>
      <c r="EJ1242" s="23"/>
      <c r="EK1242" s="23"/>
      <c r="EL1242" s="23"/>
      <c r="EM1242" s="23"/>
      <c r="EN1242" s="23"/>
      <c r="EO1242" s="23"/>
      <c r="EP1242" s="23"/>
      <c r="EQ1242" s="23"/>
      <c r="ER1242" s="23"/>
    </row>
    <row r="1243" spans="1:148" s="22" customFormat="1" x14ac:dyDescent="0.25">
      <c r="A1243" s="20"/>
      <c r="B1243" s="16"/>
      <c r="C1243" s="473"/>
      <c r="D1243" s="473"/>
      <c r="E1243" s="1164"/>
      <c r="F1243" s="473"/>
      <c r="G1243" s="473"/>
      <c r="H1243" s="1164"/>
      <c r="I1243" s="473"/>
      <c r="J1243" s="473"/>
      <c r="K1243" s="1164"/>
      <c r="L1243" s="473"/>
      <c r="M1243" s="473"/>
      <c r="N1243" s="1164"/>
      <c r="O1243" s="473"/>
      <c r="P1243" s="473"/>
      <c r="Q1243" s="1164"/>
      <c r="R1243" s="473"/>
      <c r="S1243" s="473"/>
      <c r="T1243" s="1164"/>
      <c r="U1243" s="1164"/>
      <c r="V1243" s="473"/>
      <c r="W1243" s="473"/>
      <c r="X1243" s="1164"/>
      <c r="Y1243" s="473"/>
      <c r="Z1243" s="473"/>
      <c r="AA1243" s="1164"/>
      <c r="AB1243" s="473"/>
      <c r="AC1243" s="1164"/>
      <c r="AD1243" s="473"/>
      <c r="AE1243" s="1164"/>
      <c r="AF1243" s="473"/>
      <c r="AG1243" s="1164"/>
      <c r="AH1243" s="473"/>
      <c r="AI1243" s="473"/>
      <c r="AJ1243" s="1164"/>
      <c r="AK1243" s="473"/>
      <c r="AL1243" s="473"/>
      <c r="AM1243" s="1164"/>
      <c r="AN1243" s="473"/>
      <c r="AO1243" s="473"/>
      <c r="AP1243" s="1164"/>
      <c r="AQ1243" s="473"/>
      <c r="AR1243" s="473"/>
      <c r="AS1243" s="1236"/>
      <c r="AT1243" s="473"/>
      <c r="AU1243" s="473"/>
      <c r="AV1243" s="1164"/>
      <c r="AW1243" s="1164"/>
      <c r="AX1243" s="1236"/>
      <c r="AY1243" s="473"/>
      <c r="AZ1243" s="1236"/>
      <c r="BA1243" s="473"/>
      <c r="BB1243" s="473"/>
      <c r="BC1243" s="1164"/>
      <c r="BD1243" s="20"/>
      <c r="BE1243" s="473"/>
      <c r="BF1243" s="610"/>
      <c r="BG1243" s="610"/>
      <c r="BH1243" s="610"/>
      <c r="BI1243" s="610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3"/>
      <c r="CQ1243" s="23"/>
      <c r="CR1243" s="23"/>
      <c r="CS1243" s="23"/>
      <c r="CT1243" s="23"/>
      <c r="CU1243" s="23"/>
      <c r="CV1243" s="23"/>
      <c r="CW1243" s="23"/>
      <c r="CX1243" s="23"/>
      <c r="CY1243" s="23"/>
      <c r="CZ1243" s="23"/>
      <c r="DA1243" s="23"/>
      <c r="DB1243" s="23"/>
      <c r="DC1243" s="23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3"/>
      <c r="EA1243" s="23"/>
      <c r="EB1243" s="23"/>
      <c r="EC1243" s="23"/>
      <c r="ED1243" s="23"/>
      <c r="EE1243" s="23"/>
      <c r="EF1243" s="23"/>
      <c r="EG1243" s="23"/>
      <c r="EH1243" s="23"/>
      <c r="EI1243" s="23"/>
      <c r="EJ1243" s="23"/>
      <c r="EK1243" s="23"/>
      <c r="EL1243" s="23"/>
      <c r="EM1243" s="23"/>
      <c r="EN1243" s="23"/>
      <c r="EO1243" s="23"/>
      <c r="EP1243" s="23"/>
      <c r="EQ1243" s="23"/>
      <c r="ER1243" s="23"/>
    </row>
    <row r="1244" spans="1:148" s="22" customFormat="1" x14ac:dyDescent="0.25">
      <c r="A1244" s="20"/>
      <c r="B1244" s="16"/>
      <c r="C1244" s="473"/>
      <c r="D1244" s="473"/>
      <c r="E1244" s="1164"/>
      <c r="F1244" s="473"/>
      <c r="G1244" s="473"/>
      <c r="H1244" s="1164"/>
      <c r="I1244" s="473"/>
      <c r="J1244" s="473"/>
      <c r="K1244" s="1164"/>
      <c r="L1244" s="473"/>
      <c r="M1244" s="473"/>
      <c r="N1244" s="1164"/>
      <c r="O1244" s="473"/>
      <c r="P1244" s="473"/>
      <c r="Q1244" s="1164"/>
      <c r="R1244" s="473"/>
      <c r="S1244" s="473"/>
      <c r="T1244" s="1164"/>
      <c r="U1244" s="1164"/>
      <c r="V1244" s="473"/>
      <c r="W1244" s="473"/>
      <c r="X1244" s="1164"/>
      <c r="Y1244" s="473"/>
      <c r="Z1244" s="473"/>
      <c r="AA1244" s="1164"/>
      <c r="AB1244" s="473"/>
      <c r="AC1244" s="1164"/>
      <c r="AD1244" s="473"/>
      <c r="AE1244" s="1164"/>
      <c r="AF1244" s="473"/>
      <c r="AG1244" s="1164"/>
      <c r="AH1244" s="473"/>
      <c r="AI1244" s="473"/>
      <c r="AJ1244" s="1164"/>
      <c r="AK1244" s="473"/>
      <c r="AL1244" s="473"/>
      <c r="AM1244" s="1164"/>
      <c r="AN1244" s="473"/>
      <c r="AO1244" s="473"/>
      <c r="AP1244" s="1164"/>
      <c r="AQ1244" s="473"/>
      <c r="AR1244" s="473"/>
      <c r="AS1244" s="1236"/>
      <c r="AT1244" s="473"/>
      <c r="AU1244" s="473"/>
      <c r="AV1244" s="1164"/>
      <c r="AW1244" s="1164"/>
      <c r="AX1244" s="1236"/>
      <c r="AY1244" s="473"/>
      <c r="AZ1244" s="1236"/>
      <c r="BA1244" s="473"/>
      <c r="BB1244" s="473"/>
      <c r="BC1244" s="1164"/>
      <c r="BD1244" s="20"/>
      <c r="BE1244" s="473"/>
      <c r="BF1244" s="610"/>
      <c r="BG1244" s="610"/>
      <c r="BH1244" s="610"/>
      <c r="BI1244" s="610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  <c r="CM1244" s="23"/>
      <c r="CN1244" s="23"/>
      <c r="CO1244" s="23"/>
      <c r="CP1244" s="23"/>
      <c r="CQ1244" s="23"/>
      <c r="CR1244" s="23"/>
      <c r="CS1244" s="23"/>
      <c r="CT1244" s="23"/>
      <c r="CU1244" s="23"/>
      <c r="CV1244" s="23"/>
      <c r="CW1244" s="23"/>
      <c r="CX1244" s="23"/>
      <c r="CY1244" s="23"/>
      <c r="CZ1244" s="23"/>
      <c r="DA1244" s="23"/>
      <c r="DB1244" s="23"/>
      <c r="DC1244" s="23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  <c r="DZ1244" s="23"/>
      <c r="EA1244" s="23"/>
      <c r="EB1244" s="23"/>
      <c r="EC1244" s="23"/>
      <c r="ED1244" s="23"/>
      <c r="EE1244" s="23"/>
      <c r="EF1244" s="23"/>
      <c r="EG1244" s="23"/>
      <c r="EH1244" s="23"/>
      <c r="EI1244" s="23"/>
      <c r="EJ1244" s="23"/>
      <c r="EK1244" s="23"/>
      <c r="EL1244" s="23"/>
      <c r="EM1244" s="23"/>
      <c r="EN1244" s="23"/>
      <c r="EO1244" s="23"/>
      <c r="EP1244" s="23"/>
      <c r="EQ1244" s="23"/>
      <c r="ER1244" s="23"/>
    </row>
    <row r="1245" spans="1:148" s="22" customFormat="1" x14ac:dyDescent="0.25">
      <c r="A1245" s="20"/>
      <c r="B1245" s="16"/>
      <c r="C1245" s="473"/>
      <c r="D1245" s="473"/>
      <c r="E1245" s="1164"/>
      <c r="F1245" s="473"/>
      <c r="G1245" s="473"/>
      <c r="H1245" s="1164"/>
      <c r="I1245" s="473"/>
      <c r="J1245" s="473"/>
      <c r="K1245" s="1164"/>
      <c r="L1245" s="473"/>
      <c r="M1245" s="473"/>
      <c r="N1245" s="1164"/>
      <c r="O1245" s="473"/>
      <c r="P1245" s="473"/>
      <c r="Q1245" s="1164"/>
      <c r="R1245" s="473"/>
      <c r="S1245" s="473"/>
      <c r="T1245" s="1164"/>
      <c r="U1245" s="1164"/>
      <c r="V1245" s="473"/>
      <c r="W1245" s="473"/>
      <c r="X1245" s="1164"/>
      <c r="Y1245" s="473"/>
      <c r="Z1245" s="473"/>
      <c r="AA1245" s="1164"/>
      <c r="AB1245" s="473"/>
      <c r="AC1245" s="1164"/>
      <c r="AD1245" s="473"/>
      <c r="AE1245" s="1164"/>
      <c r="AF1245" s="473"/>
      <c r="AG1245" s="1164"/>
      <c r="AH1245" s="473"/>
      <c r="AI1245" s="473"/>
      <c r="AJ1245" s="1164"/>
      <c r="AK1245" s="473"/>
      <c r="AL1245" s="473"/>
      <c r="AM1245" s="1164"/>
      <c r="AN1245" s="473"/>
      <c r="AO1245" s="473"/>
      <c r="AP1245" s="1164"/>
      <c r="AQ1245" s="473"/>
      <c r="AR1245" s="473"/>
      <c r="AS1245" s="1236"/>
      <c r="AT1245" s="473"/>
      <c r="AU1245" s="473"/>
      <c r="AV1245" s="1164"/>
      <c r="AW1245" s="1164"/>
      <c r="AX1245" s="1236"/>
      <c r="AY1245" s="473"/>
      <c r="AZ1245" s="1236"/>
      <c r="BA1245" s="473"/>
      <c r="BB1245" s="473"/>
      <c r="BC1245" s="1164"/>
      <c r="BD1245" s="20"/>
      <c r="BE1245" s="473"/>
      <c r="BF1245" s="610"/>
      <c r="BG1245" s="610"/>
      <c r="BH1245" s="610"/>
      <c r="BI1245" s="610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  <c r="CM1245" s="23"/>
      <c r="CN1245" s="23"/>
      <c r="CO1245" s="23"/>
      <c r="CP1245" s="23"/>
      <c r="CQ1245" s="23"/>
      <c r="CR1245" s="23"/>
      <c r="CS1245" s="23"/>
      <c r="CT1245" s="23"/>
      <c r="CU1245" s="23"/>
      <c r="CV1245" s="23"/>
      <c r="CW1245" s="23"/>
      <c r="CX1245" s="23"/>
      <c r="CY1245" s="23"/>
      <c r="CZ1245" s="23"/>
      <c r="DA1245" s="23"/>
      <c r="DB1245" s="23"/>
      <c r="DC1245" s="23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  <c r="DZ1245" s="23"/>
      <c r="EA1245" s="23"/>
      <c r="EB1245" s="23"/>
      <c r="EC1245" s="23"/>
      <c r="ED1245" s="23"/>
      <c r="EE1245" s="23"/>
      <c r="EF1245" s="23"/>
      <c r="EG1245" s="23"/>
      <c r="EH1245" s="23"/>
      <c r="EI1245" s="23"/>
      <c r="EJ1245" s="23"/>
      <c r="EK1245" s="23"/>
      <c r="EL1245" s="23"/>
      <c r="EM1245" s="23"/>
      <c r="EN1245" s="23"/>
      <c r="EO1245" s="23"/>
      <c r="EP1245" s="23"/>
      <c r="EQ1245" s="23"/>
      <c r="ER1245" s="23"/>
    </row>
    <row r="1246" spans="1:148" s="22" customFormat="1" x14ac:dyDescent="0.25">
      <c r="A1246" s="20"/>
      <c r="B1246" s="16"/>
      <c r="C1246" s="473"/>
      <c r="D1246" s="473"/>
      <c r="E1246" s="1164"/>
      <c r="F1246" s="473"/>
      <c r="G1246" s="473"/>
      <c r="H1246" s="1164"/>
      <c r="I1246" s="473"/>
      <c r="J1246" s="473"/>
      <c r="K1246" s="1164"/>
      <c r="L1246" s="473"/>
      <c r="M1246" s="473"/>
      <c r="N1246" s="1164"/>
      <c r="O1246" s="473"/>
      <c r="P1246" s="473"/>
      <c r="Q1246" s="1164"/>
      <c r="R1246" s="473"/>
      <c r="S1246" s="473"/>
      <c r="T1246" s="1164"/>
      <c r="U1246" s="1164"/>
      <c r="V1246" s="473"/>
      <c r="W1246" s="473"/>
      <c r="X1246" s="1164"/>
      <c r="Y1246" s="473"/>
      <c r="Z1246" s="473"/>
      <c r="AA1246" s="1164"/>
      <c r="AB1246" s="473"/>
      <c r="AC1246" s="1164"/>
      <c r="AD1246" s="473"/>
      <c r="AE1246" s="1164"/>
      <c r="AF1246" s="473"/>
      <c r="AG1246" s="1164"/>
      <c r="AH1246" s="473"/>
      <c r="AI1246" s="473"/>
      <c r="AJ1246" s="1164"/>
      <c r="AK1246" s="473"/>
      <c r="AL1246" s="473"/>
      <c r="AM1246" s="1164"/>
      <c r="AN1246" s="473"/>
      <c r="AO1246" s="473"/>
      <c r="AP1246" s="1164"/>
      <c r="AQ1246" s="473"/>
      <c r="AR1246" s="473"/>
      <c r="AS1246" s="1236"/>
      <c r="AT1246" s="473"/>
      <c r="AU1246" s="473"/>
      <c r="AV1246" s="1164"/>
      <c r="AW1246" s="1164"/>
      <c r="AX1246" s="1236"/>
      <c r="AY1246" s="473"/>
      <c r="AZ1246" s="1236"/>
      <c r="BA1246" s="473"/>
      <c r="BB1246" s="473"/>
      <c r="BC1246" s="1164"/>
      <c r="BD1246" s="20"/>
      <c r="BE1246" s="473"/>
      <c r="BF1246" s="610"/>
      <c r="BG1246" s="610"/>
      <c r="BH1246" s="610"/>
      <c r="BI1246" s="610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  <c r="EF1246" s="23"/>
      <c r="EG1246" s="23"/>
      <c r="EH1246" s="23"/>
      <c r="EI1246" s="23"/>
      <c r="EJ1246" s="23"/>
      <c r="EK1246" s="23"/>
      <c r="EL1246" s="23"/>
      <c r="EM1246" s="23"/>
      <c r="EN1246" s="23"/>
      <c r="EO1246" s="23"/>
      <c r="EP1246" s="23"/>
      <c r="EQ1246" s="23"/>
      <c r="ER1246" s="23"/>
    </row>
    <row r="1247" spans="1:148" s="22" customFormat="1" x14ac:dyDescent="0.25">
      <c r="A1247" s="20"/>
      <c r="B1247" s="16"/>
      <c r="C1247" s="473"/>
      <c r="D1247" s="473"/>
      <c r="E1247" s="1164"/>
      <c r="F1247" s="473"/>
      <c r="G1247" s="473"/>
      <c r="H1247" s="1164"/>
      <c r="I1247" s="473"/>
      <c r="J1247" s="473"/>
      <c r="K1247" s="1164"/>
      <c r="L1247" s="473"/>
      <c r="M1247" s="473"/>
      <c r="N1247" s="1164"/>
      <c r="O1247" s="473"/>
      <c r="P1247" s="473"/>
      <c r="Q1247" s="1164"/>
      <c r="R1247" s="473"/>
      <c r="S1247" s="473"/>
      <c r="T1247" s="1164"/>
      <c r="U1247" s="1164"/>
      <c r="V1247" s="473"/>
      <c r="W1247" s="473"/>
      <c r="X1247" s="1164"/>
      <c r="Y1247" s="473"/>
      <c r="Z1247" s="473"/>
      <c r="AA1247" s="1164"/>
      <c r="AB1247" s="473"/>
      <c r="AC1247" s="1164"/>
      <c r="AD1247" s="473"/>
      <c r="AE1247" s="1164"/>
      <c r="AF1247" s="473"/>
      <c r="AG1247" s="1164"/>
      <c r="AH1247" s="473"/>
      <c r="AI1247" s="473"/>
      <c r="AJ1247" s="1164"/>
      <c r="AK1247" s="473"/>
      <c r="AL1247" s="473"/>
      <c r="AM1247" s="1164"/>
      <c r="AN1247" s="473"/>
      <c r="AO1247" s="473"/>
      <c r="AP1247" s="1164"/>
      <c r="AQ1247" s="473"/>
      <c r="AR1247" s="473"/>
      <c r="AS1247" s="1236"/>
      <c r="AT1247" s="473"/>
      <c r="AU1247" s="473"/>
      <c r="AV1247" s="1164"/>
      <c r="AW1247" s="1164"/>
      <c r="AX1247" s="1236"/>
      <c r="AY1247" s="473"/>
      <c r="AZ1247" s="1236"/>
      <c r="BA1247" s="473"/>
      <c r="BB1247" s="473"/>
      <c r="BC1247" s="1164"/>
      <c r="BD1247" s="20"/>
      <c r="BE1247" s="473"/>
      <c r="BF1247" s="610"/>
      <c r="BG1247" s="610"/>
      <c r="BH1247" s="610"/>
      <c r="BI1247" s="610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  <c r="EH1247" s="23"/>
      <c r="EI1247" s="23"/>
      <c r="EJ1247" s="23"/>
      <c r="EK1247" s="23"/>
      <c r="EL1247" s="23"/>
      <c r="EM1247" s="23"/>
      <c r="EN1247" s="23"/>
      <c r="EO1247" s="23"/>
      <c r="EP1247" s="23"/>
      <c r="EQ1247" s="23"/>
      <c r="ER1247" s="23"/>
    </row>
    <row r="1248" spans="1:148" s="22" customFormat="1" x14ac:dyDescent="0.25">
      <c r="A1248" s="20"/>
      <c r="B1248" s="16"/>
      <c r="C1248" s="473"/>
      <c r="D1248" s="473"/>
      <c r="E1248" s="1164"/>
      <c r="F1248" s="473"/>
      <c r="G1248" s="473"/>
      <c r="H1248" s="1164"/>
      <c r="I1248" s="473"/>
      <c r="J1248" s="473"/>
      <c r="K1248" s="1164"/>
      <c r="L1248" s="473"/>
      <c r="M1248" s="473"/>
      <c r="N1248" s="1164"/>
      <c r="O1248" s="473"/>
      <c r="P1248" s="473"/>
      <c r="Q1248" s="1164"/>
      <c r="R1248" s="473"/>
      <c r="S1248" s="473"/>
      <c r="T1248" s="1164"/>
      <c r="U1248" s="1164"/>
      <c r="V1248" s="473"/>
      <c r="W1248" s="473"/>
      <c r="X1248" s="1164"/>
      <c r="Y1248" s="473"/>
      <c r="Z1248" s="473"/>
      <c r="AA1248" s="1164"/>
      <c r="AB1248" s="473"/>
      <c r="AC1248" s="1164"/>
      <c r="AD1248" s="473"/>
      <c r="AE1248" s="1164"/>
      <c r="AF1248" s="473"/>
      <c r="AG1248" s="1164"/>
      <c r="AH1248" s="473"/>
      <c r="AI1248" s="473"/>
      <c r="AJ1248" s="1164"/>
      <c r="AK1248" s="473"/>
      <c r="AL1248" s="473"/>
      <c r="AM1248" s="1164"/>
      <c r="AN1248" s="473"/>
      <c r="AO1248" s="473"/>
      <c r="AP1248" s="1164"/>
      <c r="AQ1248" s="473"/>
      <c r="AR1248" s="473"/>
      <c r="AS1248" s="1236"/>
      <c r="AT1248" s="473"/>
      <c r="AU1248" s="473"/>
      <c r="AV1248" s="1164"/>
      <c r="AW1248" s="1164"/>
      <c r="AX1248" s="1236"/>
      <c r="AY1248" s="473"/>
      <c r="AZ1248" s="1236"/>
      <c r="BA1248" s="473"/>
      <c r="BB1248" s="473"/>
      <c r="BC1248" s="1164"/>
      <c r="BD1248" s="20"/>
      <c r="BE1248" s="473"/>
      <c r="BF1248" s="610"/>
      <c r="BG1248" s="610"/>
      <c r="BH1248" s="610"/>
      <c r="BI1248" s="610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</row>
    <row r="1249" spans="1:148" s="22" customFormat="1" x14ac:dyDescent="0.25">
      <c r="A1249" s="20"/>
      <c r="B1249" s="16"/>
      <c r="C1249" s="473"/>
      <c r="D1249" s="473"/>
      <c r="E1249" s="1164"/>
      <c r="F1249" s="473"/>
      <c r="G1249" s="473"/>
      <c r="H1249" s="1164"/>
      <c r="I1249" s="473"/>
      <c r="J1249" s="473"/>
      <c r="K1249" s="1164"/>
      <c r="L1249" s="473"/>
      <c r="M1249" s="473"/>
      <c r="N1249" s="1164"/>
      <c r="O1249" s="473"/>
      <c r="P1249" s="473"/>
      <c r="Q1249" s="1164"/>
      <c r="R1249" s="473"/>
      <c r="S1249" s="473"/>
      <c r="T1249" s="1164"/>
      <c r="U1249" s="1164"/>
      <c r="V1249" s="473"/>
      <c r="W1249" s="473"/>
      <c r="X1249" s="1164"/>
      <c r="Y1249" s="473"/>
      <c r="Z1249" s="473"/>
      <c r="AA1249" s="1164"/>
      <c r="AB1249" s="473"/>
      <c r="AC1249" s="1164"/>
      <c r="AD1249" s="473"/>
      <c r="AE1249" s="1164"/>
      <c r="AF1249" s="473"/>
      <c r="AG1249" s="1164"/>
      <c r="AH1249" s="473"/>
      <c r="AI1249" s="473"/>
      <c r="AJ1249" s="1164"/>
      <c r="AK1249" s="473"/>
      <c r="AL1249" s="473"/>
      <c r="AM1249" s="1164"/>
      <c r="AN1249" s="473"/>
      <c r="AO1249" s="473"/>
      <c r="AP1249" s="1164"/>
      <c r="AQ1249" s="473"/>
      <c r="AR1249" s="473"/>
      <c r="AS1249" s="1236"/>
      <c r="AT1249" s="473"/>
      <c r="AU1249" s="473"/>
      <c r="AV1249" s="1164"/>
      <c r="AW1249" s="1164"/>
      <c r="AX1249" s="1236"/>
      <c r="AY1249" s="473"/>
      <c r="AZ1249" s="1236"/>
      <c r="BA1249" s="473"/>
      <c r="BB1249" s="473"/>
      <c r="BC1249" s="1164"/>
      <c r="BD1249" s="20"/>
      <c r="BE1249" s="473"/>
      <c r="BF1249" s="610"/>
      <c r="BG1249" s="610"/>
      <c r="BH1249" s="610"/>
      <c r="BI1249" s="610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  <c r="EH1249" s="23"/>
      <c r="EI1249" s="23"/>
      <c r="EJ1249" s="23"/>
      <c r="EK1249" s="23"/>
      <c r="EL1249" s="23"/>
      <c r="EM1249" s="23"/>
      <c r="EN1249" s="23"/>
      <c r="EO1249" s="23"/>
      <c r="EP1249" s="23"/>
      <c r="EQ1249" s="23"/>
      <c r="ER1249" s="23"/>
    </row>
    <row r="1250" spans="1:148" s="22" customFormat="1" x14ac:dyDescent="0.25">
      <c r="A1250" s="20"/>
      <c r="B1250" s="16"/>
      <c r="C1250" s="473"/>
      <c r="D1250" s="473"/>
      <c r="E1250" s="1164"/>
      <c r="F1250" s="473"/>
      <c r="G1250" s="473"/>
      <c r="H1250" s="1164"/>
      <c r="I1250" s="473"/>
      <c r="J1250" s="473"/>
      <c r="K1250" s="1164"/>
      <c r="L1250" s="473"/>
      <c r="M1250" s="473"/>
      <c r="N1250" s="1164"/>
      <c r="O1250" s="473"/>
      <c r="P1250" s="473"/>
      <c r="Q1250" s="1164"/>
      <c r="R1250" s="473"/>
      <c r="S1250" s="473"/>
      <c r="T1250" s="1164"/>
      <c r="U1250" s="1164"/>
      <c r="V1250" s="473"/>
      <c r="W1250" s="473"/>
      <c r="X1250" s="1164"/>
      <c r="Y1250" s="473"/>
      <c r="Z1250" s="473"/>
      <c r="AA1250" s="1164"/>
      <c r="AB1250" s="473"/>
      <c r="AC1250" s="1164"/>
      <c r="AD1250" s="473"/>
      <c r="AE1250" s="1164"/>
      <c r="AF1250" s="473"/>
      <c r="AG1250" s="1164"/>
      <c r="AH1250" s="473"/>
      <c r="AI1250" s="473"/>
      <c r="AJ1250" s="1164"/>
      <c r="AK1250" s="473"/>
      <c r="AL1250" s="473"/>
      <c r="AM1250" s="1164"/>
      <c r="AN1250" s="473"/>
      <c r="AO1250" s="473"/>
      <c r="AP1250" s="1164"/>
      <c r="AQ1250" s="473"/>
      <c r="AR1250" s="473"/>
      <c r="AS1250" s="1236"/>
      <c r="AT1250" s="473"/>
      <c r="AU1250" s="473"/>
      <c r="AV1250" s="1164"/>
      <c r="AW1250" s="1164"/>
      <c r="AX1250" s="1236"/>
      <c r="AY1250" s="473"/>
      <c r="AZ1250" s="1236"/>
      <c r="BA1250" s="473"/>
      <c r="BB1250" s="473"/>
      <c r="BC1250" s="1164"/>
      <c r="BD1250" s="20"/>
      <c r="BE1250" s="473"/>
      <c r="BF1250" s="610"/>
      <c r="BG1250" s="610"/>
      <c r="BH1250" s="610"/>
      <c r="BI1250" s="610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  <c r="EH1250" s="23"/>
      <c r="EI1250" s="23"/>
      <c r="EJ1250" s="23"/>
      <c r="EK1250" s="23"/>
      <c r="EL1250" s="23"/>
      <c r="EM1250" s="23"/>
      <c r="EN1250" s="23"/>
      <c r="EO1250" s="23"/>
      <c r="EP1250" s="23"/>
      <c r="EQ1250" s="23"/>
      <c r="ER1250" s="23"/>
    </row>
    <row r="1251" spans="1:148" s="22" customFormat="1" x14ac:dyDescent="0.25">
      <c r="A1251" s="20"/>
      <c r="B1251" s="16"/>
      <c r="C1251" s="473"/>
      <c r="D1251" s="473"/>
      <c r="E1251" s="1164"/>
      <c r="F1251" s="473"/>
      <c r="G1251" s="473"/>
      <c r="H1251" s="1164"/>
      <c r="I1251" s="473"/>
      <c r="J1251" s="473"/>
      <c r="K1251" s="1164"/>
      <c r="L1251" s="473"/>
      <c r="M1251" s="473"/>
      <c r="N1251" s="1164"/>
      <c r="O1251" s="473"/>
      <c r="P1251" s="473"/>
      <c r="Q1251" s="1164"/>
      <c r="R1251" s="473"/>
      <c r="S1251" s="473"/>
      <c r="T1251" s="1164"/>
      <c r="U1251" s="1164"/>
      <c r="V1251" s="473"/>
      <c r="W1251" s="473"/>
      <c r="X1251" s="1164"/>
      <c r="Y1251" s="473"/>
      <c r="Z1251" s="473"/>
      <c r="AA1251" s="1164"/>
      <c r="AB1251" s="473"/>
      <c r="AC1251" s="1164"/>
      <c r="AD1251" s="473"/>
      <c r="AE1251" s="1164"/>
      <c r="AF1251" s="473"/>
      <c r="AG1251" s="1164"/>
      <c r="AH1251" s="473"/>
      <c r="AI1251" s="473"/>
      <c r="AJ1251" s="1164"/>
      <c r="AK1251" s="473"/>
      <c r="AL1251" s="473"/>
      <c r="AM1251" s="1164"/>
      <c r="AN1251" s="473"/>
      <c r="AO1251" s="473"/>
      <c r="AP1251" s="1164"/>
      <c r="AQ1251" s="473"/>
      <c r="AR1251" s="473"/>
      <c r="AS1251" s="1236"/>
      <c r="AT1251" s="473"/>
      <c r="AU1251" s="473"/>
      <c r="AV1251" s="1164"/>
      <c r="AW1251" s="1164"/>
      <c r="AX1251" s="1236"/>
      <c r="AY1251" s="473"/>
      <c r="AZ1251" s="1236"/>
      <c r="BA1251" s="473"/>
      <c r="BB1251" s="473"/>
      <c r="BC1251" s="1164"/>
      <c r="BD1251" s="20"/>
      <c r="BE1251" s="473"/>
      <c r="BF1251" s="610"/>
      <c r="BG1251" s="610"/>
      <c r="BH1251" s="610"/>
      <c r="BI1251" s="610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</row>
    <row r="1252" spans="1:148" s="22" customFormat="1" x14ac:dyDescent="0.25">
      <c r="A1252" s="20"/>
      <c r="B1252" s="16"/>
      <c r="C1252" s="473"/>
      <c r="D1252" s="473"/>
      <c r="E1252" s="1164"/>
      <c r="F1252" s="473"/>
      <c r="G1252" s="473"/>
      <c r="H1252" s="1164"/>
      <c r="I1252" s="473"/>
      <c r="J1252" s="473"/>
      <c r="K1252" s="1164"/>
      <c r="L1252" s="473"/>
      <c r="M1252" s="473"/>
      <c r="N1252" s="1164"/>
      <c r="O1252" s="473"/>
      <c r="P1252" s="473"/>
      <c r="Q1252" s="1164"/>
      <c r="R1252" s="473"/>
      <c r="S1252" s="473"/>
      <c r="T1252" s="1164"/>
      <c r="U1252" s="1164"/>
      <c r="V1252" s="473"/>
      <c r="W1252" s="473"/>
      <c r="X1252" s="1164"/>
      <c r="Y1252" s="473"/>
      <c r="Z1252" s="473"/>
      <c r="AA1252" s="1164"/>
      <c r="AB1252" s="473"/>
      <c r="AC1252" s="1164"/>
      <c r="AD1252" s="473"/>
      <c r="AE1252" s="1164"/>
      <c r="AF1252" s="473"/>
      <c r="AG1252" s="1164"/>
      <c r="AH1252" s="473"/>
      <c r="AI1252" s="473"/>
      <c r="AJ1252" s="1164"/>
      <c r="AK1252" s="473"/>
      <c r="AL1252" s="473"/>
      <c r="AM1252" s="1164"/>
      <c r="AN1252" s="473"/>
      <c r="AO1252" s="473"/>
      <c r="AP1252" s="1164"/>
      <c r="AQ1252" s="473"/>
      <c r="AR1252" s="473"/>
      <c r="AS1252" s="1236"/>
      <c r="AT1252" s="473"/>
      <c r="AU1252" s="473"/>
      <c r="AV1252" s="1164"/>
      <c r="AW1252" s="1164"/>
      <c r="AX1252" s="1236"/>
      <c r="AY1252" s="473"/>
      <c r="AZ1252" s="1236"/>
      <c r="BA1252" s="473"/>
      <c r="BB1252" s="473"/>
      <c r="BC1252" s="1164"/>
      <c r="BD1252" s="20"/>
      <c r="BE1252" s="473"/>
      <c r="BF1252" s="610"/>
      <c r="BG1252" s="610"/>
      <c r="BH1252" s="610"/>
      <c r="BI1252" s="610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23"/>
      <c r="EH1252" s="23"/>
      <c r="EI1252" s="23"/>
      <c r="EJ1252" s="23"/>
      <c r="EK1252" s="23"/>
      <c r="EL1252" s="23"/>
      <c r="EM1252" s="23"/>
      <c r="EN1252" s="23"/>
      <c r="EO1252" s="23"/>
      <c r="EP1252" s="23"/>
      <c r="EQ1252" s="23"/>
      <c r="ER1252" s="23"/>
    </row>
    <row r="1253" spans="1:148" s="22" customFormat="1" x14ac:dyDescent="0.25">
      <c r="A1253" s="20"/>
      <c r="B1253" s="16"/>
      <c r="C1253" s="473"/>
      <c r="D1253" s="473"/>
      <c r="E1253" s="1164"/>
      <c r="F1253" s="473"/>
      <c r="G1253" s="473"/>
      <c r="H1253" s="1164"/>
      <c r="I1253" s="473"/>
      <c r="J1253" s="473"/>
      <c r="K1253" s="1164"/>
      <c r="L1253" s="473"/>
      <c r="M1253" s="473"/>
      <c r="N1253" s="1164"/>
      <c r="O1253" s="473"/>
      <c r="P1253" s="473"/>
      <c r="Q1253" s="1164"/>
      <c r="R1253" s="473"/>
      <c r="S1253" s="473"/>
      <c r="T1253" s="1164"/>
      <c r="U1253" s="1164"/>
      <c r="V1253" s="473"/>
      <c r="W1253" s="473"/>
      <c r="X1253" s="1164"/>
      <c r="Y1253" s="473"/>
      <c r="Z1253" s="473"/>
      <c r="AA1253" s="1164"/>
      <c r="AB1253" s="473"/>
      <c r="AC1253" s="1164"/>
      <c r="AD1253" s="473"/>
      <c r="AE1253" s="1164"/>
      <c r="AF1253" s="473"/>
      <c r="AG1253" s="1164"/>
      <c r="AH1253" s="473"/>
      <c r="AI1253" s="473"/>
      <c r="AJ1253" s="1164"/>
      <c r="AK1253" s="473"/>
      <c r="AL1253" s="473"/>
      <c r="AM1253" s="1164"/>
      <c r="AN1253" s="473"/>
      <c r="AO1253" s="473"/>
      <c r="AP1253" s="1164"/>
      <c r="AQ1253" s="473"/>
      <c r="AR1253" s="473"/>
      <c r="AS1253" s="1236"/>
      <c r="AT1253" s="473"/>
      <c r="AU1253" s="473"/>
      <c r="AV1253" s="1164"/>
      <c r="AW1253" s="1164"/>
      <c r="AX1253" s="1236"/>
      <c r="AY1253" s="473"/>
      <c r="AZ1253" s="1236"/>
      <c r="BA1253" s="473"/>
      <c r="BB1253" s="473"/>
      <c r="BC1253" s="1164"/>
      <c r="BD1253" s="20"/>
      <c r="BE1253" s="473"/>
      <c r="BF1253" s="610"/>
      <c r="BG1253" s="610"/>
      <c r="BH1253" s="610"/>
      <c r="BI1253" s="610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23"/>
      <c r="EH1253" s="23"/>
      <c r="EI1253" s="23"/>
      <c r="EJ1253" s="23"/>
      <c r="EK1253" s="23"/>
      <c r="EL1253" s="23"/>
      <c r="EM1253" s="23"/>
      <c r="EN1253" s="23"/>
      <c r="EO1253" s="23"/>
      <c r="EP1253" s="23"/>
      <c r="EQ1253" s="23"/>
      <c r="ER1253" s="23"/>
    </row>
    <row r="1254" spans="1:148" s="22" customFormat="1" x14ac:dyDescent="0.25">
      <c r="A1254" s="20"/>
      <c r="B1254" s="16"/>
      <c r="C1254" s="473"/>
      <c r="D1254" s="473"/>
      <c r="E1254" s="1164"/>
      <c r="F1254" s="473"/>
      <c r="G1254" s="473"/>
      <c r="H1254" s="1164"/>
      <c r="I1254" s="473"/>
      <c r="J1254" s="473"/>
      <c r="K1254" s="1164"/>
      <c r="L1254" s="473"/>
      <c r="M1254" s="473"/>
      <c r="N1254" s="1164"/>
      <c r="O1254" s="473"/>
      <c r="P1254" s="473"/>
      <c r="Q1254" s="1164"/>
      <c r="R1254" s="473"/>
      <c r="S1254" s="473"/>
      <c r="T1254" s="1164"/>
      <c r="U1254" s="1164"/>
      <c r="V1254" s="473"/>
      <c r="W1254" s="473"/>
      <c r="X1254" s="1164"/>
      <c r="Y1254" s="473"/>
      <c r="Z1254" s="473"/>
      <c r="AA1254" s="1164"/>
      <c r="AB1254" s="473"/>
      <c r="AC1254" s="1164"/>
      <c r="AD1254" s="473"/>
      <c r="AE1254" s="1164"/>
      <c r="AF1254" s="473"/>
      <c r="AG1254" s="1164"/>
      <c r="AH1254" s="473"/>
      <c r="AI1254" s="473"/>
      <c r="AJ1254" s="1164"/>
      <c r="AK1254" s="473"/>
      <c r="AL1254" s="473"/>
      <c r="AM1254" s="1164"/>
      <c r="AN1254" s="473"/>
      <c r="AO1254" s="473"/>
      <c r="AP1254" s="1164"/>
      <c r="AQ1254" s="473"/>
      <c r="AR1254" s="473"/>
      <c r="AS1254" s="1236"/>
      <c r="AT1254" s="473"/>
      <c r="AU1254" s="473"/>
      <c r="AV1254" s="1164"/>
      <c r="AW1254" s="1164"/>
      <c r="AX1254" s="1236"/>
      <c r="AY1254" s="473"/>
      <c r="AZ1254" s="1236"/>
      <c r="BA1254" s="473"/>
      <c r="BB1254" s="473"/>
      <c r="BC1254" s="1164"/>
      <c r="BD1254" s="20"/>
      <c r="BE1254" s="473"/>
      <c r="BF1254" s="610"/>
      <c r="BG1254" s="610"/>
      <c r="BH1254" s="610"/>
      <c r="BI1254" s="610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23"/>
      <c r="EH1254" s="23"/>
      <c r="EI1254" s="23"/>
      <c r="EJ1254" s="23"/>
      <c r="EK1254" s="23"/>
      <c r="EL1254" s="23"/>
      <c r="EM1254" s="23"/>
      <c r="EN1254" s="23"/>
      <c r="EO1254" s="23"/>
      <c r="EP1254" s="23"/>
      <c r="EQ1254" s="23"/>
      <c r="ER1254" s="23"/>
    </row>
    <row r="1255" spans="1:148" s="22" customFormat="1" x14ac:dyDescent="0.25">
      <c r="A1255" s="20"/>
      <c r="B1255" s="16"/>
      <c r="C1255" s="473"/>
      <c r="D1255" s="473"/>
      <c r="E1255" s="1164"/>
      <c r="F1255" s="473"/>
      <c r="G1255" s="473"/>
      <c r="H1255" s="1164"/>
      <c r="I1255" s="473"/>
      <c r="J1255" s="473"/>
      <c r="K1255" s="1164"/>
      <c r="L1255" s="473"/>
      <c r="M1255" s="473"/>
      <c r="N1255" s="1164"/>
      <c r="O1255" s="473"/>
      <c r="P1255" s="473"/>
      <c r="Q1255" s="1164"/>
      <c r="R1255" s="473"/>
      <c r="S1255" s="473"/>
      <c r="T1255" s="1164"/>
      <c r="U1255" s="1164"/>
      <c r="V1255" s="473"/>
      <c r="W1255" s="473"/>
      <c r="X1255" s="1164"/>
      <c r="Y1255" s="473"/>
      <c r="Z1255" s="473"/>
      <c r="AA1255" s="1164"/>
      <c r="AB1255" s="473"/>
      <c r="AC1255" s="1164"/>
      <c r="AD1255" s="473"/>
      <c r="AE1255" s="1164"/>
      <c r="AF1255" s="473"/>
      <c r="AG1255" s="1164"/>
      <c r="AH1255" s="473"/>
      <c r="AI1255" s="473"/>
      <c r="AJ1255" s="1164"/>
      <c r="AK1255" s="473"/>
      <c r="AL1255" s="473"/>
      <c r="AM1255" s="1164"/>
      <c r="AN1255" s="473"/>
      <c r="AO1255" s="473"/>
      <c r="AP1255" s="1164"/>
      <c r="AQ1255" s="473"/>
      <c r="AR1255" s="473"/>
      <c r="AS1255" s="1236"/>
      <c r="AT1255" s="473"/>
      <c r="AU1255" s="473"/>
      <c r="AV1255" s="1164"/>
      <c r="AW1255" s="1164"/>
      <c r="AX1255" s="1236"/>
      <c r="AY1255" s="473"/>
      <c r="AZ1255" s="1236"/>
      <c r="BA1255" s="473"/>
      <c r="BB1255" s="473"/>
      <c r="BC1255" s="1164"/>
      <c r="BD1255" s="20"/>
      <c r="BE1255" s="473"/>
      <c r="BF1255" s="610"/>
      <c r="BG1255" s="610"/>
      <c r="BH1255" s="610"/>
      <c r="BI1255" s="610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23"/>
      <c r="EH1255" s="23"/>
      <c r="EI1255" s="23"/>
      <c r="EJ1255" s="23"/>
      <c r="EK1255" s="23"/>
      <c r="EL1255" s="23"/>
      <c r="EM1255" s="23"/>
      <c r="EN1255" s="23"/>
      <c r="EO1255" s="23"/>
      <c r="EP1255" s="23"/>
      <c r="EQ1255" s="23"/>
      <c r="ER1255" s="23"/>
    </row>
    <row r="1256" spans="1:148" s="22" customFormat="1" x14ac:dyDescent="0.25">
      <c r="A1256" s="20"/>
      <c r="B1256" s="16"/>
      <c r="C1256" s="473"/>
      <c r="D1256" s="473"/>
      <c r="E1256" s="1164"/>
      <c r="F1256" s="473"/>
      <c r="G1256" s="473"/>
      <c r="H1256" s="1164"/>
      <c r="I1256" s="473"/>
      <c r="J1256" s="473"/>
      <c r="K1256" s="1164"/>
      <c r="L1256" s="473"/>
      <c r="M1256" s="473"/>
      <c r="N1256" s="1164"/>
      <c r="O1256" s="473"/>
      <c r="P1256" s="473"/>
      <c r="Q1256" s="1164"/>
      <c r="R1256" s="473"/>
      <c r="S1256" s="473"/>
      <c r="T1256" s="1164"/>
      <c r="U1256" s="1164"/>
      <c r="V1256" s="473"/>
      <c r="W1256" s="473"/>
      <c r="X1256" s="1164"/>
      <c r="Y1256" s="473"/>
      <c r="Z1256" s="473"/>
      <c r="AA1256" s="1164"/>
      <c r="AB1256" s="473"/>
      <c r="AC1256" s="1164"/>
      <c r="AD1256" s="473"/>
      <c r="AE1256" s="1164"/>
      <c r="AF1256" s="473"/>
      <c r="AG1256" s="1164"/>
      <c r="AH1256" s="473"/>
      <c r="AI1256" s="473"/>
      <c r="AJ1256" s="1164"/>
      <c r="AK1256" s="473"/>
      <c r="AL1256" s="473"/>
      <c r="AM1256" s="1164"/>
      <c r="AN1256" s="473"/>
      <c r="AO1256" s="473"/>
      <c r="AP1256" s="1164"/>
      <c r="AQ1256" s="473"/>
      <c r="AR1256" s="473"/>
      <c r="AS1256" s="1236"/>
      <c r="AT1256" s="473"/>
      <c r="AU1256" s="473"/>
      <c r="AV1256" s="1164"/>
      <c r="AW1256" s="1164"/>
      <c r="AX1256" s="1236"/>
      <c r="AY1256" s="473"/>
      <c r="AZ1256" s="1236"/>
      <c r="BA1256" s="473"/>
      <c r="BB1256" s="473"/>
      <c r="BC1256" s="1164"/>
      <c r="BD1256" s="20"/>
      <c r="BE1256" s="473"/>
      <c r="BF1256" s="610"/>
      <c r="BG1256" s="610"/>
      <c r="BH1256" s="610"/>
      <c r="BI1256" s="610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23"/>
      <c r="EH1256" s="23"/>
      <c r="EI1256" s="23"/>
      <c r="EJ1256" s="23"/>
      <c r="EK1256" s="23"/>
      <c r="EL1256" s="23"/>
      <c r="EM1256" s="23"/>
      <c r="EN1256" s="23"/>
      <c r="EO1256" s="23"/>
      <c r="EP1256" s="23"/>
      <c r="EQ1256" s="23"/>
      <c r="ER1256" s="23"/>
    </row>
    <row r="1257" spans="1:148" s="22" customFormat="1" x14ac:dyDescent="0.25">
      <c r="A1257" s="20"/>
      <c r="B1257" s="16"/>
      <c r="C1257" s="473"/>
      <c r="D1257" s="473"/>
      <c r="E1257" s="1164"/>
      <c r="F1257" s="473"/>
      <c r="G1257" s="473"/>
      <c r="H1257" s="1164"/>
      <c r="I1257" s="473"/>
      <c r="J1257" s="473"/>
      <c r="K1257" s="1164"/>
      <c r="L1257" s="473"/>
      <c r="M1257" s="473"/>
      <c r="N1257" s="1164"/>
      <c r="O1257" s="473"/>
      <c r="P1257" s="473"/>
      <c r="Q1257" s="1164"/>
      <c r="R1257" s="473"/>
      <c r="S1257" s="473"/>
      <c r="T1257" s="1164"/>
      <c r="U1257" s="1164"/>
      <c r="V1257" s="473"/>
      <c r="W1257" s="473"/>
      <c r="X1257" s="1164"/>
      <c r="Y1257" s="473"/>
      <c r="Z1257" s="473"/>
      <c r="AA1257" s="1164"/>
      <c r="AB1257" s="473"/>
      <c r="AC1257" s="1164"/>
      <c r="AD1257" s="473"/>
      <c r="AE1257" s="1164"/>
      <c r="AF1257" s="473"/>
      <c r="AG1257" s="1164"/>
      <c r="AH1257" s="473"/>
      <c r="AI1257" s="473"/>
      <c r="AJ1257" s="1164"/>
      <c r="AK1257" s="473"/>
      <c r="AL1257" s="473"/>
      <c r="AM1257" s="1164"/>
      <c r="AN1257" s="473"/>
      <c r="AO1257" s="473"/>
      <c r="AP1257" s="1164"/>
      <c r="AQ1257" s="473"/>
      <c r="AR1257" s="473"/>
      <c r="AS1257" s="1236"/>
      <c r="AT1257" s="473"/>
      <c r="AU1257" s="473"/>
      <c r="AV1257" s="1164"/>
      <c r="AW1257" s="1164"/>
      <c r="AX1257" s="1236"/>
      <c r="AY1257" s="473"/>
      <c r="AZ1257" s="1236"/>
      <c r="BA1257" s="473"/>
      <c r="BB1257" s="473"/>
      <c r="BC1257" s="1164"/>
      <c r="BD1257" s="20"/>
      <c r="BE1257" s="473"/>
      <c r="BF1257" s="610"/>
      <c r="BG1257" s="610"/>
      <c r="BH1257" s="610"/>
      <c r="BI1257" s="610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</row>
    <row r="1258" spans="1:148" s="22" customFormat="1" x14ac:dyDescent="0.25">
      <c r="A1258" s="20"/>
      <c r="B1258" s="16"/>
      <c r="C1258" s="473"/>
      <c r="D1258" s="473"/>
      <c r="E1258" s="1164"/>
      <c r="F1258" s="473"/>
      <c r="G1258" s="473"/>
      <c r="H1258" s="1164"/>
      <c r="I1258" s="473"/>
      <c r="J1258" s="473"/>
      <c r="K1258" s="1164"/>
      <c r="L1258" s="473"/>
      <c r="M1258" s="473"/>
      <c r="N1258" s="1164"/>
      <c r="O1258" s="473"/>
      <c r="P1258" s="473"/>
      <c r="Q1258" s="1164"/>
      <c r="R1258" s="473"/>
      <c r="S1258" s="473"/>
      <c r="T1258" s="1164"/>
      <c r="U1258" s="1164"/>
      <c r="V1258" s="473"/>
      <c r="W1258" s="473"/>
      <c r="X1258" s="1164"/>
      <c r="Y1258" s="473"/>
      <c r="Z1258" s="473"/>
      <c r="AA1258" s="1164"/>
      <c r="AB1258" s="473"/>
      <c r="AC1258" s="1164"/>
      <c r="AD1258" s="473"/>
      <c r="AE1258" s="1164"/>
      <c r="AF1258" s="473"/>
      <c r="AG1258" s="1164"/>
      <c r="AH1258" s="473"/>
      <c r="AI1258" s="473"/>
      <c r="AJ1258" s="1164"/>
      <c r="AK1258" s="473"/>
      <c r="AL1258" s="473"/>
      <c r="AM1258" s="1164"/>
      <c r="AN1258" s="473"/>
      <c r="AO1258" s="473"/>
      <c r="AP1258" s="1164"/>
      <c r="AQ1258" s="473"/>
      <c r="AR1258" s="473"/>
      <c r="AS1258" s="1236"/>
      <c r="AT1258" s="473"/>
      <c r="AU1258" s="473"/>
      <c r="AV1258" s="1164"/>
      <c r="AW1258" s="1164"/>
      <c r="AX1258" s="1236"/>
      <c r="AY1258" s="473"/>
      <c r="AZ1258" s="1236"/>
      <c r="BA1258" s="473"/>
      <c r="BB1258" s="473"/>
      <c r="BC1258" s="1164"/>
      <c r="BD1258" s="20"/>
      <c r="BE1258" s="473"/>
      <c r="BF1258" s="610"/>
      <c r="BG1258" s="610"/>
      <c r="BH1258" s="610"/>
      <c r="BI1258" s="610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</row>
    <row r="1259" spans="1:148" s="22" customFormat="1" x14ac:dyDescent="0.25">
      <c r="A1259" s="20"/>
      <c r="B1259" s="16"/>
      <c r="C1259" s="473"/>
      <c r="D1259" s="473"/>
      <c r="E1259" s="1164"/>
      <c r="F1259" s="473"/>
      <c r="G1259" s="473"/>
      <c r="H1259" s="1164"/>
      <c r="I1259" s="473"/>
      <c r="J1259" s="473"/>
      <c r="K1259" s="1164"/>
      <c r="L1259" s="473"/>
      <c r="M1259" s="473"/>
      <c r="N1259" s="1164"/>
      <c r="O1259" s="473"/>
      <c r="P1259" s="473"/>
      <c r="Q1259" s="1164"/>
      <c r="R1259" s="473"/>
      <c r="S1259" s="473"/>
      <c r="T1259" s="1164"/>
      <c r="U1259" s="1164"/>
      <c r="V1259" s="473"/>
      <c r="W1259" s="473"/>
      <c r="X1259" s="1164"/>
      <c r="Y1259" s="473"/>
      <c r="Z1259" s="473"/>
      <c r="AA1259" s="1164"/>
      <c r="AB1259" s="473"/>
      <c r="AC1259" s="1164"/>
      <c r="AD1259" s="473"/>
      <c r="AE1259" s="1164"/>
      <c r="AF1259" s="473"/>
      <c r="AG1259" s="1164"/>
      <c r="AH1259" s="473"/>
      <c r="AI1259" s="473"/>
      <c r="AJ1259" s="1164"/>
      <c r="AK1259" s="473"/>
      <c r="AL1259" s="473"/>
      <c r="AM1259" s="1164"/>
      <c r="AN1259" s="473"/>
      <c r="AO1259" s="473"/>
      <c r="AP1259" s="1164"/>
      <c r="AQ1259" s="473"/>
      <c r="AR1259" s="473"/>
      <c r="AS1259" s="1236"/>
      <c r="AT1259" s="473"/>
      <c r="AU1259" s="473"/>
      <c r="AV1259" s="1164"/>
      <c r="AW1259" s="1164"/>
      <c r="AX1259" s="1236"/>
      <c r="AY1259" s="473"/>
      <c r="AZ1259" s="1236"/>
      <c r="BA1259" s="473"/>
      <c r="BB1259" s="473"/>
      <c r="BC1259" s="1164"/>
      <c r="BD1259" s="20"/>
      <c r="BE1259" s="473"/>
      <c r="BF1259" s="610"/>
      <c r="BG1259" s="610"/>
      <c r="BH1259" s="610"/>
      <c r="BI1259" s="610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3"/>
      <c r="CQ1259" s="23"/>
      <c r="CR1259" s="23"/>
      <c r="CS1259" s="23"/>
      <c r="CT1259" s="23"/>
      <c r="CU1259" s="23"/>
      <c r="CV1259" s="23"/>
      <c r="CW1259" s="23"/>
      <c r="CX1259" s="23"/>
      <c r="CY1259" s="23"/>
      <c r="CZ1259" s="23"/>
      <c r="DA1259" s="23"/>
      <c r="DB1259" s="23"/>
      <c r="DC1259" s="23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  <c r="DZ1259" s="23"/>
      <c r="EA1259" s="23"/>
      <c r="EB1259" s="23"/>
      <c r="EC1259" s="23"/>
      <c r="ED1259" s="23"/>
      <c r="EE1259" s="23"/>
      <c r="EF1259" s="23"/>
      <c r="EG1259" s="23"/>
      <c r="EH1259" s="23"/>
      <c r="EI1259" s="23"/>
      <c r="EJ1259" s="23"/>
      <c r="EK1259" s="23"/>
      <c r="EL1259" s="23"/>
      <c r="EM1259" s="23"/>
      <c r="EN1259" s="23"/>
      <c r="EO1259" s="23"/>
      <c r="EP1259" s="23"/>
      <c r="EQ1259" s="23"/>
      <c r="ER1259" s="23"/>
    </row>
    <row r="1260" spans="1:148" s="22" customFormat="1" x14ac:dyDescent="0.25">
      <c r="A1260" s="20"/>
      <c r="B1260" s="16"/>
      <c r="C1260" s="473"/>
      <c r="D1260" s="473"/>
      <c r="E1260" s="1164"/>
      <c r="F1260" s="473"/>
      <c r="G1260" s="473"/>
      <c r="H1260" s="1164"/>
      <c r="I1260" s="473"/>
      <c r="J1260" s="473"/>
      <c r="K1260" s="1164"/>
      <c r="L1260" s="473"/>
      <c r="M1260" s="473"/>
      <c r="N1260" s="1164"/>
      <c r="O1260" s="473"/>
      <c r="P1260" s="473"/>
      <c r="Q1260" s="1164"/>
      <c r="R1260" s="473"/>
      <c r="S1260" s="473"/>
      <c r="T1260" s="1164"/>
      <c r="U1260" s="1164"/>
      <c r="V1260" s="473"/>
      <c r="W1260" s="473"/>
      <c r="X1260" s="1164"/>
      <c r="Y1260" s="473"/>
      <c r="Z1260" s="473"/>
      <c r="AA1260" s="1164"/>
      <c r="AB1260" s="473"/>
      <c r="AC1260" s="1164"/>
      <c r="AD1260" s="473"/>
      <c r="AE1260" s="1164"/>
      <c r="AF1260" s="473"/>
      <c r="AG1260" s="1164"/>
      <c r="AH1260" s="473"/>
      <c r="AI1260" s="473"/>
      <c r="AJ1260" s="1164"/>
      <c r="AK1260" s="473"/>
      <c r="AL1260" s="473"/>
      <c r="AM1260" s="1164"/>
      <c r="AN1260" s="473"/>
      <c r="AO1260" s="473"/>
      <c r="AP1260" s="1164"/>
      <c r="AQ1260" s="473"/>
      <c r="AR1260" s="473"/>
      <c r="AS1260" s="1236"/>
      <c r="AT1260" s="473"/>
      <c r="AU1260" s="473"/>
      <c r="AV1260" s="1164"/>
      <c r="AW1260" s="1164"/>
      <c r="AX1260" s="1236"/>
      <c r="AY1260" s="473"/>
      <c r="AZ1260" s="1236"/>
      <c r="BA1260" s="473"/>
      <c r="BB1260" s="473"/>
      <c r="BC1260" s="1164"/>
      <c r="BD1260" s="20"/>
      <c r="BE1260" s="473"/>
      <c r="BF1260" s="610"/>
      <c r="BG1260" s="610"/>
      <c r="BH1260" s="610"/>
      <c r="BI1260" s="610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  <c r="CM1260" s="23"/>
      <c r="CN1260" s="23"/>
      <c r="CO1260" s="23"/>
      <c r="CP1260" s="23"/>
      <c r="CQ1260" s="23"/>
      <c r="CR1260" s="23"/>
      <c r="CS1260" s="23"/>
      <c r="CT1260" s="23"/>
      <c r="CU1260" s="23"/>
      <c r="CV1260" s="23"/>
      <c r="CW1260" s="23"/>
      <c r="CX1260" s="23"/>
      <c r="CY1260" s="23"/>
      <c r="CZ1260" s="23"/>
      <c r="DA1260" s="23"/>
      <c r="DB1260" s="23"/>
      <c r="DC1260" s="23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  <c r="DZ1260" s="23"/>
      <c r="EA1260" s="23"/>
      <c r="EB1260" s="23"/>
      <c r="EC1260" s="23"/>
      <c r="ED1260" s="23"/>
      <c r="EE1260" s="23"/>
      <c r="EF1260" s="23"/>
      <c r="EG1260" s="23"/>
      <c r="EH1260" s="23"/>
      <c r="EI1260" s="23"/>
      <c r="EJ1260" s="23"/>
      <c r="EK1260" s="23"/>
      <c r="EL1260" s="23"/>
      <c r="EM1260" s="23"/>
      <c r="EN1260" s="23"/>
      <c r="EO1260" s="23"/>
      <c r="EP1260" s="23"/>
      <c r="EQ1260" s="23"/>
      <c r="ER1260" s="23"/>
    </row>
    <row r="1261" spans="1:148" s="22" customFormat="1" x14ac:dyDescent="0.25">
      <c r="A1261" s="20"/>
      <c r="B1261" s="16"/>
      <c r="C1261" s="473"/>
      <c r="D1261" s="473"/>
      <c r="E1261" s="1164"/>
      <c r="F1261" s="473"/>
      <c r="G1261" s="473"/>
      <c r="H1261" s="1164"/>
      <c r="I1261" s="473"/>
      <c r="J1261" s="473"/>
      <c r="K1261" s="1164"/>
      <c r="L1261" s="473"/>
      <c r="M1261" s="473"/>
      <c r="N1261" s="1164"/>
      <c r="O1261" s="473"/>
      <c r="P1261" s="473"/>
      <c r="Q1261" s="1164"/>
      <c r="R1261" s="473"/>
      <c r="S1261" s="473"/>
      <c r="T1261" s="1164"/>
      <c r="U1261" s="1164"/>
      <c r="V1261" s="473"/>
      <c r="W1261" s="473"/>
      <c r="X1261" s="1164"/>
      <c r="Y1261" s="473"/>
      <c r="Z1261" s="473"/>
      <c r="AA1261" s="1164"/>
      <c r="AB1261" s="473"/>
      <c r="AC1261" s="1164"/>
      <c r="AD1261" s="473"/>
      <c r="AE1261" s="1164"/>
      <c r="AF1261" s="473"/>
      <c r="AG1261" s="1164"/>
      <c r="AH1261" s="473"/>
      <c r="AI1261" s="473"/>
      <c r="AJ1261" s="1164"/>
      <c r="AK1261" s="473"/>
      <c r="AL1261" s="473"/>
      <c r="AM1261" s="1164"/>
      <c r="AN1261" s="473"/>
      <c r="AO1261" s="473"/>
      <c r="AP1261" s="1164"/>
      <c r="AQ1261" s="473"/>
      <c r="AR1261" s="473"/>
      <c r="AS1261" s="1236"/>
      <c r="AT1261" s="473"/>
      <c r="AU1261" s="473"/>
      <c r="AV1261" s="1164"/>
      <c r="AW1261" s="1164"/>
      <c r="AX1261" s="1236"/>
      <c r="AY1261" s="473"/>
      <c r="AZ1261" s="1236"/>
      <c r="BA1261" s="473"/>
      <c r="BB1261" s="473"/>
      <c r="BC1261" s="1164"/>
      <c r="BD1261" s="20"/>
      <c r="BE1261" s="473"/>
      <c r="BF1261" s="610"/>
      <c r="BG1261" s="610"/>
      <c r="BH1261" s="610"/>
      <c r="BI1261" s="610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3"/>
      <c r="CG1261" s="23"/>
      <c r="CH1261" s="23"/>
      <c r="CI1261" s="23"/>
      <c r="CJ1261" s="23"/>
      <c r="CK1261" s="23"/>
      <c r="CL1261" s="23"/>
      <c r="CM1261" s="23"/>
      <c r="CN1261" s="23"/>
      <c r="CO1261" s="23"/>
      <c r="CP1261" s="23"/>
      <c r="CQ1261" s="23"/>
      <c r="CR1261" s="23"/>
      <c r="CS1261" s="23"/>
      <c r="CT1261" s="23"/>
      <c r="CU1261" s="23"/>
      <c r="CV1261" s="23"/>
      <c r="CW1261" s="23"/>
      <c r="CX1261" s="23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  <c r="EF1261" s="23"/>
      <c r="EG1261" s="23"/>
      <c r="EH1261" s="23"/>
      <c r="EI1261" s="23"/>
      <c r="EJ1261" s="23"/>
      <c r="EK1261" s="23"/>
      <c r="EL1261" s="23"/>
      <c r="EM1261" s="23"/>
      <c r="EN1261" s="23"/>
      <c r="EO1261" s="23"/>
      <c r="EP1261" s="23"/>
      <c r="EQ1261" s="23"/>
      <c r="ER1261" s="23"/>
    </row>
    <row r="1262" spans="1:148" s="22" customFormat="1" x14ac:dyDescent="0.25">
      <c r="A1262" s="20"/>
      <c r="B1262" s="16"/>
      <c r="C1262" s="473"/>
      <c r="D1262" s="473"/>
      <c r="E1262" s="1164"/>
      <c r="F1262" s="473"/>
      <c r="G1262" s="473"/>
      <c r="H1262" s="1164"/>
      <c r="I1262" s="473"/>
      <c r="J1262" s="473"/>
      <c r="K1262" s="1164"/>
      <c r="L1262" s="473"/>
      <c r="M1262" s="473"/>
      <c r="N1262" s="1164"/>
      <c r="O1262" s="473"/>
      <c r="P1262" s="473"/>
      <c r="Q1262" s="1164"/>
      <c r="R1262" s="473"/>
      <c r="S1262" s="473"/>
      <c r="T1262" s="1164"/>
      <c r="U1262" s="1164"/>
      <c r="V1262" s="473"/>
      <c r="W1262" s="473"/>
      <c r="X1262" s="1164"/>
      <c r="Y1262" s="473"/>
      <c r="Z1262" s="473"/>
      <c r="AA1262" s="1164"/>
      <c r="AB1262" s="473"/>
      <c r="AC1262" s="1164"/>
      <c r="AD1262" s="473"/>
      <c r="AE1262" s="1164"/>
      <c r="AF1262" s="473"/>
      <c r="AG1262" s="1164"/>
      <c r="AH1262" s="473"/>
      <c r="AI1262" s="473"/>
      <c r="AJ1262" s="1164"/>
      <c r="AK1262" s="473"/>
      <c r="AL1262" s="473"/>
      <c r="AM1262" s="1164"/>
      <c r="AN1262" s="473"/>
      <c r="AO1262" s="473"/>
      <c r="AP1262" s="1164"/>
      <c r="AQ1262" s="473"/>
      <c r="AR1262" s="473"/>
      <c r="AS1262" s="1236"/>
      <c r="AT1262" s="473"/>
      <c r="AU1262" s="473"/>
      <c r="AV1262" s="1164"/>
      <c r="AW1262" s="1164"/>
      <c r="AX1262" s="1236"/>
      <c r="AY1262" s="473"/>
      <c r="AZ1262" s="1236"/>
      <c r="BA1262" s="473"/>
      <c r="BB1262" s="473"/>
      <c r="BC1262" s="1164"/>
      <c r="BD1262" s="20"/>
      <c r="BE1262" s="473"/>
      <c r="BF1262" s="610"/>
      <c r="BG1262" s="610"/>
      <c r="BH1262" s="610"/>
      <c r="BI1262" s="610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  <c r="CM1262" s="23"/>
      <c r="CN1262" s="23"/>
      <c r="CO1262" s="23"/>
      <c r="CP1262" s="23"/>
      <c r="CQ1262" s="23"/>
      <c r="CR1262" s="23"/>
      <c r="CS1262" s="23"/>
      <c r="CT1262" s="23"/>
      <c r="CU1262" s="23"/>
      <c r="CV1262" s="23"/>
      <c r="CW1262" s="23"/>
      <c r="CX1262" s="23"/>
      <c r="CY1262" s="23"/>
      <c r="CZ1262" s="23"/>
      <c r="DA1262" s="23"/>
      <c r="DB1262" s="23"/>
      <c r="DC1262" s="23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  <c r="DZ1262" s="23"/>
      <c r="EA1262" s="23"/>
      <c r="EB1262" s="23"/>
      <c r="EC1262" s="23"/>
      <c r="ED1262" s="23"/>
      <c r="EE1262" s="23"/>
      <c r="EF1262" s="23"/>
      <c r="EG1262" s="23"/>
      <c r="EH1262" s="23"/>
      <c r="EI1262" s="23"/>
      <c r="EJ1262" s="23"/>
      <c r="EK1262" s="23"/>
      <c r="EL1262" s="23"/>
      <c r="EM1262" s="23"/>
      <c r="EN1262" s="23"/>
      <c r="EO1262" s="23"/>
      <c r="EP1262" s="23"/>
      <c r="EQ1262" s="23"/>
      <c r="ER1262" s="23"/>
    </row>
    <row r="1263" spans="1:148" s="22" customFormat="1" x14ac:dyDescent="0.25">
      <c r="A1263" s="20"/>
      <c r="B1263" s="16"/>
      <c r="C1263" s="473"/>
      <c r="D1263" s="473"/>
      <c r="E1263" s="1164"/>
      <c r="F1263" s="473"/>
      <c r="G1263" s="473"/>
      <c r="H1263" s="1164"/>
      <c r="I1263" s="473"/>
      <c r="J1263" s="473"/>
      <c r="K1263" s="1164"/>
      <c r="L1263" s="473"/>
      <c r="M1263" s="473"/>
      <c r="N1263" s="1164"/>
      <c r="O1263" s="473"/>
      <c r="P1263" s="473"/>
      <c r="Q1263" s="1164"/>
      <c r="R1263" s="473"/>
      <c r="S1263" s="473"/>
      <c r="T1263" s="1164"/>
      <c r="U1263" s="1164"/>
      <c r="V1263" s="473"/>
      <c r="W1263" s="473"/>
      <c r="X1263" s="1164"/>
      <c r="Y1263" s="473"/>
      <c r="Z1263" s="473"/>
      <c r="AA1263" s="1164"/>
      <c r="AB1263" s="473"/>
      <c r="AC1263" s="1164"/>
      <c r="AD1263" s="473"/>
      <c r="AE1263" s="1164"/>
      <c r="AF1263" s="473"/>
      <c r="AG1263" s="1164"/>
      <c r="AH1263" s="473"/>
      <c r="AI1263" s="473"/>
      <c r="AJ1263" s="1164"/>
      <c r="AK1263" s="473"/>
      <c r="AL1263" s="473"/>
      <c r="AM1263" s="1164"/>
      <c r="AN1263" s="473"/>
      <c r="AO1263" s="473"/>
      <c r="AP1263" s="1164"/>
      <c r="AQ1263" s="473"/>
      <c r="AR1263" s="473"/>
      <c r="AS1263" s="1236"/>
      <c r="AT1263" s="473"/>
      <c r="AU1263" s="473"/>
      <c r="AV1263" s="1164"/>
      <c r="AW1263" s="1164"/>
      <c r="AX1263" s="1236"/>
      <c r="AY1263" s="473"/>
      <c r="AZ1263" s="1236"/>
      <c r="BA1263" s="473"/>
      <c r="BB1263" s="473"/>
      <c r="BC1263" s="1164"/>
      <c r="BD1263" s="20"/>
      <c r="BE1263" s="473"/>
      <c r="BF1263" s="610"/>
      <c r="BG1263" s="610"/>
      <c r="BH1263" s="610"/>
      <c r="BI1263" s="610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3"/>
      <c r="CG1263" s="23"/>
      <c r="CH1263" s="23"/>
      <c r="CI1263" s="23"/>
      <c r="CJ1263" s="23"/>
      <c r="CK1263" s="23"/>
      <c r="CL1263" s="23"/>
      <c r="CM1263" s="23"/>
      <c r="CN1263" s="23"/>
      <c r="CO1263" s="23"/>
      <c r="CP1263" s="23"/>
      <c r="CQ1263" s="23"/>
      <c r="CR1263" s="23"/>
      <c r="CS1263" s="23"/>
      <c r="CT1263" s="23"/>
      <c r="CU1263" s="23"/>
      <c r="CV1263" s="23"/>
      <c r="CW1263" s="23"/>
      <c r="CX1263" s="23"/>
      <c r="CY1263" s="23"/>
      <c r="CZ1263" s="23"/>
      <c r="DA1263" s="23"/>
      <c r="DB1263" s="23"/>
      <c r="DC1263" s="23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  <c r="DZ1263" s="23"/>
      <c r="EA1263" s="23"/>
      <c r="EB1263" s="23"/>
      <c r="EC1263" s="23"/>
      <c r="ED1263" s="23"/>
      <c r="EE1263" s="23"/>
      <c r="EF1263" s="23"/>
      <c r="EG1263" s="23"/>
      <c r="EH1263" s="23"/>
      <c r="EI1263" s="23"/>
      <c r="EJ1263" s="23"/>
      <c r="EK1263" s="23"/>
      <c r="EL1263" s="23"/>
      <c r="EM1263" s="23"/>
      <c r="EN1263" s="23"/>
      <c r="EO1263" s="23"/>
      <c r="EP1263" s="23"/>
      <c r="EQ1263" s="23"/>
      <c r="ER1263" s="23"/>
    </row>
    <row r="1264" spans="1:148" s="22" customFormat="1" x14ac:dyDescent="0.25">
      <c r="A1264" s="20"/>
      <c r="B1264" s="16"/>
      <c r="C1264" s="473"/>
      <c r="D1264" s="473"/>
      <c r="E1264" s="1164"/>
      <c r="F1264" s="473"/>
      <c r="G1264" s="473"/>
      <c r="H1264" s="1164"/>
      <c r="I1264" s="473"/>
      <c r="J1264" s="473"/>
      <c r="K1264" s="1164"/>
      <c r="L1264" s="473"/>
      <c r="M1264" s="473"/>
      <c r="N1264" s="1164"/>
      <c r="O1264" s="473"/>
      <c r="P1264" s="473"/>
      <c r="Q1264" s="1164"/>
      <c r="R1264" s="473"/>
      <c r="S1264" s="473"/>
      <c r="T1264" s="1164"/>
      <c r="U1264" s="1164"/>
      <c r="V1264" s="473"/>
      <c r="W1264" s="473"/>
      <c r="X1264" s="1164"/>
      <c r="Y1264" s="473"/>
      <c r="Z1264" s="473"/>
      <c r="AA1264" s="1164"/>
      <c r="AB1264" s="473"/>
      <c r="AC1264" s="1164"/>
      <c r="AD1264" s="473"/>
      <c r="AE1264" s="1164"/>
      <c r="AF1264" s="473"/>
      <c r="AG1264" s="1164"/>
      <c r="AH1264" s="473"/>
      <c r="AI1264" s="473"/>
      <c r="AJ1264" s="1164"/>
      <c r="AK1264" s="473"/>
      <c r="AL1264" s="473"/>
      <c r="AM1264" s="1164"/>
      <c r="AN1264" s="473"/>
      <c r="AO1264" s="473"/>
      <c r="AP1264" s="1164"/>
      <c r="AQ1264" s="473"/>
      <c r="AR1264" s="473"/>
      <c r="AS1264" s="1236"/>
      <c r="AT1264" s="473"/>
      <c r="AU1264" s="473"/>
      <c r="AV1264" s="1164"/>
      <c r="AW1264" s="1164"/>
      <c r="AX1264" s="1236"/>
      <c r="AY1264" s="473"/>
      <c r="AZ1264" s="1236"/>
      <c r="BA1264" s="473"/>
      <c r="BB1264" s="473"/>
      <c r="BC1264" s="1164"/>
      <c r="BD1264" s="20"/>
      <c r="BE1264" s="473"/>
      <c r="BF1264" s="610"/>
      <c r="BG1264" s="610"/>
      <c r="BH1264" s="610"/>
      <c r="BI1264" s="610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3"/>
      <c r="CQ1264" s="23"/>
      <c r="CR1264" s="23"/>
      <c r="CS1264" s="23"/>
      <c r="CT1264" s="23"/>
      <c r="CU1264" s="23"/>
      <c r="CV1264" s="23"/>
      <c r="CW1264" s="23"/>
      <c r="CX1264" s="23"/>
      <c r="CY1264" s="23"/>
      <c r="CZ1264" s="23"/>
      <c r="DA1264" s="23"/>
      <c r="DB1264" s="23"/>
      <c r="DC1264" s="23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  <c r="DZ1264" s="23"/>
      <c r="EA1264" s="23"/>
      <c r="EB1264" s="23"/>
      <c r="EC1264" s="23"/>
      <c r="ED1264" s="23"/>
      <c r="EE1264" s="23"/>
      <c r="EF1264" s="23"/>
      <c r="EG1264" s="23"/>
      <c r="EH1264" s="23"/>
      <c r="EI1264" s="23"/>
      <c r="EJ1264" s="23"/>
      <c r="EK1264" s="23"/>
      <c r="EL1264" s="23"/>
      <c r="EM1264" s="23"/>
      <c r="EN1264" s="23"/>
      <c r="EO1264" s="23"/>
      <c r="EP1264" s="23"/>
      <c r="EQ1264" s="23"/>
      <c r="ER1264" s="23"/>
    </row>
    <row r="1265" spans="1:148" s="22" customFormat="1" x14ac:dyDescent="0.25">
      <c r="A1265" s="20"/>
      <c r="B1265" s="16"/>
      <c r="C1265" s="473"/>
      <c r="D1265" s="473"/>
      <c r="E1265" s="1164"/>
      <c r="F1265" s="473"/>
      <c r="G1265" s="473"/>
      <c r="H1265" s="1164"/>
      <c r="I1265" s="473"/>
      <c r="J1265" s="473"/>
      <c r="K1265" s="1164"/>
      <c r="L1265" s="473"/>
      <c r="M1265" s="473"/>
      <c r="N1265" s="1164"/>
      <c r="O1265" s="473"/>
      <c r="P1265" s="473"/>
      <c r="Q1265" s="1164"/>
      <c r="R1265" s="473"/>
      <c r="S1265" s="473"/>
      <c r="T1265" s="1164"/>
      <c r="U1265" s="1164"/>
      <c r="V1265" s="473"/>
      <c r="W1265" s="473"/>
      <c r="X1265" s="1164"/>
      <c r="Y1265" s="473"/>
      <c r="Z1265" s="473"/>
      <c r="AA1265" s="1164"/>
      <c r="AB1265" s="473"/>
      <c r="AC1265" s="1164"/>
      <c r="AD1265" s="473"/>
      <c r="AE1265" s="1164"/>
      <c r="AF1265" s="473"/>
      <c r="AG1265" s="1164"/>
      <c r="AH1265" s="473"/>
      <c r="AI1265" s="473"/>
      <c r="AJ1265" s="1164"/>
      <c r="AK1265" s="473"/>
      <c r="AL1265" s="473"/>
      <c r="AM1265" s="1164"/>
      <c r="AN1265" s="473"/>
      <c r="AO1265" s="473"/>
      <c r="AP1265" s="1164"/>
      <c r="AQ1265" s="473"/>
      <c r="AR1265" s="473"/>
      <c r="AS1265" s="1236"/>
      <c r="AT1265" s="473"/>
      <c r="AU1265" s="473"/>
      <c r="AV1265" s="1164"/>
      <c r="AW1265" s="1164"/>
      <c r="AX1265" s="1236"/>
      <c r="AY1265" s="473"/>
      <c r="AZ1265" s="1236"/>
      <c r="BA1265" s="473"/>
      <c r="BB1265" s="473"/>
      <c r="BC1265" s="1164"/>
      <c r="BD1265" s="20"/>
      <c r="BE1265" s="473"/>
      <c r="BF1265" s="610"/>
      <c r="BG1265" s="610"/>
      <c r="BH1265" s="610"/>
      <c r="BI1265" s="610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  <c r="CM1265" s="23"/>
      <c r="CN1265" s="23"/>
      <c r="CO1265" s="23"/>
      <c r="CP1265" s="23"/>
      <c r="CQ1265" s="23"/>
      <c r="CR1265" s="23"/>
      <c r="CS1265" s="23"/>
      <c r="CT1265" s="23"/>
      <c r="CU1265" s="23"/>
      <c r="CV1265" s="23"/>
      <c r="CW1265" s="23"/>
      <c r="CX1265" s="23"/>
      <c r="CY1265" s="23"/>
      <c r="CZ1265" s="23"/>
      <c r="DA1265" s="23"/>
      <c r="DB1265" s="23"/>
      <c r="DC1265" s="23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  <c r="DZ1265" s="23"/>
      <c r="EA1265" s="23"/>
      <c r="EB1265" s="23"/>
      <c r="EC1265" s="23"/>
      <c r="ED1265" s="23"/>
      <c r="EE1265" s="23"/>
      <c r="EF1265" s="23"/>
      <c r="EG1265" s="23"/>
      <c r="EH1265" s="23"/>
      <c r="EI1265" s="23"/>
      <c r="EJ1265" s="23"/>
      <c r="EK1265" s="23"/>
      <c r="EL1265" s="23"/>
      <c r="EM1265" s="23"/>
      <c r="EN1265" s="23"/>
      <c r="EO1265" s="23"/>
      <c r="EP1265" s="23"/>
      <c r="EQ1265" s="23"/>
      <c r="ER1265" s="23"/>
    </row>
    <row r="1266" spans="1:148" s="22" customFormat="1" x14ac:dyDescent="0.25">
      <c r="A1266" s="20"/>
      <c r="B1266" s="16"/>
      <c r="C1266" s="473"/>
      <c r="D1266" s="473"/>
      <c r="E1266" s="1164"/>
      <c r="F1266" s="473"/>
      <c r="G1266" s="473"/>
      <c r="H1266" s="1164"/>
      <c r="I1266" s="473"/>
      <c r="J1266" s="473"/>
      <c r="K1266" s="1164"/>
      <c r="L1266" s="473"/>
      <c r="M1266" s="473"/>
      <c r="N1266" s="1164"/>
      <c r="O1266" s="473"/>
      <c r="P1266" s="473"/>
      <c r="Q1266" s="1164"/>
      <c r="R1266" s="473"/>
      <c r="S1266" s="473"/>
      <c r="T1266" s="1164"/>
      <c r="U1266" s="1164"/>
      <c r="V1266" s="473"/>
      <c r="W1266" s="473"/>
      <c r="X1266" s="1164"/>
      <c r="Y1266" s="473"/>
      <c r="Z1266" s="473"/>
      <c r="AA1266" s="1164"/>
      <c r="AB1266" s="473"/>
      <c r="AC1266" s="1164"/>
      <c r="AD1266" s="473"/>
      <c r="AE1266" s="1164"/>
      <c r="AF1266" s="473"/>
      <c r="AG1266" s="1164"/>
      <c r="AH1266" s="473"/>
      <c r="AI1266" s="473"/>
      <c r="AJ1266" s="1164"/>
      <c r="AK1266" s="473"/>
      <c r="AL1266" s="473"/>
      <c r="AM1266" s="1164"/>
      <c r="AN1266" s="473"/>
      <c r="AO1266" s="473"/>
      <c r="AP1266" s="1164"/>
      <c r="AQ1266" s="473"/>
      <c r="AR1266" s="473"/>
      <c r="AS1266" s="1236"/>
      <c r="AT1266" s="473"/>
      <c r="AU1266" s="473"/>
      <c r="AV1266" s="1164"/>
      <c r="AW1266" s="1164"/>
      <c r="AX1266" s="1236"/>
      <c r="AY1266" s="473"/>
      <c r="AZ1266" s="1236"/>
      <c r="BA1266" s="473"/>
      <c r="BB1266" s="473"/>
      <c r="BC1266" s="1164"/>
      <c r="BD1266" s="20"/>
      <c r="BE1266" s="473"/>
      <c r="BF1266" s="610"/>
      <c r="BG1266" s="610"/>
      <c r="BH1266" s="610"/>
      <c r="BI1266" s="610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23"/>
      <c r="CY1266" s="23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  <c r="EF1266" s="23"/>
      <c r="EG1266" s="23"/>
      <c r="EH1266" s="23"/>
      <c r="EI1266" s="23"/>
      <c r="EJ1266" s="23"/>
      <c r="EK1266" s="23"/>
      <c r="EL1266" s="23"/>
      <c r="EM1266" s="23"/>
      <c r="EN1266" s="23"/>
      <c r="EO1266" s="23"/>
      <c r="EP1266" s="23"/>
      <c r="EQ1266" s="23"/>
      <c r="ER1266" s="23"/>
    </row>
    <row r="1267" spans="1:148" s="22" customFormat="1" x14ac:dyDescent="0.25">
      <c r="A1267" s="20"/>
      <c r="B1267" s="16"/>
      <c r="C1267" s="473"/>
      <c r="D1267" s="473"/>
      <c r="E1267" s="1164"/>
      <c r="F1267" s="473"/>
      <c r="G1267" s="473"/>
      <c r="H1267" s="1164"/>
      <c r="I1267" s="473"/>
      <c r="J1267" s="473"/>
      <c r="K1267" s="1164"/>
      <c r="L1267" s="473"/>
      <c r="M1267" s="473"/>
      <c r="N1267" s="1164"/>
      <c r="O1267" s="473"/>
      <c r="P1267" s="473"/>
      <c r="Q1267" s="1164"/>
      <c r="R1267" s="473"/>
      <c r="S1267" s="473"/>
      <c r="T1267" s="1164"/>
      <c r="U1267" s="1164"/>
      <c r="V1267" s="473"/>
      <c r="W1267" s="473"/>
      <c r="X1267" s="1164"/>
      <c r="Y1267" s="473"/>
      <c r="Z1267" s="473"/>
      <c r="AA1267" s="1164"/>
      <c r="AB1267" s="473"/>
      <c r="AC1267" s="1164"/>
      <c r="AD1267" s="473"/>
      <c r="AE1267" s="1164"/>
      <c r="AF1267" s="473"/>
      <c r="AG1267" s="1164"/>
      <c r="AH1267" s="473"/>
      <c r="AI1267" s="473"/>
      <c r="AJ1267" s="1164"/>
      <c r="AK1267" s="473"/>
      <c r="AL1267" s="473"/>
      <c r="AM1267" s="1164"/>
      <c r="AN1267" s="473"/>
      <c r="AO1267" s="473"/>
      <c r="AP1267" s="1164"/>
      <c r="AQ1267" s="473"/>
      <c r="AR1267" s="473"/>
      <c r="AS1267" s="1236"/>
      <c r="AT1267" s="473"/>
      <c r="AU1267" s="473"/>
      <c r="AV1267" s="1164"/>
      <c r="AW1267" s="1164"/>
      <c r="AX1267" s="1236"/>
      <c r="AY1267" s="473"/>
      <c r="AZ1267" s="1236"/>
      <c r="BA1267" s="473"/>
      <c r="BB1267" s="473"/>
      <c r="BC1267" s="1164"/>
      <c r="BD1267" s="20"/>
      <c r="BE1267" s="473"/>
      <c r="BF1267" s="610"/>
      <c r="BG1267" s="610"/>
      <c r="BH1267" s="610"/>
      <c r="BI1267" s="610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  <c r="CM1267" s="23"/>
      <c r="CN1267" s="23"/>
      <c r="CO1267" s="23"/>
      <c r="CP1267" s="23"/>
      <c r="CQ1267" s="23"/>
      <c r="CR1267" s="23"/>
      <c r="CS1267" s="23"/>
      <c r="CT1267" s="23"/>
      <c r="CU1267" s="23"/>
      <c r="CV1267" s="23"/>
      <c r="CW1267" s="23"/>
      <c r="CX1267" s="23"/>
      <c r="CY1267" s="23"/>
      <c r="CZ1267" s="23"/>
      <c r="DA1267" s="23"/>
      <c r="DB1267" s="23"/>
      <c r="DC1267" s="23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  <c r="DZ1267" s="23"/>
      <c r="EA1267" s="23"/>
      <c r="EB1267" s="23"/>
      <c r="EC1267" s="23"/>
      <c r="ED1267" s="23"/>
      <c r="EE1267" s="23"/>
      <c r="EF1267" s="23"/>
      <c r="EG1267" s="23"/>
      <c r="EH1267" s="23"/>
      <c r="EI1267" s="23"/>
      <c r="EJ1267" s="23"/>
      <c r="EK1267" s="23"/>
      <c r="EL1267" s="23"/>
      <c r="EM1267" s="23"/>
      <c r="EN1267" s="23"/>
      <c r="EO1267" s="23"/>
      <c r="EP1267" s="23"/>
      <c r="EQ1267" s="23"/>
      <c r="ER1267" s="23"/>
    </row>
    <row r="1268" spans="1:148" s="22" customFormat="1" x14ac:dyDescent="0.25">
      <c r="A1268" s="20"/>
      <c r="B1268" s="16"/>
      <c r="C1268" s="473"/>
      <c r="D1268" s="473"/>
      <c r="E1268" s="1164"/>
      <c r="F1268" s="473"/>
      <c r="G1268" s="473"/>
      <c r="H1268" s="1164"/>
      <c r="I1268" s="473"/>
      <c r="J1268" s="473"/>
      <c r="K1268" s="1164"/>
      <c r="L1268" s="473"/>
      <c r="M1268" s="473"/>
      <c r="N1268" s="1164"/>
      <c r="O1268" s="473"/>
      <c r="P1268" s="473"/>
      <c r="Q1268" s="1164"/>
      <c r="R1268" s="473"/>
      <c r="S1268" s="473"/>
      <c r="T1268" s="1164"/>
      <c r="U1268" s="1164"/>
      <c r="V1268" s="473"/>
      <c r="W1268" s="473"/>
      <c r="X1268" s="1164"/>
      <c r="Y1268" s="473"/>
      <c r="Z1268" s="473"/>
      <c r="AA1268" s="1164"/>
      <c r="AB1268" s="473"/>
      <c r="AC1268" s="1164"/>
      <c r="AD1268" s="473"/>
      <c r="AE1268" s="1164"/>
      <c r="AF1268" s="473"/>
      <c r="AG1268" s="1164"/>
      <c r="AH1268" s="473"/>
      <c r="AI1268" s="473"/>
      <c r="AJ1268" s="1164"/>
      <c r="AK1268" s="473"/>
      <c r="AL1268" s="473"/>
      <c r="AM1268" s="1164"/>
      <c r="AN1268" s="473"/>
      <c r="AO1268" s="473"/>
      <c r="AP1268" s="1164"/>
      <c r="AQ1268" s="473"/>
      <c r="AR1268" s="473"/>
      <c r="AS1268" s="1236"/>
      <c r="AT1268" s="473"/>
      <c r="AU1268" s="473"/>
      <c r="AV1268" s="1164"/>
      <c r="AW1268" s="1164"/>
      <c r="AX1268" s="1236"/>
      <c r="AY1268" s="473"/>
      <c r="AZ1268" s="1236"/>
      <c r="BA1268" s="473"/>
      <c r="BB1268" s="473"/>
      <c r="BC1268" s="1164"/>
      <c r="BD1268" s="20"/>
      <c r="BE1268" s="473"/>
      <c r="BF1268" s="610"/>
      <c r="BG1268" s="610"/>
      <c r="BH1268" s="610"/>
      <c r="BI1268" s="610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  <c r="CM1268" s="23"/>
      <c r="CN1268" s="23"/>
      <c r="CO1268" s="23"/>
      <c r="CP1268" s="23"/>
      <c r="CQ1268" s="23"/>
      <c r="CR1268" s="23"/>
      <c r="CS1268" s="23"/>
      <c r="CT1268" s="23"/>
      <c r="CU1268" s="23"/>
      <c r="CV1268" s="23"/>
      <c r="CW1268" s="23"/>
      <c r="CX1268" s="23"/>
      <c r="CY1268" s="23"/>
      <c r="CZ1268" s="23"/>
      <c r="DA1268" s="23"/>
      <c r="DB1268" s="23"/>
      <c r="DC1268" s="23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  <c r="DZ1268" s="23"/>
      <c r="EA1268" s="23"/>
      <c r="EB1268" s="23"/>
      <c r="EC1268" s="23"/>
      <c r="ED1268" s="23"/>
      <c r="EE1268" s="23"/>
      <c r="EF1268" s="23"/>
      <c r="EG1268" s="23"/>
      <c r="EH1268" s="23"/>
      <c r="EI1268" s="23"/>
      <c r="EJ1268" s="23"/>
      <c r="EK1268" s="23"/>
      <c r="EL1268" s="23"/>
      <c r="EM1268" s="23"/>
      <c r="EN1268" s="23"/>
      <c r="EO1268" s="23"/>
      <c r="EP1268" s="23"/>
      <c r="EQ1268" s="23"/>
      <c r="ER1268" s="23"/>
    </row>
    <row r="1269" spans="1:148" s="22" customFormat="1" x14ac:dyDescent="0.25">
      <c r="A1269" s="20"/>
      <c r="B1269" s="16"/>
      <c r="C1269" s="473"/>
      <c r="D1269" s="473"/>
      <c r="E1269" s="1164"/>
      <c r="F1269" s="473"/>
      <c r="G1269" s="473"/>
      <c r="H1269" s="1164"/>
      <c r="I1269" s="473"/>
      <c r="J1269" s="473"/>
      <c r="K1269" s="1164"/>
      <c r="L1269" s="473"/>
      <c r="M1269" s="473"/>
      <c r="N1269" s="1164"/>
      <c r="O1269" s="473"/>
      <c r="P1269" s="473"/>
      <c r="Q1269" s="1164"/>
      <c r="R1269" s="473"/>
      <c r="S1269" s="473"/>
      <c r="T1269" s="1164"/>
      <c r="U1269" s="1164"/>
      <c r="V1269" s="473"/>
      <c r="W1269" s="473"/>
      <c r="X1269" s="1164"/>
      <c r="Y1269" s="473"/>
      <c r="Z1269" s="473"/>
      <c r="AA1269" s="1164"/>
      <c r="AB1269" s="473"/>
      <c r="AC1269" s="1164"/>
      <c r="AD1269" s="473"/>
      <c r="AE1269" s="1164"/>
      <c r="AF1269" s="473"/>
      <c r="AG1269" s="1164"/>
      <c r="AH1269" s="473"/>
      <c r="AI1269" s="473"/>
      <c r="AJ1269" s="1164"/>
      <c r="AK1269" s="473"/>
      <c r="AL1269" s="473"/>
      <c r="AM1269" s="1164"/>
      <c r="AN1269" s="473"/>
      <c r="AO1269" s="473"/>
      <c r="AP1269" s="1164"/>
      <c r="AQ1269" s="473"/>
      <c r="AR1269" s="473"/>
      <c r="AS1269" s="1236"/>
      <c r="AT1269" s="473"/>
      <c r="AU1269" s="473"/>
      <c r="AV1269" s="1164"/>
      <c r="AW1269" s="1164"/>
      <c r="AX1269" s="1236"/>
      <c r="AY1269" s="473"/>
      <c r="AZ1269" s="1236"/>
      <c r="BA1269" s="473"/>
      <c r="BB1269" s="473"/>
      <c r="BC1269" s="1164"/>
      <c r="BD1269" s="20"/>
      <c r="BE1269" s="473"/>
      <c r="BF1269" s="610"/>
      <c r="BG1269" s="610"/>
      <c r="BH1269" s="610"/>
      <c r="BI1269" s="610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3"/>
      <c r="CQ1269" s="23"/>
      <c r="CR1269" s="23"/>
      <c r="CS1269" s="23"/>
      <c r="CT1269" s="23"/>
      <c r="CU1269" s="23"/>
      <c r="CV1269" s="23"/>
      <c r="CW1269" s="23"/>
      <c r="CX1269" s="23"/>
      <c r="CY1269" s="23"/>
      <c r="CZ1269" s="23"/>
      <c r="DA1269" s="23"/>
      <c r="DB1269" s="23"/>
      <c r="DC1269" s="23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  <c r="DZ1269" s="23"/>
      <c r="EA1269" s="23"/>
      <c r="EB1269" s="23"/>
      <c r="EC1269" s="23"/>
      <c r="ED1269" s="23"/>
      <c r="EE1269" s="23"/>
      <c r="EF1269" s="23"/>
      <c r="EG1269" s="23"/>
      <c r="EH1269" s="23"/>
      <c r="EI1269" s="23"/>
      <c r="EJ1269" s="23"/>
      <c r="EK1269" s="23"/>
      <c r="EL1269" s="23"/>
      <c r="EM1269" s="23"/>
      <c r="EN1269" s="23"/>
      <c r="EO1269" s="23"/>
      <c r="EP1269" s="23"/>
      <c r="EQ1269" s="23"/>
      <c r="ER1269" s="23"/>
    </row>
    <row r="1270" spans="1:148" s="22" customFormat="1" x14ac:dyDescent="0.25">
      <c r="A1270" s="20"/>
      <c r="B1270" s="16"/>
      <c r="C1270" s="473"/>
      <c r="D1270" s="473"/>
      <c r="E1270" s="1164"/>
      <c r="F1270" s="473"/>
      <c r="G1270" s="473"/>
      <c r="H1270" s="1164"/>
      <c r="I1270" s="473"/>
      <c r="J1270" s="473"/>
      <c r="K1270" s="1164"/>
      <c r="L1270" s="473"/>
      <c r="M1270" s="473"/>
      <c r="N1270" s="1164"/>
      <c r="O1270" s="473"/>
      <c r="P1270" s="473"/>
      <c r="Q1270" s="1164"/>
      <c r="R1270" s="473"/>
      <c r="S1270" s="473"/>
      <c r="T1270" s="1164"/>
      <c r="U1270" s="1164"/>
      <c r="V1270" s="473"/>
      <c r="W1270" s="473"/>
      <c r="X1270" s="1164"/>
      <c r="Y1270" s="473"/>
      <c r="Z1270" s="473"/>
      <c r="AA1270" s="1164"/>
      <c r="AB1270" s="473"/>
      <c r="AC1270" s="1164"/>
      <c r="AD1270" s="473"/>
      <c r="AE1270" s="1164"/>
      <c r="AF1270" s="473"/>
      <c r="AG1270" s="1164"/>
      <c r="AH1270" s="473"/>
      <c r="AI1270" s="473"/>
      <c r="AJ1270" s="1164"/>
      <c r="AK1270" s="473"/>
      <c r="AL1270" s="473"/>
      <c r="AM1270" s="1164"/>
      <c r="AN1270" s="473"/>
      <c r="AO1270" s="473"/>
      <c r="AP1270" s="1164"/>
      <c r="AQ1270" s="473"/>
      <c r="AR1270" s="473"/>
      <c r="AS1270" s="1236"/>
      <c r="AT1270" s="473"/>
      <c r="AU1270" s="473"/>
      <c r="AV1270" s="1164"/>
      <c r="AW1270" s="1164"/>
      <c r="AX1270" s="1236"/>
      <c r="AY1270" s="473"/>
      <c r="AZ1270" s="1236"/>
      <c r="BA1270" s="473"/>
      <c r="BB1270" s="473"/>
      <c r="BC1270" s="1164"/>
      <c r="BD1270" s="20"/>
      <c r="BE1270" s="473"/>
      <c r="BF1270" s="610"/>
      <c r="BG1270" s="610"/>
      <c r="BH1270" s="610"/>
      <c r="BI1270" s="610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  <c r="CM1270" s="23"/>
      <c r="CN1270" s="23"/>
      <c r="CO1270" s="23"/>
      <c r="CP1270" s="23"/>
      <c r="CQ1270" s="23"/>
      <c r="CR1270" s="23"/>
      <c r="CS1270" s="23"/>
      <c r="CT1270" s="23"/>
      <c r="CU1270" s="23"/>
      <c r="CV1270" s="23"/>
      <c r="CW1270" s="23"/>
      <c r="CX1270" s="23"/>
      <c r="CY1270" s="23"/>
      <c r="CZ1270" s="23"/>
      <c r="DA1270" s="23"/>
      <c r="DB1270" s="23"/>
      <c r="DC1270" s="23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  <c r="DZ1270" s="23"/>
      <c r="EA1270" s="23"/>
      <c r="EB1270" s="23"/>
      <c r="EC1270" s="23"/>
      <c r="ED1270" s="23"/>
      <c r="EE1270" s="23"/>
      <c r="EF1270" s="23"/>
      <c r="EG1270" s="23"/>
      <c r="EH1270" s="23"/>
      <c r="EI1270" s="23"/>
      <c r="EJ1270" s="23"/>
      <c r="EK1270" s="23"/>
      <c r="EL1270" s="23"/>
      <c r="EM1270" s="23"/>
      <c r="EN1270" s="23"/>
      <c r="EO1270" s="23"/>
      <c r="EP1270" s="23"/>
      <c r="EQ1270" s="23"/>
      <c r="ER1270" s="23"/>
    </row>
    <row r="1271" spans="1:148" s="22" customFormat="1" x14ac:dyDescent="0.25">
      <c r="A1271" s="20"/>
      <c r="B1271" s="16"/>
      <c r="C1271" s="473"/>
      <c r="D1271" s="473"/>
      <c r="E1271" s="1164"/>
      <c r="F1271" s="473"/>
      <c r="G1271" s="473"/>
      <c r="H1271" s="1164"/>
      <c r="I1271" s="473"/>
      <c r="J1271" s="473"/>
      <c r="K1271" s="1164"/>
      <c r="L1271" s="473"/>
      <c r="M1271" s="473"/>
      <c r="N1271" s="1164"/>
      <c r="O1271" s="473"/>
      <c r="P1271" s="473"/>
      <c r="Q1271" s="1164"/>
      <c r="R1271" s="473"/>
      <c r="S1271" s="473"/>
      <c r="T1271" s="1164"/>
      <c r="U1271" s="1164"/>
      <c r="V1271" s="473"/>
      <c r="W1271" s="473"/>
      <c r="X1271" s="1164"/>
      <c r="Y1271" s="473"/>
      <c r="Z1271" s="473"/>
      <c r="AA1271" s="1164"/>
      <c r="AB1271" s="473"/>
      <c r="AC1271" s="1164"/>
      <c r="AD1271" s="473"/>
      <c r="AE1271" s="1164"/>
      <c r="AF1271" s="473"/>
      <c r="AG1271" s="1164"/>
      <c r="AH1271" s="473"/>
      <c r="AI1271" s="473"/>
      <c r="AJ1271" s="1164"/>
      <c r="AK1271" s="473"/>
      <c r="AL1271" s="473"/>
      <c r="AM1271" s="1164"/>
      <c r="AN1271" s="473"/>
      <c r="AO1271" s="473"/>
      <c r="AP1271" s="1164"/>
      <c r="AQ1271" s="473"/>
      <c r="AR1271" s="473"/>
      <c r="AS1271" s="1236"/>
      <c r="AT1271" s="473"/>
      <c r="AU1271" s="473"/>
      <c r="AV1271" s="1164"/>
      <c r="AW1271" s="1164"/>
      <c r="AX1271" s="1236"/>
      <c r="AY1271" s="473"/>
      <c r="AZ1271" s="1236"/>
      <c r="BA1271" s="473"/>
      <c r="BB1271" s="473"/>
      <c r="BC1271" s="1164"/>
      <c r="BD1271" s="20"/>
      <c r="BE1271" s="473"/>
      <c r="BF1271" s="610"/>
      <c r="BG1271" s="610"/>
      <c r="BH1271" s="610"/>
      <c r="BI1271" s="610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  <c r="EF1271" s="23"/>
      <c r="EG1271" s="23"/>
      <c r="EH1271" s="23"/>
      <c r="EI1271" s="23"/>
      <c r="EJ1271" s="23"/>
      <c r="EK1271" s="23"/>
      <c r="EL1271" s="23"/>
      <c r="EM1271" s="23"/>
      <c r="EN1271" s="23"/>
      <c r="EO1271" s="23"/>
      <c r="EP1271" s="23"/>
      <c r="EQ1271" s="23"/>
      <c r="ER1271" s="23"/>
    </row>
    <row r="1272" spans="1:148" s="22" customFormat="1" x14ac:dyDescent="0.25">
      <c r="A1272" s="20"/>
      <c r="B1272" s="16"/>
      <c r="C1272" s="473"/>
      <c r="D1272" s="473"/>
      <c r="E1272" s="1164"/>
      <c r="F1272" s="473"/>
      <c r="G1272" s="473"/>
      <c r="H1272" s="1164"/>
      <c r="I1272" s="473"/>
      <c r="J1272" s="473"/>
      <c r="K1272" s="1164"/>
      <c r="L1272" s="473"/>
      <c r="M1272" s="473"/>
      <c r="N1272" s="1164"/>
      <c r="O1272" s="473"/>
      <c r="P1272" s="473"/>
      <c r="Q1272" s="1164"/>
      <c r="R1272" s="473"/>
      <c r="S1272" s="473"/>
      <c r="T1272" s="1164"/>
      <c r="U1272" s="1164"/>
      <c r="V1272" s="473"/>
      <c r="W1272" s="473"/>
      <c r="X1272" s="1164"/>
      <c r="Y1272" s="473"/>
      <c r="Z1272" s="473"/>
      <c r="AA1272" s="1164"/>
      <c r="AB1272" s="473"/>
      <c r="AC1272" s="1164"/>
      <c r="AD1272" s="473"/>
      <c r="AE1272" s="1164"/>
      <c r="AF1272" s="473"/>
      <c r="AG1272" s="1164"/>
      <c r="AH1272" s="473"/>
      <c r="AI1272" s="473"/>
      <c r="AJ1272" s="1164"/>
      <c r="AK1272" s="473"/>
      <c r="AL1272" s="473"/>
      <c r="AM1272" s="1164"/>
      <c r="AN1272" s="473"/>
      <c r="AO1272" s="473"/>
      <c r="AP1272" s="1164"/>
      <c r="AQ1272" s="473"/>
      <c r="AR1272" s="473"/>
      <c r="AS1272" s="1236"/>
      <c r="AT1272" s="473"/>
      <c r="AU1272" s="473"/>
      <c r="AV1272" s="1164"/>
      <c r="AW1272" s="1164"/>
      <c r="AX1272" s="1236"/>
      <c r="AY1272" s="473"/>
      <c r="AZ1272" s="1236"/>
      <c r="BA1272" s="473"/>
      <c r="BB1272" s="473"/>
      <c r="BC1272" s="1164"/>
      <c r="BD1272" s="20"/>
      <c r="BE1272" s="473"/>
      <c r="BF1272" s="610"/>
      <c r="BG1272" s="610"/>
      <c r="BH1272" s="610"/>
      <c r="BI1272" s="610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23"/>
      <c r="EH1272" s="23"/>
      <c r="EI1272" s="23"/>
      <c r="EJ1272" s="23"/>
      <c r="EK1272" s="23"/>
      <c r="EL1272" s="23"/>
      <c r="EM1272" s="23"/>
      <c r="EN1272" s="23"/>
      <c r="EO1272" s="23"/>
      <c r="EP1272" s="23"/>
      <c r="EQ1272" s="23"/>
      <c r="ER1272" s="23"/>
    </row>
    <row r="1273" spans="1:148" s="22" customFormat="1" x14ac:dyDescent="0.25">
      <c r="A1273" s="20"/>
      <c r="B1273" s="16"/>
      <c r="C1273" s="473"/>
      <c r="D1273" s="473"/>
      <c r="E1273" s="1164"/>
      <c r="F1273" s="473"/>
      <c r="G1273" s="473"/>
      <c r="H1273" s="1164"/>
      <c r="I1273" s="473"/>
      <c r="J1273" s="473"/>
      <c r="K1273" s="1164"/>
      <c r="L1273" s="473"/>
      <c r="M1273" s="473"/>
      <c r="N1273" s="1164"/>
      <c r="O1273" s="473"/>
      <c r="P1273" s="473"/>
      <c r="Q1273" s="1164"/>
      <c r="R1273" s="473"/>
      <c r="S1273" s="473"/>
      <c r="T1273" s="1164"/>
      <c r="U1273" s="1164"/>
      <c r="V1273" s="473"/>
      <c r="W1273" s="473"/>
      <c r="X1273" s="1164"/>
      <c r="Y1273" s="473"/>
      <c r="Z1273" s="473"/>
      <c r="AA1273" s="1164"/>
      <c r="AB1273" s="473"/>
      <c r="AC1273" s="1164"/>
      <c r="AD1273" s="473"/>
      <c r="AE1273" s="1164"/>
      <c r="AF1273" s="473"/>
      <c r="AG1273" s="1164"/>
      <c r="AH1273" s="473"/>
      <c r="AI1273" s="473"/>
      <c r="AJ1273" s="1164"/>
      <c r="AK1273" s="473"/>
      <c r="AL1273" s="473"/>
      <c r="AM1273" s="1164"/>
      <c r="AN1273" s="473"/>
      <c r="AO1273" s="473"/>
      <c r="AP1273" s="1164"/>
      <c r="AQ1273" s="473"/>
      <c r="AR1273" s="473"/>
      <c r="AS1273" s="1236"/>
      <c r="AT1273" s="473"/>
      <c r="AU1273" s="473"/>
      <c r="AV1273" s="1164"/>
      <c r="AW1273" s="1164"/>
      <c r="AX1273" s="1236"/>
      <c r="AY1273" s="473"/>
      <c r="AZ1273" s="1236"/>
      <c r="BA1273" s="473"/>
      <c r="BB1273" s="473"/>
      <c r="BC1273" s="1164"/>
      <c r="BD1273" s="20"/>
      <c r="BE1273" s="473"/>
      <c r="BF1273" s="610"/>
      <c r="BG1273" s="610"/>
      <c r="BH1273" s="610"/>
      <c r="BI1273" s="610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3"/>
      <c r="CG1273" s="23"/>
      <c r="CH1273" s="23"/>
      <c r="CI1273" s="23"/>
      <c r="CJ1273" s="23"/>
      <c r="CK1273" s="23"/>
      <c r="CL1273" s="23"/>
      <c r="CM1273" s="23"/>
      <c r="CN1273" s="23"/>
      <c r="CO1273" s="23"/>
      <c r="CP1273" s="23"/>
      <c r="CQ1273" s="23"/>
      <c r="CR1273" s="23"/>
      <c r="CS1273" s="23"/>
      <c r="CT1273" s="23"/>
      <c r="CU1273" s="23"/>
      <c r="CV1273" s="23"/>
      <c r="CW1273" s="23"/>
      <c r="CX1273" s="23"/>
      <c r="CY1273" s="23"/>
      <c r="CZ1273" s="23"/>
      <c r="DA1273" s="23"/>
      <c r="DB1273" s="23"/>
      <c r="DC1273" s="23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  <c r="DZ1273" s="23"/>
      <c r="EA1273" s="23"/>
      <c r="EB1273" s="23"/>
      <c r="EC1273" s="23"/>
      <c r="ED1273" s="23"/>
      <c r="EE1273" s="23"/>
      <c r="EF1273" s="23"/>
      <c r="EG1273" s="23"/>
      <c r="EH1273" s="23"/>
      <c r="EI1273" s="23"/>
      <c r="EJ1273" s="23"/>
      <c r="EK1273" s="23"/>
      <c r="EL1273" s="23"/>
      <c r="EM1273" s="23"/>
      <c r="EN1273" s="23"/>
      <c r="EO1273" s="23"/>
      <c r="EP1273" s="23"/>
      <c r="EQ1273" s="23"/>
      <c r="ER1273" s="23"/>
    </row>
    <row r="1274" spans="1:148" s="22" customFormat="1" x14ac:dyDescent="0.25">
      <c r="A1274" s="20"/>
      <c r="B1274" s="16"/>
      <c r="C1274" s="473"/>
      <c r="D1274" s="473"/>
      <c r="E1274" s="1164"/>
      <c r="F1274" s="473"/>
      <c r="G1274" s="473"/>
      <c r="H1274" s="1164"/>
      <c r="I1274" s="473"/>
      <c r="J1274" s="473"/>
      <c r="K1274" s="1164"/>
      <c r="L1274" s="473"/>
      <c r="M1274" s="473"/>
      <c r="N1274" s="1164"/>
      <c r="O1274" s="473"/>
      <c r="P1274" s="473"/>
      <c r="Q1274" s="1164"/>
      <c r="R1274" s="473"/>
      <c r="S1274" s="473"/>
      <c r="T1274" s="1164"/>
      <c r="U1274" s="1164"/>
      <c r="V1274" s="473"/>
      <c r="W1274" s="473"/>
      <c r="X1274" s="1164"/>
      <c r="Y1274" s="473"/>
      <c r="Z1274" s="473"/>
      <c r="AA1274" s="1164"/>
      <c r="AB1274" s="473"/>
      <c r="AC1274" s="1164"/>
      <c r="AD1274" s="473"/>
      <c r="AE1274" s="1164"/>
      <c r="AF1274" s="473"/>
      <c r="AG1274" s="1164"/>
      <c r="AH1274" s="473"/>
      <c r="AI1274" s="473"/>
      <c r="AJ1274" s="1164"/>
      <c r="AK1274" s="473"/>
      <c r="AL1274" s="473"/>
      <c r="AM1274" s="1164"/>
      <c r="AN1274" s="473"/>
      <c r="AO1274" s="473"/>
      <c r="AP1274" s="1164"/>
      <c r="AQ1274" s="473"/>
      <c r="AR1274" s="473"/>
      <c r="AS1274" s="1236"/>
      <c r="AT1274" s="473"/>
      <c r="AU1274" s="473"/>
      <c r="AV1274" s="1164"/>
      <c r="AW1274" s="1164"/>
      <c r="AX1274" s="1236"/>
      <c r="AY1274" s="473"/>
      <c r="AZ1274" s="1236"/>
      <c r="BA1274" s="473"/>
      <c r="BB1274" s="473"/>
      <c r="BC1274" s="1164"/>
      <c r="BD1274" s="20"/>
      <c r="BE1274" s="473"/>
      <c r="BF1274" s="610"/>
      <c r="BG1274" s="610"/>
      <c r="BH1274" s="610"/>
      <c r="BI1274" s="610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  <c r="EF1274" s="23"/>
      <c r="EG1274" s="23"/>
      <c r="EH1274" s="23"/>
      <c r="EI1274" s="23"/>
      <c r="EJ1274" s="23"/>
      <c r="EK1274" s="23"/>
      <c r="EL1274" s="23"/>
      <c r="EM1274" s="23"/>
      <c r="EN1274" s="23"/>
      <c r="EO1274" s="23"/>
      <c r="EP1274" s="23"/>
      <c r="EQ1274" s="23"/>
      <c r="ER1274" s="23"/>
    </row>
    <row r="1275" spans="1:148" s="22" customFormat="1" x14ac:dyDescent="0.25">
      <c r="A1275" s="20"/>
      <c r="B1275" s="16"/>
      <c r="C1275" s="473"/>
      <c r="D1275" s="473"/>
      <c r="E1275" s="1164"/>
      <c r="F1275" s="473"/>
      <c r="G1275" s="473"/>
      <c r="H1275" s="1164"/>
      <c r="I1275" s="473"/>
      <c r="J1275" s="473"/>
      <c r="K1275" s="1164"/>
      <c r="L1275" s="473"/>
      <c r="M1275" s="473"/>
      <c r="N1275" s="1164"/>
      <c r="O1275" s="473"/>
      <c r="P1275" s="473"/>
      <c r="Q1275" s="1164"/>
      <c r="R1275" s="473"/>
      <c r="S1275" s="473"/>
      <c r="T1275" s="1164"/>
      <c r="U1275" s="1164"/>
      <c r="V1275" s="473"/>
      <c r="W1275" s="473"/>
      <c r="X1275" s="1164"/>
      <c r="Y1275" s="473"/>
      <c r="Z1275" s="473"/>
      <c r="AA1275" s="1164"/>
      <c r="AB1275" s="473"/>
      <c r="AC1275" s="1164"/>
      <c r="AD1275" s="473"/>
      <c r="AE1275" s="1164"/>
      <c r="AF1275" s="473"/>
      <c r="AG1275" s="1164"/>
      <c r="AH1275" s="473"/>
      <c r="AI1275" s="473"/>
      <c r="AJ1275" s="1164"/>
      <c r="AK1275" s="473"/>
      <c r="AL1275" s="473"/>
      <c r="AM1275" s="1164"/>
      <c r="AN1275" s="473"/>
      <c r="AO1275" s="473"/>
      <c r="AP1275" s="1164"/>
      <c r="AQ1275" s="473"/>
      <c r="AR1275" s="473"/>
      <c r="AS1275" s="1236"/>
      <c r="AT1275" s="473"/>
      <c r="AU1275" s="473"/>
      <c r="AV1275" s="1164"/>
      <c r="AW1275" s="1164"/>
      <c r="AX1275" s="1236"/>
      <c r="AY1275" s="473"/>
      <c r="AZ1275" s="1236"/>
      <c r="BA1275" s="473"/>
      <c r="BB1275" s="473"/>
      <c r="BC1275" s="1164"/>
      <c r="BD1275" s="20"/>
      <c r="BE1275" s="473"/>
      <c r="BF1275" s="610"/>
      <c r="BG1275" s="610"/>
      <c r="BH1275" s="610"/>
      <c r="BI1275" s="610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</row>
    <row r="1276" spans="1:148" s="22" customFormat="1" x14ac:dyDescent="0.25">
      <c r="A1276" s="20"/>
      <c r="B1276" s="16"/>
      <c r="C1276" s="473"/>
      <c r="D1276" s="473"/>
      <c r="E1276" s="1164"/>
      <c r="F1276" s="473"/>
      <c r="G1276" s="473"/>
      <c r="H1276" s="1164"/>
      <c r="I1276" s="473"/>
      <c r="J1276" s="473"/>
      <c r="K1276" s="1164"/>
      <c r="L1276" s="473"/>
      <c r="M1276" s="473"/>
      <c r="N1276" s="1164"/>
      <c r="O1276" s="473"/>
      <c r="P1276" s="473"/>
      <c r="Q1276" s="1164"/>
      <c r="R1276" s="473"/>
      <c r="S1276" s="473"/>
      <c r="T1276" s="1164"/>
      <c r="U1276" s="1164"/>
      <c r="V1276" s="473"/>
      <c r="W1276" s="473"/>
      <c r="X1276" s="1164"/>
      <c r="Y1276" s="473"/>
      <c r="Z1276" s="473"/>
      <c r="AA1276" s="1164"/>
      <c r="AB1276" s="473"/>
      <c r="AC1276" s="1164"/>
      <c r="AD1276" s="473"/>
      <c r="AE1276" s="1164"/>
      <c r="AF1276" s="473"/>
      <c r="AG1276" s="1164"/>
      <c r="AH1276" s="473"/>
      <c r="AI1276" s="473"/>
      <c r="AJ1276" s="1164"/>
      <c r="AK1276" s="473"/>
      <c r="AL1276" s="473"/>
      <c r="AM1276" s="1164"/>
      <c r="AN1276" s="473"/>
      <c r="AO1276" s="473"/>
      <c r="AP1276" s="1164"/>
      <c r="AQ1276" s="473"/>
      <c r="AR1276" s="473"/>
      <c r="AS1276" s="1236"/>
      <c r="AT1276" s="473"/>
      <c r="AU1276" s="473"/>
      <c r="AV1276" s="1164"/>
      <c r="AW1276" s="1164"/>
      <c r="AX1276" s="1236"/>
      <c r="AY1276" s="473"/>
      <c r="AZ1276" s="1236"/>
      <c r="BA1276" s="473"/>
      <c r="BB1276" s="473"/>
      <c r="BC1276" s="1164"/>
      <c r="BD1276" s="20"/>
      <c r="BE1276" s="473"/>
      <c r="BF1276" s="610"/>
      <c r="BG1276" s="610"/>
      <c r="BH1276" s="610"/>
      <c r="BI1276" s="610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</row>
    <row r="1277" spans="1:148" s="22" customFormat="1" x14ac:dyDescent="0.25">
      <c r="A1277" s="20"/>
      <c r="B1277" s="16"/>
      <c r="C1277" s="473"/>
      <c r="D1277" s="473"/>
      <c r="E1277" s="1164"/>
      <c r="F1277" s="473"/>
      <c r="G1277" s="473"/>
      <c r="H1277" s="1164"/>
      <c r="I1277" s="473"/>
      <c r="J1277" s="473"/>
      <c r="K1277" s="1164"/>
      <c r="L1277" s="473"/>
      <c r="M1277" s="473"/>
      <c r="N1277" s="1164"/>
      <c r="O1277" s="473"/>
      <c r="P1277" s="473"/>
      <c r="Q1277" s="1164"/>
      <c r="R1277" s="473"/>
      <c r="S1277" s="473"/>
      <c r="T1277" s="1164"/>
      <c r="U1277" s="1164"/>
      <c r="V1277" s="473"/>
      <c r="W1277" s="473"/>
      <c r="X1277" s="1164"/>
      <c r="Y1277" s="473"/>
      <c r="Z1277" s="473"/>
      <c r="AA1277" s="1164"/>
      <c r="AB1277" s="473"/>
      <c r="AC1277" s="1164"/>
      <c r="AD1277" s="473"/>
      <c r="AE1277" s="1164"/>
      <c r="AF1277" s="473"/>
      <c r="AG1277" s="1164"/>
      <c r="AH1277" s="473"/>
      <c r="AI1277" s="473"/>
      <c r="AJ1277" s="1164"/>
      <c r="AK1277" s="473"/>
      <c r="AL1277" s="473"/>
      <c r="AM1277" s="1164"/>
      <c r="AN1277" s="473"/>
      <c r="AO1277" s="473"/>
      <c r="AP1277" s="1164"/>
      <c r="AQ1277" s="473"/>
      <c r="AR1277" s="473"/>
      <c r="AS1277" s="1236"/>
      <c r="AT1277" s="473"/>
      <c r="AU1277" s="473"/>
      <c r="AV1277" s="1164"/>
      <c r="AW1277" s="1164"/>
      <c r="AX1277" s="1236"/>
      <c r="AY1277" s="473"/>
      <c r="AZ1277" s="1236"/>
      <c r="BA1277" s="473"/>
      <c r="BB1277" s="473"/>
      <c r="BC1277" s="1164"/>
      <c r="BD1277" s="20"/>
      <c r="BE1277" s="473"/>
      <c r="BF1277" s="610"/>
      <c r="BG1277" s="610"/>
      <c r="BH1277" s="610"/>
      <c r="BI1277" s="610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</row>
    <row r="1278" spans="1:148" s="22" customFormat="1" x14ac:dyDescent="0.25">
      <c r="A1278" s="20"/>
      <c r="B1278" s="16"/>
      <c r="C1278" s="473"/>
      <c r="D1278" s="473"/>
      <c r="E1278" s="1164"/>
      <c r="F1278" s="473"/>
      <c r="G1278" s="473"/>
      <c r="H1278" s="1164"/>
      <c r="I1278" s="473"/>
      <c r="J1278" s="473"/>
      <c r="K1278" s="1164"/>
      <c r="L1278" s="473"/>
      <c r="M1278" s="473"/>
      <c r="N1278" s="1164"/>
      <c r="O1278" s="473"/>
      <c r="P1278" s="473"/>
      <c r="Q1278" s="1164"/>
      <c r="R1278" s="473"/>
      <c r="S1278" s="473"/>
      <c r="T1278" s="1164"/>
      <c r="U1278" s="1164"/>
      <c r="V1278" s="473"/>
      <c r="W1278" s="473"/>
      <c r="X1278" s="1164"/>
      <c r="Y1278" s="473"/>
      <c r="Z1278" s="473"/>
      <c r="AA1278" s="1164"/>
      <c r="AB1278" s="473"/>
      <c r="AC1278" s="1164"/>
      <c r="AD1278" s="473"/>
      <c r="AE1278" s="1164"/>
      <c r="AF1278" s="473"/>
      <c r="AG1278" s="1164"/>
      <c r="AH1278" s="473"/>
      <c r="AI1278" s="473"/>
      <c r="AJ1278" s="1164"/>
      <c r="AK1278" s="473"/>
      <c r="AL1278" s="473"/>
      <c r="AM1278" s="1164"/>
      <c r="AN1278" s="473"/>
      <c r="AO1278" s="473"/>
      <c r="AP1278" s="1164"/>
      <c r="AQ1278" s="473"/>
      <c r="AR1278" s="473"/>
      <c r="AS1278" s="1236"/>
      <c r="AT1278" s="473"/>
      <c r="AU1278" s="473"/>
      <c r="AV1278" s="1164"/>
      <c r="AW1278" s="1164"/>
      <c r="AX1278" s="1236"/>
      <c r="AY1278" s="473"/>
      <c r="AZ1278" s="1236"/>
      <c r="BA1278" s="473"/>
      <c r="BB1278" s="473"/>
      <c r="BC1278" s="1164"/>
      <c r="BD1278" s="20"/>
      <c r="BE1278" s="473"/>
      <c r="BF1278" s="610"/>
      <c r="BG1278" s="610"/>
      <c r="BH1278" s="610"/>
      <c r="BI1278" s="610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</row>
    <row r="1279" spans="1:148" s="22" customFormat="1" x14ac:dyDescent="0.25">
      <c r="A1279" s="20"/>
      <c r="B1279" s="16"/>
      <c r="C1279" s="473"/>
      <c r="D1279" s="473"/>
      <c r="E1279" s="1164"/>
      <c r="F1279" s="473"/>
      <c r="G1279" s="473"/>
      <c r="H1279" s="1164"/>
      <c r="I1279" s="473"/>
      <c r="J1279" s="473"/>
      <c r="K1279" s="1164"/>
      <c r="L1279" s="473"/>
      <c r="M1279" s="473"/>
      <c r="N1279" s="1164"/>
      <c r="O1279" s="473"/>
      <c r="P1279" s="473"/>
      <c r="Q1279" s="1164"/>
      <c r="R1279" s="473"/>
      <c r="S1279" s="473"/>
      <c r="T1279" s="1164"/>
      <c r="U1279" s="1164"/>
      <c r="V1279" s="473"/>
      <c r="W1279" s="473"/>
      <c r="X1279" s="1164"/>
      <c r="Y1279" s="473"/>
      <c r="Z1279" s="473"/>
      <c r="AA1279" s="1164"/>
      <c r="AB1279" s="473"/>
      <c r="AC1279" s="1164"/>
      <c r="AD1279" s="473"/>
      <c r="AE1279" s="1164"/>
      <c r="AF1279" s="473"/>
      <c r="AG1279" s="1164"/>
      <c r="AH1279" s="473"/>
      <c r="AI1279" s="473"/>
      <c r="AJ1279" s="1164"/>
      <c r="AK1279" s="473"/>
      <c r="AL1279" s="473"/>
      <c r="AM1279" s="1164"/>
      <c r="AN1279" s="473"/>
      <c r="AO1279" s="473"/>
      <c r="AP1279" s="1164"/>
      <c r="AQ1279" s="473"/>
      <c r="AR1279" s="473"/>
      <c r="AS1279" s="1236"/>
      <c r="AT1279" s="473"/>
      <c r="AU1279" s="473"/>
      <c r="AV1279" s="1164"/>
      <c r="AW1279" s="1164"/>
      <c r="AX1279" s="1236"/>
      <c r="AY1279" s="473"/>
      <c r="AZ1279" s="1236"/>
      <c r="BA1279" s="473"/>
      <c r="BB1279" s="473"/>
      <c r="BC1279" s="1164"/>
      <c r="BD1279" s="20"/>
      <c r="BE1279" s="473"/>
      <c r="BF1279" s="610"/>
      <c r="BG1279" s="610"/>
      <c r="BH1279" s="610"/>
      <c r="BI1279" s="610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</row>
    <row r="1280" spans="1:148" s="22" customFormat="1" x14ac:dyDescent="0.25">
      <c r="A1280" s="20"/>
      <c r="B1280" s="16"/>
      <c r="C1280" s="473"/>
      <c r="D1280" s="473"/>
      <c r="E1280" s="1164"/>
      <c r="F1280" s="473"/>
      <c r="G1280" s="473"/>
      <c r="H1280" s="1164"/>
      <c r="I1280" s="473"/>
      <c r="J1280" s="473"/>
      <c r="K1280" s="1164"/>
      <c r="L1280" s="473"/>
      <c r="M1280" s="473"/>
      <c r="N1280" s="1164"/>
      <c r="O1280" s="473"/>
      <c r="P1280" s="473"/>
      <c r="Q1280" s="1164"/>
      <c r="R1280" s="473"/>
      <c r="S1280" s="473"/>
      <c r="T1280" s="1164"/>
      <c r="U1280" s="1164"/>
      <c r="V1280" s="473"/>
      <c r="W1280" s="473"/>
      <c r="X1280" s="1164"/>
      <c r="Y1280" s="473"/>
      <c r="Z1280" s="473"/>
      <c r="AA1280" s="1164"/>
      <c r="AB1280" s="473"/>
      <c r="AC1280" s="1164"/>
      <c r="AD1280" s="473"/>
      <c r="AE1280" s="1164"/>
      <c r="AF1280" s="473"/>
      <c r="AG1280" s="1164"/>
      <c r="AH1280" s="473"/>
      <c r="AI1280" s="473"/>
      <c r="AJ1280" s="1164"/>
      <c r="AK1280" s="473"/>
      <c r="AL1280" s="473"/>
      <c r="AM1280" s="1164"/>
      <c r="AN1280" s="473"/>
      <c r="AO1280" s="473"/>
      <c r="AP1280" s="1164"/>
      <c r="AQ1280" s="473"/>
      <c r="AR1280" s="473"/>
      <c r="AS1280" s="1236"/>
      <c r="AT1280" s="473"/>
      <c r="AU1280" s="473"/>
      <c r="AV1280" s="1164"/>
      <c r="AW1280" s="1164"/>
      <c r="AX1280" s="1236"/>
      <c r="AY1280" s="473"/>
      <c r="AZ1280" s="1236"/>
      <c r="BA1280" s="473"/>
      <c r="BB1280" s="473"/>
      <c r="BC1280" s="1164"/>
      <c r="BD1280" s="20"/>
      <c r="BE1280" s="473"/>
      <c r="BF1280" s="610"/>
      <c r="BG1280" s="610"/>
      <c r="BH1280" s="610"/>
      <c r="BI1280" s="610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3"/>
      <c r="CG1280" s="23"/>
      <c r="CH1280" s="23"/>
      <c r="CI1280" s="23"/>
      <c r="CJ1280" s="23"/>
      <c r="CK1280" s="23"/>
      <c r="CL1280" s="23"/>
      <c r="CM1280" s="23"/>
      <c r="CN1280" s="23"/>
      <c r="CO1280" s="23"/>
      <c r="CP1280" s="23"/>
      <c r="CQ1280" s="23"/>
      <c r="CR1280" s="23"/>
      <c r="CS1280" s="23"/>
      <c r="CT1280" s="23"/>
      <c r="CU1280" s="23"/>
      <c r="CV1280" s="23"/>
      <c r="CW1280" s="23"/>
      <c r="CX1280" s="23"/>
      <c r="CY1280" s="23"/>
      <c r="CZ1280" s="23"/>
      <c r="DA1280" s="23"/>
      <c r="DB1280" s="23"/>
      <c r="DC1280" s="23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  <c r="DZ1280" s="23"/>
      <c r="EA1280" s="23"/>
      <c r="EB1280" s="23"/>
      <c r="EC1280" s="23"/>
      <c r="ED1280" s="23"/>
      <c r="EE1280" s="23"/>
      <c r="EF1280" s="23"/>
      <c r="EG1280" s="23"/>
      <c r="EH1280" s="23"/>
      <c r="EI1280" s="23"/>
      <c r="EJ1280" s="23"/>
      <c r="EK1280" s="23"/>
      <c r="EL1280" s="23"/>
      <c r="EM1280" s="23"/>
      <c r="EN1280" s="23"/>
      <c r="EO1280" s="23"/>
      <c r="EP1280" s="23"/>
      <c r="EQ1280" s="23"/>
      <c r="ER1280" s="23"/>
    </row>
    <row r="1281" spans="1:148" s="22" customFormat="1" x14ac:dyDescent="0.25">
      <c r="A1281" s="20"/>
      <c r="B1281" s="16"/>
      <c r="C1281" s="473"/>
      <c r="D1281" s="473"/>
      <c r="E1281" s="1164"/>
      <c r="F1281" s="473"/>
      <c r="G1281" s="473"/>
      <c r="H1281" s="1164"/>
      <c r="I1281" s="473"/>
      <c r="J1281" s="473"/>
      <c r="K1281" s="1164"/>
      <c r="L1281" s="473"/>
      <c r="M1281" s="473"/>
      <c r="N1281" s="1164"/>
      <c r="O1281" s="473"/>
      <c r="P1281" s="473"/>
      <c r="Q1281" s="1164"/>
      <c r="R1281" s="473"/>
      <c r="S1281" s="473"/>
      <c r="T1281" s="1164"/>
      <c r="U1281" s="1164"/>
      <c r="V1281" s="473"/>
      <c r="W1281" s="473"/>
      <c r="X1281" s="1164"/>
      <c r="Y1281" s="473"/>
      <c r="Z1281" s="473"/>
      <c r="AA1281" s="1164"/>
      <c r="AB1281" s="473"/>
      <c r="AC1281" s="1164"/>
      <c r="AD1281" s="473"/>
      <c r="AE1281" s="1164"/>
      <c r="AF1281" s="473"/>
      <c r="AG1281" s="1164"/>
      <c r="AH1281" s="473"/>
      <c r="AI1281" s="473"/>
      <c r="AJ1281" s="1164"/>
      <c r="AK1281" s="473"/>
      <c r="AL1281" s="473"/>
      <c r="AM1281" s="1164"/>
      <c r="AN1281" s="473"/>
      <c r="AO1281" s="473"/>
      <c r="AP1281" s="1164"/>
      <c r="AQ1281" s="473"/>
      <c r="AR1281" s="473"/>
      <c r="AS1281" s="1236"/>
      <c r="AT1281" s="473"/>
      <c r="AU1281" s="473"/>
      <c r="AV1281" s="1164"/>
      <c r="AW1281" s="1164"/>
      <c r="AX1281" s="1236"/>
      <c r="AY1281" s="473"/>
      <c r="AZ1281" s="1236"/>
      <c r="BA1281" s="473"/>
      <c r="BB1281" s="473"/>
      <c r="BC1281" s="1164"/>
      <c r="BD1281" s="20"/>
      <c r="BE1281" s="473"/>
      <c r="BF1281" s="610"/>
      <c r="BG1281" s="610"/>
      <c r="BH1281" s="610"/>
      <c r="BI1281" s="610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23"/>
      <c r="CG1281" s="23"/>
      <c r="CH1281" s="23"/>
      <c r="CI1281" s="23"/>
      <c r="CJ1281" s="23"/>
      <c r="CK1281" s="23"/>
      <c r="CL1281" s="23"/>
      <c r="CM1281" s="23"/>
      <c r="CN1281" s="23"/>
      <c r="CO1281" s="23"/>
      <c r="CP1281" s="23"/>
      <c r="CQ1281" s="23"/>
      <c r="CR1281" s="23"/>
      <c r="CS1281" s="23"/>
      <c r="CT1281" s="23"/>
      <c r="CU1281" s="23"/>
      <c r="CV1281" s="23"/>
      <c r="CW1281" s="23"/>
      <c r="CX1281" s="23"/>
      <c r="CY1281" s="23"/>
      <c r="CZ1281" s="23"/>
      <c r="DA1281" s="23"/>
      <c r="DB1281" s="23"/>
      <c r="DC1281" s="23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  <c r="DZ1281" s="23"/>
      <c r="EA1281" s="23"/>
      <c r="EB1281" s="23"/>
      <c r="EC1281" s="23"/>
      <c r="ED1281" s="23"/>
      <c r="EE1281" s="23"/>
      <c r="EF1281" s="23"/>
      <c r="EG1281" s="23"/>
      <c r="EH1281" s="23"/>
      <c r="EI1281" s="23"/>
      <c r="EJ1281" s="23"/>
      <c r="EK1281" s="23"/>
      <c r="EL1281" s="23"/>
      <c r="EM1281" s="23"/>
      <c r="EN1281" s="23"/>
      <c r="EO1281" s="23"/>
      <c r="EP1281" s="23"/>
      <c r="EQ1281" s="23"/>
      <c r="ER1281" s="23"/>
    </row>
    <row r="1282" spans="1:148" s="22" customFormat="1" x14ac:dyDescent="0.25">
      <c r="A1282" s="20"/>
      <c r="B1282" s="16"/>
      <c r="C1282" s="473"/>
      <c r="D1282" s="473"/>
      <c r="E1282" s="1164"/>
      <c r="F1282" s="473"/>
      <c r="G1282" s="473"/>
      <c r="H1282" s="1164"/>
      <c r="I1282" s="473"/>
      <c r="J1282" s="473"/>
      <c r="K1282" s="1164"/>
      <c r="L1282" s="473"/>
      <c r="M1282" s="473"/>
      <c r="N1282" s="1164"/>
      <c r="O1282" s="473"/>
      <c r="P1282" s="473"/>
      <c r="Q1282" s="1164"/>
      <c r="R1282" s="473"/>
      <c r="S1282" s="473"/>
      <c r="T1282" s="1164"/>
      <c r="U1282" s="1164"/>
      <c r="V1282" s="473"/>
      <c r="W1282" s="473"/>
      <c r="X1282" s="1164"/>
      <c r="Y1282" s="473"/>
      <c r="Z1282" s="473"/>
      <c r="AA1282" s="1164"/>
      <c r="AB1282" s="473"/>
      <c r="AC1282" s="1164"/>
      <c r="AD1282" s="473"/>
      <c r="AE1282" s="1164"/>
      <c r="AF1282" s="473"/>
      <c r="AG1282" s="1164"/>
      <c r="AH1282" s="473"/>
      <c r="AI1282" s="473"/>
      <c r="AJ1282" s="1164"/>
      <c r="AK1282" s="473"/>
      <c r="AL1282" s="473"/>
      <c r="AM1282" s="1164"/>
      <c r="AN1282" s="473"/>
      <c r="AO1282" s="473"/>
      <c r="AP1282" s="1164"/>
      <c r="AQ1282" s="473"/>
      <c r="AR1282" s="473"/>
      <c r="AS1282" s="1236"/>
      <c r="AT1282" s="473"/>
      <c r="AU1282" s="473"/>
      <c r="AV1282" s="1164"/>
      <c r="AW1282" s="1164"/>
      <c r="AX1282" s="1236"/>
      <c r="AY1282" s="473"/>
      <c r="AZ1282" s="1236"/>
      <c r="BA1282" s="473"/>
      <c r="BB1282" s="473"/>
      <c r="BC1282" s="1164"/>
      <c r="BD1282" s="20"/>
      <c r="BE1282" s="473"/>
      <c r="BF1282" s="610"/>
      <c r="BG1282" s="610"/>
      <c r="BH1282" s="610"/>
      <c r="BI1282" s="610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3"/>
      <c r="CG1282" s="23"/>
      <c r="CH1282" s="23"/>
      <c r="CI1282" s="23"/>
      <c r="CJ1282" s="23"/>
      <c r="CK1282" s="23"/>
      <c r="CL1282" s="23"/>
      <c r="CM1282" s="23"/>
      <c r="CN1282" s="23"/>
      <c r="CO1282" s="23"/>
      <c r="CP1282" s="23"/>
      <c r="CQ1282" s="23"/>
      <c r="CR1282" s="23"/>
      <c r="CS1282" s="23"/>
      <c r="CT1282" s="23"/>
      <c r="CU1282" s="23"/>
      <c r="CV1282" s="23"/>
      <c r="CW1282" s="23"/>
      <c r="CX1282" s="23"/>
      <c r="CY1282" s="23"/>
      <c r="CZ1282" s="23"/>
      <c r="DA1282" s="23"/>
      <c r="DB1282" s="23"/>
      <c r="DC1282" s="23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  <c r="DZ1282" s="23"/>
      <c r="EA1282" s="23"/>
      <c r="EB1282" s="23"/>
      <c r="EC1282" s="23"/>
      <c r="ED1282" s="23"/>
      <c r="EE1282" s="23"/>
      <c r="EF1282" s="23"/>
      <c r="EG1282" s="23"/>
      <c r="EH1282" s="23"/>
      <c r="EI1282" s="23"/>
      <c r="EJ1282" s="23"/>
      <c r="EK1282" s="23"/>
      <c r="EL1282" s="23"/>
      <c r="EM1282" s="23"/>
      <c r="EN1282" s="23"/>
      <c r="EO1282" s="23"/>
      <c r="EP1282" s="23"/>
      <c r="EQ1282" s="23"/>
      <c r="ER1282" s="23"/>
    </row>
    <row r="1283" spans="1:148" s="22" customFormat="1" x14ac:dyDescent="0.25">
      <c r="A1283" s="20"/>
      <c r="B1283" s="16"/>
      <c r="C1283" s="473"/>
      <c r="D1283" s="473"/>
      <c r="E1283" s="1164"/>
      <c r="F1283" s="473"/>
      <c r="G1283" s="473"/>
      <c r="H1283" s="1164"/>
      <c r="I1283" s="473"/>
      <c r="J1283" s="473"/>
      <c r="K1283" s="1164"/>
      <c r="L1283" s="473"/>
      <c r="M1283" s="473"/>
      <c r="N1283" s="1164"/>
      <c r="O1283" s="473"/>
      <c r="P1283" s="473"/>
      <c r="Q1283" s="1164"/>
      <c r="R1283" s="473"/>
      <c r="S1283" s="473"/>
      <c r="T1283" s="1164"/>
      <c r="U1283" s="1164"/>
      <c r="V1283" s="473"/>
      <c r="W1283" s="473"/>
      <c r="X1283" s="1164"/>
      <c r="Y1283" s="473"/>
      <c r="Z1283" s="473"/>
      <c r="AA1283" s="1164"/>
      <c r="AB1283" s="473"/>
      <c r="AC1283" s="1164"/>
      <c r="AD1283" s="473"/>
      <c r="AE1283" s="1164"/>
      <c r="AF1283" s="473"/>
      <c r="AG1283" s="1164"/>
      <c r="AH1283" s="473"/>
      <c r="AI1283" s="473"/>
      <c r="AJ1283" s="1164"/>
      <c r="AK1283" s="473"/>
      <c r="AL1283" s="473"/>
      <c r="AM1283" s="1164"/>
      <c r="AN1283" s="473"/>
      <c r="AO1283" s="473"/>
      <c r="AP1283" s="1164"/>
      <c r="AQ1283" s="473"/>
      <c r="AR1283" s="473"/>
      <c r="AS1283" s="1236"/>
      <c r="AT1283" s="473"/>
      <c r="AU1283" s="473"/>
      <c r="AV1283" s="1164"/>
      <c r="AW1283" s="1164"/>
      <c r="AX1283" s="1236"/>
      <c r="AY1283" s="473"/>
      <c r="AZ1283" s="1236"/>
      <c r="BA1283" s="473"/>
      <c r="BB1283" s="473"/>
      <c r="BC1283" s="1164"/>
      <c r="BD1283" s="20"/>
      <c r="BE1283" s="473"/>
      <c r="BF1283" s="610"/>
      <c r="BG1283" s="610"/>
      <c r="BH1283" s="610"/>
      <c r="BI1283" s="610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3"/>
      <c r="CG1283" s="23"/>
      <c r="CH1283" s="23"/>
      <c r="CI1283" s="23"/>
      <c r="CJ1283" s="23"/>
      <c r="CK1283" s="23"/>
      <c r="CL1283" s="23"/>
      <c r="CM1283" s="23"/>
      <c r="CN1283" s="23"/>
      <c r="CO1283" s="23"/>
      <c r="CP1283" s="23"/>
      <c r="CQ1283" s="23"/>
      <c r="CR1283" s="23"/>
      <c r="CS1283" s="23"/>
      <c r="CT1283" s="23"/>
      <c r="CU1283" s="23"/>
      <c r="CV1283" s="23"/>
      <c r="CW1283" s="23"/>
      <c r="CX1283" s="23"/>
      <c r="CY1283" s="23"/>
      <c r="CZ1283" s="23"/>
      <c r="DA1283" s="23"/>
      <c r="DB1283" s="23"/>
      <c r="DC1283" s="23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  <c r="DZ1283" s="23"/>
      <c r="EA1283" s="23"/>
      <c r="EB1283" s="23"/>
      <c r="EC1283" s="23"/>
      <c r="ED1283" s="23"/>
      <c r="EE1283" s="23"/>
      <c r="EF1283" s="23"/>
      <c r="EG1283" s="23"/>
      <c r="EH1283" s="23"/>
      <c r="EI1283" s="23"/>
      <c r="EJ1283" s="23"/>
      <c r="EK1283" s="23"/>
      <c r="EL1283" s="23"/>
      <c r="EM1283" s="23"/>
      <c r="EN1283" s="23"/>
      <c r="EO1283" s="23"/>
      <c r="EP1283" s="23"/>
      <c r="EQ1283" s="23"/>
      <c r="ER1283" s="23"/>
    </row>
    <row r="1284" spans="1:148" s="22" customFormat="1" x14ac:dyDescent="0.25">
      <c r="A1284" s="20"/>
      <c r="B1284" s="16"/>
      <c r="C1284" s="473"/>
      <c r="D1284" s="473"/>
      <c r="E1284" s="1164"/>
      <c r="F1284" s="473"/>
      <c r="G1284" s="473"/>
      <c r="H1284" s="1164"/>
      <c r="I1284" s="473"/>
      <c r="J1284" s="473"/>
      <c r="K1284" s="1164"/>
      <c r="L1284" s="473"/>
      <c r="M1284" s="473"/>
      <c r="N1284" s="1164"/>
      <c r="O1284" s="473"/>
      <c r="P1284" s="473"/>
      <c r="Q1284" s="1164"/>
      <c r="R1284" s="473"/>
      <c r="S1284" s="473"/>
      <c r="T1284" s="1164"/>
      <c r="U1284" s="1164"/>
      <c r="V1284" s="473"/>
      <c r="W1284" s="473"/>
      <c r="X1284" s="1164"/>
      <c r="Y1284" s="473"/>
      <c r="Z1284" s="473"/>
      <c r="AA1284" s="1164"/>
      <c r="AB1284" s="473"/>
      <c r="AC1284" s="1164"/>
      <c r="AD1284" s="473"/>
      <c r="AE1284" s="1164"/>
      <c r="AF1284" s="473"/>
      <c r="AG1284" s="1164"/>
      <c r="AH1284" s="473"/>
      <c r="AI1284" s="473"/>
      <c r="AJ1284" s="1164"/>
      <c r="AK1284" s="473"/>
      <c r="AL1284" s="473"/>
      <c r="AM1284" s="1164"/>
      <c r="AN1284" s="473"/>
      <c r="AO1284" s="473"/>
      <c r="AP1284" s="1164"/>
      <c r="AQ1284" s="473"/>
      <c r="AR1284" s="473"/>
      <c r="AS1284" s="1236"/>
      <c r="AT1284" s="473"/>
      <c r="AU1284" s="473"/>
      <c r="AV1284" s="1164"/>
      <c r="AW1284" s="1164"/>
      <c r="AX1284" s="1236"/>
      <c r="AY1284" s="473"/>
      <c r="AZ1284" s="1236"/>
      <c r="BA1284" s="473"/>
      <c r="BB1284" s="473"/>
      <c r="BC1284" s="1164"/>
      <c r="BD1284" s="20"/>
      <c r="BE1284" s="473"/>
      <c r="BF1284" s="610"/>
      <c r="BG1284" s="610"/>
      <c r="BH1284" s="610"/>
      <c r="BI1284" s="610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  <c r="EF1284" s="23"/>
      <c r="EG1284" s="23"/>
      <c r="EH1284" s="23"/>
      <c r="EI1284" s="23"/>
      <c r="EJ1284" s="23"/>
      <c r="EK1284" s="23"/>
      <c r="EL1284" s="23"/>
      <c r="EM1284" s="23"/>
      <c r="EN1284" s="23"/>
      <c r="EO1284" s="23"/>
      <c r="EP1284" s="23"/>
      <c r="EQ1284" s="23"/>
      <c r="ER1284" s="23"/>
    </row>
    <row r="1285" spans="1:148" s="22" customFormat="1" x14ac:dyDescent="0.25">
      <c r="A1285" s="20"/>
      <c r="B1285" s="16"/>
      <c r="C1285" s="473"/>
      <c r="D1285" s="473"/>
      <c r="E1285" s="1164"/>
      <c r="F1285" s="473"/>
      <c r="G1285" s="473"/>
      <c r="H1285" s="1164"/>
      <c r="I1285" s="473"/>
      <c r="J1285" s="473"/>
      <c r="K1285" s="1164"/>
      <c r="L1285" s="473"/>
      <c r="M1285" s="473"/>
      <c r="N1285" s="1164"/>
      <c r="O1285" s="473"/>
      <c r="P1285" s="473"/>
      <c r="Q1285" s="1164"/>
      <c r="R1285" s="473"/>
      <c r="S1285" s="473"/>
      <c r="T1285" s="1164"/>
      <c r="U1285" s="1164"/>
      <c r="V1285" s="473"/>
      <c r="W1285" s="473"/>
      <c r="X1285" s="1164"/>
      <c r="Y1285" s="473"/>
      <c r="Z1285" s="473"/>
      <c r="AA1285" s="1164"/>
      <c r="AB1285" s="473"/>
      <c r="AC1285" s="1164"/>
      <c r="AD1285" s="473"/>
      <c r="AE1285" s="1164"/>
      <c r="AF1285" s="473"/>
      <c r="AG1285" s="1164"/>
      <c r="AH1285" s="473"/>
      <c r="AI1285" s="473"/>
      <c r="AJ1285" s="1164"/>
      <c r="AK1285" s="473"/>
      <c r="AL1285" s="473"/>
      <c r="AM1285" s="1164"/>
      <c r="AN1285" s="473"/>
      <c r="AO1285" s="473"/>
      <c r="AP1285" s="1164"/>
      <c r="AQ1285" s="473"/>
      <c r="AR1285" s="473"/>
      <c r="AS1285" s="1236"/>
      <c r="AT1285" s="473"/>
      <c r="AU1285" s="473"/>
      <c r="AV1285" s="1164"/>
      <c r="AW1285" s="1164"/>
      <c r="AX1285" s="1236"/>
      <c r="AY1285" s="473"/>
      <c r="AZ1285" s="1236"/>
      <c r="BA1285" s="473"/>
      <c r="BB1285" s="473"/>
      <c r="BC1285" s="1164"/>
      <c r="BD1285" s="20"/>
      <c r="BE1285" s="473"/>
      <c r="BF1285" s="610"/>
      <c r="BG1285" s="610"/>
      <c r="BH1285" s="610"/>
      <c r="BI1285" s="610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  <c r="EF1285" s="23"/>
      <c r="EG1285" s="23"/>
      <c r="EH1285" s="23"/>
      <c r="EI1285" s="23"/>
      <c r="EJ1285" s="23"/>
      <c r="EK1285" s="23"/>
      <c r="EL1285" s="23"/>
      <c r="EM1285" s="23"/>
      <c r="EN1285" s="23"/>
      <c r="EO1285" s="23"/>
      <c r="EP1285" s="23"/>
      <c r="EQ1285" s="23"/>
      <c r="ER1285" s="23"/>
    </row>
    <row r="1286" spans="1:148" s="22" customFormat="1" x14ac:dyDescent="0.25">
      <c r="A1286" s="20"/>
      <c r="B1286" s="16"/>
      <c r="C1286" s="473"/>
      <c r="D1286" s="473"/>
      <c r="E1286" s="1164"/>
      <c r="F1286" s="473"/>
      <c r="G1286" s="473"/>
      <c r="H1286" s="1164"/>
      <c r="I1286" s="473"/>
      <c r="J1286" s="473"/>
      <c r="K1286" s="1164"/>
      <c r="L1286" s="473"/>
      <c r="M1286" s="473"/>
      <c r="N1286" s="1164"/>
      <c r="O1286" s="473"/>
      <c r="P1286" s="473"/>
      <c r="Q1286" s="1164"/>
      <c r="R1286" s="473"/>
      <c r="S1286" s="473"/>
      <c r="T1286" s="1164"/>
      <c r="U1286" s="1164"/>
      <c r="V1286" s="473"/>
      <c r="W1286" s="473"/>
      <c r="X1286" s="1164"/>
      <c r="Y1286" s="473"/>
      <c r="Z1286" s="473"/>
      <c r="AA1286" s="1164"/>
      <c r="AB1286" s="473"/>
      <c r="AC1286" s="1164"/>
      <c r="AD1286" s="473"/>
      <c r="AE1286" s="1164"/>
      <c r="AF1286" s="473"/>
      <c r="AG1286" s="1164"/>
      <c r="AH1286" s="473"/>
      <c r="AI1286" s="473"/>
      <c r="AJ1286" s="1164"/>
      <c r="AK1286" s="473"/>
      <c r="AL1286" s="473"/>
      <c r="AM1286" s="1164"/>
      <c r="AN1286" s="473"/>
      <c r="AO1286" s="473"/>
      <c r="AP1286" s="1164"/>
      <c r="AQ1286" s="473"/>
      <c r="AR1286" s="473"/>
      <c r="AS1286" s="1236"/>
      <c r="AT1286" s="473"/>
      <c r="AU1286" s="473"/>
      <c r="AV1286" s="1164"/>
      <c r="AW1286" s="1164"/>
      <c r="AX1286" s="1236"/>
      <c r="AY1286" s="473"/>
      <c r="AZ1286" s="1236"/>
      <c r="BA1286" s="473"/>
      <c r="BB1286" s="473"/>
      <c r="BC1286" s="1164"/>
      <c r="BD1286" s="20"/>
      <c r="BE1286" s="473"/>
      <c r="BF1286" s="610"/>
      <c r="BG1286" s="610"/>
      <c r="BH1286" s="610"/>
      <c r="BI1286" s="610"/>
      <c r="BJ1286" s="23"/>
      <c r="BK1286" s="23"/>
      <c r="BL1286" s="23"/>
      <c r="BM1286" s="23"/>
      <c r="BN1286" s="23"/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3"/>
      <c r="CG1286" s="23"/>
      <c r="CH1286" s="23"/>
      <c r="CI1286" s="23"/>
      <c r="CJ1286" s="23"/>
      <c r="CK1286" s="23"/>
      <c r="CL1286" s="23"/>
      <c r="CM1286" s="23"/>
      <c r="CN1286" s="23"/>
      <c r="CO1286" s="23"/>
      <c r="CP1286" s="23"/>
      <c r="CQ1286" s="23"/>
      <c r="CR1286" s="23"/>
      <c r="CS1286" s="23"/>
      <c r="CT1286" s="23"/>
      <c r="CU1286" s="23"/>
      <c r="CV1286" s="23"/>
      <c r="CW1286" s="23"/>
      <c r="CX1286" s="23"/>
      <c r="CY1286" s="23"/>
      <c r="CZ1286" s="23"/>
      <c r="DA1286" s="23"/>
      <c r="DB1286" s="23"/>
      <c r="DC1286" s="23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  <c r="DZ1286" s="23"/>
      <c r="EA1286" s="23"/>
      <c r="EB1286" s="23"/>
      <c r="EC1286" s="23"/>
      <c r="ED1286" s="23"/>
      <c r="EE1286" s="23"/>
      <c r="EF1286" s="23"/>
      <c r="EG1286" s="23"/>
      <c r="EH1286" s="23"/>
      <c r="EI1286" s="23"/>
      <c r="EJ1286" s="23"/>
      <c r="EK1286" s="23"/>
      <c r="EL1286" s="23"/>
      <c r="EM1286" s="23"/>
      <c r="EN1286" s="23"/>
      <c r="EO1286" s="23"/>
      <c r="EP1286" s="23"/>
      <c r="EQ1286" s="23"/>
      <c r="ER1286" s="23"/>
    </row>
    <row r="1287" spans="1:148" s="22" customFormat="1" x14ac:dyDescent="0.25">
      <c r="A1287" s="20"/>
      <c r="B1287" s="16"/>
      <c r="C1287" s="473"/>
      <c r="D1287" s="473"/>
      <c r="E1287" s="1164"/>
      <c r="F1287" s="473"/>
      <c r="G1287" s="473"/>
      <c r="H1287" s="1164"/>
      <c r="I1287" s="473"/>
      <c r="J1287" s="473"/>
      <c r="K1287" s="1164"/>
      <c r="L1287" s="473"/>
      <c r="M1287" s="473"/>
      <c r="N1287" s="1164"/>
      <c r="O1287" s="473"/>
      <c r="P1287" s="473"/>
      <c r="Q1287" s="1164"/>
      <c r="R1287" s="473"/>
      <c r="S1287" s="473"/>
      <c r="T1287" s="1164"/>
      <c r="U1287" s="1164"/>
      <c r="V1287" s="473"/>
      <c r="W1287" s="473"/>
      <c r="X1287" s="1164"/>
      <c r="Y1287" s="473"/>
      <c r="Z1287" s="473"/>
      <c r="AA1287" s="1164"/>
      <c r="AB1287" s="473"/>
      <c r="AC1287" s="1164"/>
      <c r="AD1287" s="473"/>
      <c r="AE1287" s="1164"/>
      <c r="AF1287" s="473"/>
      <c r="AG1287" s="1164"/>
      <c r="AH1287" s="473"/>
      <c r="AI1287" s="473"/>
      <c r="AJ1287" s="1164"/>
      <c r="AK1287" s="473"/>
      <c r="AL1287" s="473"/>
      <c r="AM1287" s="1164"/>
      <c r="AN1287" s="473"/>
      <c r="AO1287" s="473"/>
      <c r="AP1287" s="1164"/>
      <c r="AQ1287" s="473"/>
      <c r="AR1287" s="473"/>
      <c r="AS1287" s="1236"/>
      <c r="AT1287" s="473"/>
      <c r="AU1287" s="473"/>
      <c r="AV1287" s="1164"/>
      <c r="AW1287" s="1164"/>
      <c r="AX1287" s="1236"/>
      <c r="AY1287" s="473"/>
      <c r="AZ1287" s="1236"/>
      <c r="BA1287" s="473"/>
      <c r="BB1287" s="473"/>
      <c r="BC1287" s="1164"/>
      <c r="BD1287" s="20"/>
      <c r="BE1287" s="473"/>
      <c r="BF1287" s="610"/>
      <c r="BG1287" s="610"/>
      <c r="BH1287" s="610"/>
      <c r="BI1287" s="610"/>
      <c r="BJ1287" s="23"/>
      <c r="BK1287" s="23"/>
      <c r="BL1287" s="23"/>
      <c r="BM1287" s="23"/>
      <c r="BN1287" s="23"/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3"/>
      <c r="CG1287" s="23"/>
      <c r="CH1287" s="23"/>
      <c r="CI1287" s="23"/>
      <c r="CJ1287" s="23"/>
      <c r="CK1287" s="23"/>
      <c r="CL1287" s="23"/>
      <c r="CM1287" s="23"/>
      <c r="CN1287" s="23"/>
      <c r="CO1287" s="23"/>
      <c r="CP1287" s="23"/>
      <c r="CQ1287" s="23"/>
      <c r="CR1287" s="23"/>
      <c r="CS1287" s="23"/>
      <c r="CT1287" s="23"/>
      <c r="CU1287" s="23"/>
      <c r="CV1287" s="23"/>
      <c r="CW1287" s="23"/>
      <c r="CX1287" s="23"/>
      <c r="CY1287" s="23"/>
      <c r="CZ1287" s="23"/>
      <c r="DA1287" s="23"/>
      <c r="DB1287" s="23"/>
      <c r="DC1287" s="23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  <c r="DZ1287" s="23"/>
      <c r="EA1287" s="23"/>
      <c r="EB1287" s="23"/>
      <c r="EC1287" s="23"/>
      <c r="ED1287" s="23"/>
      <c r="EE1287" s="23"/>
      <c r="EF1287" s="23"/>
      <c r="EG1287" s="23"/>
      <c r="EH1287" s="23"/>
      <c r="EI1287" s="23"/>
      <c r="EJ1287" s="23"/>
      <c r="EK1287" s="23"/>
      <c r="EL1287" s="23"/>
      <c r="EM1287" s="23"/>
      <c r="EN1287" s="23"/>
      <c r="EO1287" s="23"/>
      <c r="EP1287" s="23"/>
      <c r="EQ1287" s="23"/>
      <c r="ER1287" s="23"/>
    </row>
    <row r="1288" spans="1:148" s="22" customFormat="1" x14ac:dyDescent="0.25">
      <c r="A1288" s="20"/>
      <c r="B1288" s="16"/>
      <c r="C1288" s="473"/>
      <c r="D1288" s="473"/>
      <c r="E1288" s="1164"/>
      <c r="F1288" s="473"/>
      <c r="G1288" s="473"/>
      <c r="H1288" s="1164"/>
      <c r="I1288" s="473"/>
      <c r="J1288" s="473"/>
      <c r="K1288" s="1164"/>
      <c r="L1288" s="473"/>
      <c r="M1288" s="473"/>
      <c r="N1288" s="1164"/>
      <c r="O1288" s="473"/>
      <c r="P1288" s="473"/>
      <c r="Q1288" s="1164"/>
      <c r="R1288" s="473"/>
      <c r="S1288" s="473"/>
      <c r="T1288" s="1164"/>
      <c r="U1288" s="1164"/>
      <c r="V1288" s="473"/>
      <c r="W1288" s="473"/>
      <c r="X1288" s="1164"/>
      <c r="Y1288" s="473"/>
      <c r="Z1288" s="473"/>
      <c r="AA1288" s="1164"/>
      <c r="AB1288" s="473"/>
      <c r="AC1288" s="1164"/>
      <c r="AD1288" s="473"/>
      <c r="AE1288" s="1164"/>
      <c r="AF1288" s="473"/>
      <c r="AG1288" s="1164"/>
      <c r="AH1288" s="473"/>
      <c r="AI1288" s="473"/>
      <c r="AJ1288" s="1164"/>
      <c r="AK1288" s="473"/>
      <c r="AL1288" s="473"/>
      <c r="AM1288" s="1164"/>
      <c r="AN1288" s="473"/>
      <c r="AO1288" s="473"/>
      <c r="AP1288" s="1164"/>
      <c r="AQ1288" s="473"/>
      <c r="AR1288" s="473"/>
      <c r="AS1288" s="1236"/>
      <c r="AT1288" s="473"/>
      <c r="AU1288" s="473"/>
      <c r="AV1288" s="1164"/>
      <c r="AW1288" s="1164"/>
      <c r="AX1288" s="1236"/>
      <c r="AY1288" s="473"/>
      <c r="AZ1288" s="1236"/>
      <c r="BA1288" s="473"/>
      <c r="BB1288" s="473"/>
      <c r="BC1288" s="1164"/>
      <c r="BD1288" s="20"/>
      <c r="BE1288" s="473"/>
      <c r="BF1288" s="610"/>
      <c r="BG1288" s="610"/>
      <c r="BH1288" s="610"/>
      <c r="BI1288" s="610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</row>
    <row r="1289" spans="1:148" s="22" customFormat="1" x14ac:dyDescent="0.25">
      <c r="A1289" s="20"/>
      <c r="B1289" s="16"/>
      <c r="C1289" s="473"/>
      <c r="D1289" s="473"/>
      <c r="E1289" s="1164"/>
      <c r="F1289" s="473"/>
      <c r="G1289" s="473"/>
      <c r="H1289" s="1164"/>
      <c r="I1289" s="473"/>
      <c r="J1289" s="473"/>
      <c r="K1289" s="1164"/>
      <c r="L1289" s="473"/>
      <c r="M1289" s="473"/>
      <c r="N1289" s="1164"/>
      <c r="O1289" s="473"/>
      <c r="P1289" s="473"/>
      <c r="Q1289" s="1164"/>
      <c r="R1289" s="473"/>
      <c r="S1289" s="473"/>
      <c r="T1289" s="1164"/>
      <c r="U1289" s="1164"/>
      <c r="V1289" s="473"/>
      <c r="W1289" s="473"/>
      <c r="X1289" s="1164"/>
      <c r="Y1289" s="473"/>
      <c r="Z1289" s="473"/>
      <c r="AA1289" s="1164"/>
      <c r="AB1289" s="473"/>
      <c r="AC1289" s="1164"/>
      <c r="AD1289" s="473"/>
      <c r="AE1289" s="1164"/>
      <c r="AF1289" s="473"/>
      <c r="AG1289" s="1164"/>
      <c r="AH1289" s="473"/>
      <c r="AI1289" s="473"/>
      <c r="AJ1289" s="1164"/>
      <c r="AK1289" s="473"/>
      <c r="AL1289" s="473"/>
      <c r="AM1289" s="1164"/>
      <c r="AN1289" s="473"/>
      <c r="AO1289" s="473"/>
      <c r="AP1289" s="1164"/>
      <c r="AQ1289" s="473"/>
      <c r="AR1289" s="473"/>
      <c r="AS1289" s="1236"/>
      <c r="AT1289" s="473"/>
      <c r="AU1289" s="473"/>
      <c r="AV1289" s="1164"/>
      <c r="AW1289" s="1164"/>
      <c r="AX1289" s="1236"/>
      <c r="AY1289" s="473"/>
      <c r="AZ1289" s="1236"/>
      <c r="BA1289" s="473"/>
      <c r="BB1289" s="473"/>
      <c r="BC1289" s="1164"/>
      <c r="BD1289" s="20"/>
      <c r="BE1289" s="473"/>
      <c r="BF1289" s="610"/>
      <c r="BG1289" s="610"/>
      <c r="BH1289" s="610"/>
      <c r="BI1289" s="610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s="22" customFormat="1" x14ac:dyDescent="0.25">
      <c r="A1290" s="20"/>
      <c r="B1290" s="16"/>
      <c r="C1290" s="473"/>
      <c r="D1290" s="473"/>
      <c r="E1290" s="1164"/>
      <c r="F1290" s="473"/>
      <c r="G1290" s="473"/>
      <c r="H1290" s="1164"/>
      <c r="I1290" s="473"/>
      <c r="J1290" s="473"/>
      <c r="K1290" s="1164"/>
      <c r="L1290" s="473"/>
      <c r="M1290" s="473"/>
      <c r="N1290" s="1164"/>
      <c r="O1290" s="473"/>
      <c r="P1290" s="473"/>
      <c r="Q1290" s="1164"/>
      <c r="R1290" s="473"/>
      <c r="S1290" s="473"/>
      <c r="T1290" s="1164"/>
      <c r="U1290" s="1164"/>
      <c r="V1290" s="473"/>
      <c r="W1290" s="473"/>
      <c r="X1290" s="1164"/>
      <c r="Y1290" s="473"/>
      <c r="Z1290" s="473"/>
      <c r="AA1290" s="1164"/>
      <c r="AB1290" s="473"/>
      <c r="AC1290" s="1164"/>
      <c r="AD1290" s="473"/>
      <c r="AE1290" s="1164"/>
      <c r="AF1290" s="473"/>
      <c r="AG1290" s="1164"/>
      <c r="AH1290" s="473"/>
      <c r="AI1290" s="473"/>
      <c r="AJ1290" s="1164"/>
      <c r="AK1290" s="473"/>
      <c r="AL1290" s="473"/>
      <c r="AM1290" s="1164"/>
      <c r="AN1290" s="473"/>
      <c r="AO1290" s="473"/>
      <c r="AP1290" s="1164"/>
      <c r="AQ1290" s="473"/>
      <c r="AR1290" s="473"/>
      <c r="AS1290" s="1236"/>
      <c r="AT1290" s="473"/>
      <c r="AU1290" s="473"/>
      <c r="AV1290" s="1164"/>
      <c r="AW1290" s="1164"/>
      <c r="AX1290" s="1236"/>
      <c r="AY1290" s="473"/>
      <c r="AZ1290" s="1236"/>
      <c r="BA1290" s="473"/>
      <c r="BB1290" s="473"/>
      <c r="BC1290" s="1164"/>
      <c r="BD1290" s="20"/>
      <c r="BE1290" s="473"/>
      <c r="BF1290" s="610"/>
      <c r="BG1290" s="610"/>
      <c r="BH1290" s="610"/>
      <c r="BI1290" s="610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s="22" customFormat="1" x14ac:dyDescent="0.25">
      <c r="A1291" s="20"/>
      <c r="B1291" s="16"/>
      <c r="C1291" s="473"/>
      <c r="D1291" s="473"/>
      <c r="E1291" s="1164"/>
      <c r="F1291" s="473"/>
      <c r="G1291" s="473"/>
      <c r="H1291" s="1164"/>
      <c r="I1291" s="473"/>
      <c r="J1291" s="473"/>
      <c r="K1291" s="1164"/>
      <c r="L1291" s="473"/>
      <c r="M1291" s="473"/>
      <c r="N1291" s="1164"/>
      <c r="O1291" s="473"/>
      <c r="P1291" s="473"/>
      <c r="Q1291" s="1164"/>
      <c r="R1291" s="473"/>
      <c r="S1291" s="473"/>
      <c r="T1291" s="1164"/>
      <c r="U1291" s="1164"/>
      <c r="V1291" s="473"/>
      <c r="W1291" s="473"/>
      <c r="X1291" s="1164"/>
      <c r="Y1291" s="473"/>
      <c r="Z1291" s="473"/>
      <c r="AA1291" s="1164"/>
      <c r="AB1291" s="473"/>
      <c r="AC1291" s="1164"/>
      <c r="AD1291" s="473"/>
      <c r="AE1291" s="1164"/>
      <c r="AF1291" s="473"/>
      <c r="AG1291" s="1164"/>
      <c r="AH1291" s="473"/>
      <c r="AI1291" s="473"/>
      <c r="AJ1291" s="1164"/>
      <c r="AK1291" s="473"/>
      <c r="AL1291" s="473"/>
      <c r="AM1291" s="1164"/>
      <c r="AN1291" s="473"/>
      <c r="AO1291" s="473"/>
      <c r="AP1291" s="1164"/>
      <c r="AQ1291" s="473"/>
      <c r="AR1291" s="473"/>
      <c r="AS1291" s="1236"/>
      <c r="AT1291" s="473"/>
      <c r="AU1291" s="473"/>
      <c r="AV1291" s="1164"/>
      <c r="AW1291" s="1164"/>
      <c r="AX1291" s="1236"/>
      <c r="AY1291" s="473"/>
      <c r="AZ1291" s="1236"/>
      <c r="BA1291" s="473"/>
      <c r="BB1291" s="473"/>
      <c r="BC1291" s="1164"/>
      <c r="BD1291" s="20"/>
      <c r="BE1291" s="473"/>
      <c r="BF1291" s="610"/>
      <c r="BG1291" s="610"/>
      <c r="BH1291" s="610"/>
      <c r="BI1291" s="610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s="22" customFormat="1" x14ac:dyDescent="0.25">
      <c r="A1292" s="20"/>
      <c r="B1292" s="16"/>
      <c r="C1292" s="473"/>
      <c r="D1292" s="473"/>
      <c r="E1292" s="1164"/>
      <c r="F1292" s="473"/>
      <c r="G1292" s="473"/>
      <c r="H1292" s="1164"/>
      <c r="I1292" s="473"/>
      <c r="J1292" s="473"/>
      <c r="K1292" s="1164"/>
      <c r="L1292" s="473"/>
      <c r="M1292" s="473"/>
      <c r="N1292" s="1164"/>
      <c r="O1292" s="473"/>
      <c r="P1292" s="473"/>
      <c r="Q1292" s="1164"/>
      <c r="R1292" s="473"/>
      <c r="S1292" s="473"/>
      <c r="T1292" s="1164"/>
      <c r="U1292" s="1164"/>
      <c r="V1292" s="473"/>
      <c r="W1292" s="473"/>
      <c r="X1292" s="1164"/>
      <c r="Y1292" s="473"/>
      <c r="Z1292" s="473"/>
      <c r="AA1292" s="1164"/>
      <c r="AB1292" s="473"/>
      <c r="AC1292" s="1164"/>
      <c r="AD1292" s="473"/>
      <c r="AE1292" s="1164"/>
      <c r="AF1292" s="473"/>
      <c r="AG1292" s="1164"/>
      <c r="AH1292" s="473"/>
      <c r="AI1292" s="473"/>
      <c r="AJ1292" s="1164"/>
      <c r="AK1292" s="473"/>
      <c r="AL1292" s="473"/>
      <c r="AM1292" s="1164"/>
      <c r="AN1292" s="473"/>
      <c r="AO1292" s="473"/>
      <c r="AP1292" s="1164"/>
      <c r="AQ1292" s="473"/>
      <c r="AR1292" s="473"/>
      <c r="AS1292" s="1236"/>
      <c r="AT1292" s="473"/>
      <c r="AU1292" s="473"/>
      <c r="AV1292" s="1164"/>
      <c r="AW1292" s="1164"/>
      <c r="AX1292" s="1236"/>
      <c r="AY1292" s="473"/>
      <c r="AZ1292" s="1236"/>
      <c r="BA1292" s="473"/>
      <c r="BB1292" s="473"/>
      <c r="BC1292" s="1164"/>
      <c r="BD1292" s="20"/>
      <c r="BE1292" s="473"/>
      <c r="BF1292" s="610"/>
      <c r="BG1292" s="610"/>
      <c r="BH1292" s="610"/>
      <c r="BI1292" s="610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</row>
    <row r="1293" spans="1:148" s="22" customFormat="1" x14ac:dyDescent="0.25">
      <c r="A1293" s="20"/>
      <c r="B1293" s="16"/>
      <c r="C1293" s="473"/>
      <c r="D1293" s="473"/>
      <c r="E1293" s="1164"/>
      <c r="F1293" s="473"/>
      <c r="G1293" s="473"/>
      <c r="H1293" s="1164"/>
      <c r="I1293" s="473"/>
      <c r="J1293" s="473"/>
      <c r="K1293" s="1164"/>
      <c r="L1293" s="473"/>
      <c r="M1293" s="473"/>
      <c r="N1293" s="1164"/>
      <c r="O1293" s="473"/>
      <c r="P1293" s="473"/>
      <c r="Q1293" s="1164"/>
      <c r="R1293" s="473"/>
      <c r="S1293" s="473"/>
      <c r="T1293" s="1164"/>
      <c r="U1293" s="1164"/>
      <c r="V1293" s="473"/>
      <c r="W1293" s="473"/>
      <c r="X1293" s="1164"/>
      <c r="Y1293" s="473"/>
      <c r="Z1293" s="473"/>
      <c r="AA1293" s="1164"/>
      <c r="AB1293" s="473"/>
      <c r="AC1293" s="1164"/>
      <c r="AD1293" s="473"/>
      <c r="AE1293" s="1164"/>
      <c r="AF1293" s="473"/>
      <c r="AG1293" s="1164"/>
      <c r="AH1293" s="473"/>
      <c r="AI1293" s="473"/>
      <c r="AJ1293" s="1164"/>
      <c r="AK1293" s="473"/>
      <c r="AL1293" s="473"/>
      <c r="AM1293" s="1164"/>
      <c r="AN1293" s="473"/>
      <c r="AO1293" s="473"/>
      <c r="AP1293" s="1164"/>
      <c r="AQ1293" s="473"/>
      <c r="AR1293" s="473"/>
      <c r="AS1293" s="1236"/>
      <c r="AT1293" s="473"/>
      <c r="AU1293" s="473"/>
      <c r="AV1293" s="1164"/>
      <c r="AW1293" s="1164"/>
      <c r="AX1293" s="1236"/>
      <c r="AY1293" s="473"/>
      <c r="AZ1293" s="1236"/>
      <c r="BA1293" s="473"/>
      <c r="BB1293" s="473"/>
      <c r="BC1293" s="1164"/>
      <c r="BD1293" s="20"/>
      <c r="BE1293" s="473"/>
      <c r="BF1293" s="610"/>
      <c r="BG1293" s="610"/>
      <c r="BH1293" s="610"/>
      <c r="BI1293" s="610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</row>
    <row r="1294" spans="1:148" s="22" customFormat="1" x14ac:dyDescent="0.25">
      <c r="A1294" s="20"/>
      <c r="B1294" s="16"/>
      <c r="C1294" s="473"/>
      <c r="D1294" s="473"/>
      <c r="E1294" s="1164"/>
      <c r="F1294" s="473"/>
      <c r="G1294" s="473"/>
      <c r="H1294" s="1164"/>
      <c r="I1294" s="473"/>
      <c r="J1294" s="473"/>
      <c r="K1294" s="1164"/>
      <c r="L1294" s="473"/>
      <c r="M1294" s="473"/>
      <c r="N1294" s="1164"/>
      <c r="O1294" s="473"/>
      <c r="P1294" s="473"/>
      <c r="Q1294" s="1164"/>
      <c r="R1294" s="473"/>
      <c r="S1294" s="473"/>
      <c r="T1294" s="1164"/>
      <c r="U1294" s="1164"/>
      <c r="V1294" s="473"/>
      <c r="W1294" s="473"/>
      <c r="X1294" s="1164"/>
      <c r="Y1294" s="473"/>
      <c r="Z1294" s="473"/>
      <c r="AA1294" s="1164"/>
      <c r="AB1294" s="473"/>
      <c r="AC1294" s="1164"/>
      <c r="AD1294" s="473"/>
      <c r="AE1294" s="1164"/>
      <c r="AF1294" s="473"/>
      <c r="AG1294" s="1164"/>
      <c r="AH1294" s="473"/>
      <c r="AI1294" s="473"/>
      <c r="AJ1294" s="1164"/>
      <c r="AK1294" s="473"/>
      <c r="AL1294" s="473"/>
      <c r="AM1294" s="1164"/>
      <c r="AN1294" s="473"/>
      <c r="AO1294" s="473"/>
      <c r="AP1294" s="1164"/>
      <c r="AQ1294" s="473"/>
      <c r="AR1294" s="473"/>
      <c r="AS1294" s="1236"/>
      <c r="AT1294" s="473"/>
      <c r="AU1294" s="473"/>
      <c r="AV1294" s="1164"/>
      <c r="AW1294" s="1164"/>
      <c r="AX1294" s="1236"/>
      <c r="AY1294" s="473"/>
      <c r="AZ1294" s="1236"/>
      <c r="BA1294" s="473"/>
      <c r="BB1294" s="473"/>
      <c r="BC1294" s="1164"/>
      <c r="BD1294" s="20"/>
      <c r="BE1294" s="473"/>
      <c r="BF1294" s="610"/>
      <c r="BG1294" s="610"/>
      <c r="BH1294" s="610"/>
      <c r="BI1294" s="610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  <c r="EH1294" s="23"/>
      <c r="EI1294" s="23"/>
      <c r="EJ1294" s="23"/>
      <c r="EK1294" s="23"/>
      <c r="EL1294" s="23"/>
      <c r="EM1294" s="23"/>
      <c r="EN1294" s="23"/>
      <c r="EO1294" s="23"/>
      <c r="EP1294" s="23"/>
      <c r="EQ1294" s="23"/>
      <c r="ER1294" s="23"/>
    </row>
    <row r="1295" spans="1:148" s="22" customFormat="1" x14ac:dyDescent="0.25">
      <c r="A1295" s="20"/>
      <c r="B1295" s="16"/>
      <c r="C1295" s="473"/>
      <c r="D1295" s="473"/>
      <c r="E1295" s="1164"/>
      <c r="F1295" s="473"/>
      <c r="G1295" s="473"/>
      <c r="H1295" s="1164"/>
      <c r="I1295" s="473"/>
      <c r="J1295" s="473"/>
      <c r="K1295" s="1164"/>
      <c r="L1295" s="473"/>
      <c r="M1295" s="473"/>
      <c r="N1295" s="1164"/>
      <c r="O1295" s="473"/>
      <c r="P1295" s="473"/>
      <c r="Q1295" s="1164"/>
      <c r="R1295" s="473"/>
      <c r="S1295" s="473"/>
      <c r="T1295" s="1164"/>
      <c r="U1295" s="1164"/>
      <c r="V1295" s="473"/>
      <c r="W1295" s="473"/>
      <c r="X1295" s="1164"/>
      <c r="Y1295" s="473"/>
      <c r="Z1295" s="473"/>
      <c r="AA1295" s="1164"/>
      <c r="AB1295" s="473"/>
      <c r="AC1295" s="1164"/>
      <c r="AD1295" s="473"/>
      <c r="AE1295" s="1164"/>
      <c r="AF1295" s="473"/>
      <c r="AG1295" s="1164"/>
      <c r="AH1295" s="473"/>
      <c r="AI1295" s="473"/>
      <c r="AJ1295" s="1164"/>
      <c r="AK1295" s="473"/>
      <c r="AL1295" s="473"/>
      <c r="AM1295" s="1164"/>
      <c r="AN1295" s="473"/>
      <c r="AO1295" s="473"/>
      <c r="AP1295" s="1164"/>
      <c r="AQ1295" s="473"/>
      <c r="AR1295" s="473"/>
      <c r="AS1295" s="1236"/>
      <c r="AT1295" s="473"/>
      <c r="AU1295" s="473"/>
      <c r="AV1295" s="1164"/>
      <c r="AW1295" s="1164"/>
      <c r="AX1295" s="1236"/>
      <c r="AY1295" s="473"/>
      <c r="AZ1295" s="1236"/>
      <c r="BA1295" s="473"/>
      <c r="BB1295" s="473"/>
      <c r="BC1295" s="1164"/>
      <c r="BD1295" s="20"/>
      <c r="BE1295" s="473"/>
      <c r="BF1295" s="610"/>
      <c r="BG1295" s="610"/>
      <c r="BH1295" s="610"/>
      <c r="BI1295" s="610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  <c r="EF1295" s="23"/>
      <c r="EG1295" s="23"/>
      <c r="EH1295" s="23"/>
      <c r="EI1295" s="23"/>
      <c r="EJ1295" s="23"/>
      <c r="EK1295" s="23"/>
      <c r="EL1295" s="23"/>
      <c r="EM1295" s="23"/>
      <c r="EN1295" s="23"/>
      <c r="EO1295" s="23"/>
      <c r="EP1295" s="23"/>
      <c r="EQ1295" s="23"/>
      <c r="ER1295" s="23"/>
    </row>
    <row r="1296" spans="1:148" s="22" customFormat="1" x14ac:dyDescent="0.25">
      <c r="A1296" s="20"/>
      <c r="B1296" s="16"/>
      <c r="C1296" s="473"/>
      <c r="D1296" s="473"/>
      <c r="E1296" s="1164"/>
      <c r="F1296" s="473"/>
      <c r="G1296" s="473"/>
      <c r="H1296" s="1164"/>
      <c r="I1296" s="473"/>
      <c r="J1296" s="473"/>
      <c r="K1296" s="1164"/>
      <c r="L1296" s="473"/>
      <c r="M1296" s="473"/>
      <c r="N1296" s="1164"/>
      <c r="O1296" s="473"/>
      <c r="P1296" s="473"/>
      <c r="Q1296" s="1164"/>
      <c r="R1296" s="473"/>
      <c r="S1296" s="473"/>
      <c r="T1296" s="1164"/>
      <c r="U1296" s="1164"/>
      <c r="V1296" s="473"/>
      <c r="W1296" s="473"/>
      <c r="X1296" s="1164"/>
      <c r="Y1296" s="473"/>
      <c r="Z1296" s="473"/>
      <c r="AA1296" s="1164"/>
      <c r="AB1296" s="473"/>
      <c r="AC1296" s="1164"/>
      <c r="AD1296" s="473"/>
      <c r="AE1296" s="1164"/>
      <c r="AF1296" s="473"/>
      <c r="AG1296" s="1164"/>
      <c r="AH1296" s="473"/>
      <c r="AI1296" s="473"/>
      <c r="AJ1296" s="1164"/>
      <c r="AK1296" s="473"/>
      <c r="AL1296" s="473"/>
      <c r="AM1296" s="1164"/>
      <c r="AN1296" s="473"/>
      <c r="AO1296" s="473"/>
      <c r="AP1296" s="1164"/>
      <c r="AQ1296" s="473"/>
      <c r="AR1296" s="473"/>
      <c r="AS1296" s="1236"/>
      <c r="AT1296" s="473"/>
      <c r="AU1296" s="473"/>
      <c r="AV1296" s="1164"/>
      <c r="AW1296" s="1164"/>
      <c r="AX1296" s="1236"/>
      <c r="AY1296" s="473"/>
      <c r="AZ1296" s="1236"/>
      <c r="BA1296" s="473"/>
      <c r="BB1296" s="473"/>
      <c r="BC1296" s="1164"/>
      <c r="BD1296" s="20"/>
      <c r="BE1296" s="473"/>
      <c r="BF1296" s="610"/>
      <c r="BG1296" s="610"/>
      <c r="BH1296" s="610"/>
      <c r="BI1296" s="610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  <c r="BU1296" s="23"/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3"/>
      <c r="CG1296" s="23"/>
      <c r="CH1296" s="23"/>
      <c r="CI1296" s="23"/>
      <c r="CJ1296" s="23"/>
      <c r="CK1296" s="23"/>
      <c r="CL1296" s="23"/>
      <c r="CM1296" s="23"/>
      <c r="CN1296" s="23"/>
      <c r="CO1296" s="23"/>
      <c r="CP1296" s="23"/>
      <c r="CQ1296" s="23"/>
      <c r="CR1296" s="23"/>
      <c r="CS1296" s="23"/>
      <c r="CT1296" s="23"/>
      <c r="CU1296" s="23"/>
      <c r="CV1296" s="23"/>
      <c r="CW1296" s="23"/>
      <c r="CX1296" s="23"/>
      <c r="CY1296" s="23"/>
      <c r="CZ1296" s="23"/>
      <c r="DA1296" s="23"/>
      <c r="DB1296" s="23"/>
      <c r="DC1296" s="23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  <c r="DZ1296" s="23"/>
      <c r="EA1296" s="23"/>
      <c r="EB1296" s="23"/>
      <c r="EC1296" s="23"/>
      <c r="ED1296" s="23"/>
      <c r="EE1296" s="23"/>
      <c r="EF1296" s="23"/>
      <c r="EG1296" s="23"/>
      <c r="EH1296" s="23"/>
      <c r="EI1296" s="23"/>
      <c r="EJ1296" s="23"/>
      <c r="EK1296" s="23"/>
      <c r="EL1296" s="23"/>
      <c r="EM1296" s="23"/>
      <c r="EN1296" s="23"/>
      <c r="EO1296" s="23"/>
      <c r="EP1296" s="23"/>
      <c r="EQ1296" s="23"/>
      <c r="ER1296" s="23"/>
    </row>
    <row r="1297" spans="1:148" s="22" customFormat="1" x14ac:dyDescent="0.25">
      <c r="A1297" s="20"/>
      <c r="B1297" s="16"/>
      <c r="C1297" s="473"/>
      <c r="D1297" s="473"/>
      <c r="E1297" s="1164"/>
      <c r="F1297" s="473"/>
      <c r="G1297" s="473"/>
      <c r="H1297" s="1164"/>
      <c r="I1297" s="473"/>
      <c r="J1297" s="473"/>
      <c r="K1297" s="1164"/>
      <c r="L1297" s="473"/>
      <c r="M1297" s="473"/>
      <c r="N1297" s="1164"/>
      <c r="O1297" s="473"/>
      <c r="P1297" s="473"/>
      <c r="Q1297" s="1164"/>
      <c r="R1297" s="473"/>
      <c r="S1297" s="473"/>
      <c r="T1297" s="1164"/>
      <c r="U1297" s="1164"/>
      <c r="V1297" s="473"/>
      <c r="W1297" s="473"/>
      <c r="X1297" s="1164"/>
      <c r="Y1297" s="473"/>
      <c r="Z1297" s="473"/>
      <c r="AA1297" s="1164"/>
      <c r="AB1297" s="473"/>
      <c r="AC1297" s="1164"/>
      <c r="AD1297" s="473"/>
      <c r="AE1297" s="1164"/>
      <c r="AF1297" s="473"/>
      <c r="AG1297" s="1164"/>
      <c r="AH1297" s="473"/>
      <c r="AI1297" s="473"/>
      <c r="AJ1297" s="1164"/>
      <c r="AK1297" s="473"/>
      <c r="AL1297" s="473"/>
      <c r="AM1297" s="1164"/>
      <c r="AN1297" s="473"/>
      <c r="AO1297" s="473"/>
      <c r="AP1297" s="1164"/>
      <c r="AQ1297" s="473"/>
      <c r="AR1297" s="473"/>
      <c r="AS1297" s="1236"/>
      <c r="AT1297" s="473"/>
      <c r="AU1297" s="473"/>
      <c r="AV1297" s="1164"/>
      <c r="AW1297" s="1164"/>
      <c r="AX1297" s="1236"/>
      <c r="AY1297" s="473"/>
      <c r="AZ1297" s="1236"/>
      <c r="BA1297" s="473"/>
      <c r="BB1297" s="473"/>
      <c r="BC1297" s="1164"/>
      <c r="BD1297" s="20"/>
      <c r="BE1297" s="473"/>
      <c r="BF1297" s="610"/>
      <c r="BG1297" s="610"/>
      <c r="BH1297" s="610"/>
      <c r="BI1297" s="610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  <c r="BU1297" s="23"/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3"/>
      <c r="CG1297" s="23"/>
      <c r="CH1297" s="23"/>
      <c r="CI1297" s="23"/>
      <c r="CJ1297" s="23"/>
      <c r="CK1297" s="23"/>
      <c r="CL1297" s="23"/>
      <c r="CM1297" s="23"/>
      <c r="CN1297" s="23"/>
      <c r="CO1297" s="23"/>
      <c r="CP1297" s="23"/>
      <c r="CQ1297" s="23"/>
      <c r="CR1297" s="23"/>
      <c r="CS1297" s="23"/>
      <c r="CT1297" s="23"/>
      <c r="CU1297" s="23"/>
      <c r="CV1297" s="23"/>
      <c r="CW1297" s="23"/>
      <c r="CX1297" s="23"/>
      <c r="CY1297" s="23"/>
      <c r="CZ1297" s="23"/>
      <c r="DA1297" s="23"/>
      <c r="DB1297" s="23"/>
      <c r="DC1297" s="23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  <c r="DZ1297" s="23"/>
      <c r="EA1297" s="23"/>
      <c r="EB1297" s="23"/>
      <c r="EC1297" s="23"/>
      <c r="ED1297" s="23"/>
      <c r="EE1297" s="23"/>
      <c r="EF1297" s="23"/>
      <c r="EG1297" s="23"/>
      <c r="EH1297" s="23"/>
      <c r="EI1297" s="23"/>
      <c r="EJ1297" s="23"/>
      <c r="EK1297" s="23"/>
      <c r="EL1297" s="23"/>
      <c r="EM1297" s="23"/>
      <c r="EN1297" s="23"/>
      <c r="EO1297" s="23"/>
      <c r="EP1297" s="23"/>
      <c r="EQ1297" s="23"/>
      <c r="ER1297" s="23"/>
    </row>
    <row r="1298" spans="1:148" s="22" customFormat="1" x14ac:dyDescent="0.25">
      <c r="A1298" s="20"/>
      <c r="B1298" s="16"/>
      <c r="C1298" s="473"/>
      <c r="D1298" s="473"/>
      <c r="E1298" s="1164"/>
      <c r="F1298" s="473"/>
      <c r="G1298" s="473"/>
      <c r="H1298" s="1164"/>
      <c r="I1298" s="473"/>
      <c r="J1298" s="473"/>
      <c r="K1298" s="1164"/>
      <c r="L1298" s="473"/>
      <c r="M1298" s="473"/>
      <c r="N1298" s="1164"/>
      <c r="O1298" s="473"/>
      <c r="P1298" s="473"/>
      <c r="Q1298" s="1164"/>
      <c r="R1298" s="473"/>
      <c r="S1298" s="473"/>
      <c r="T1298" s="1164"/>
      <c r="U1298" s="1164"/>
      <c r="V1298" s="473"/>
      <c r="W1298" s="473"/>
      <c r="X1298" s="1164"/>
      <c r="Y1298" s="473"/>
      <c r="Z1298" s="473"/>
      <c r="AA1298" s="1164"/>
      <c r="AB1298" s="473"/>
      <c r="AC1298" s="1164"/>
      <c r="AD1298" s="473"/>
      <c r="AE1298" s="1164"/>
      <c r="AF1298" s="473"/>
      <c r="AG1298" s="1164"/>
      <c r="AH1298" s="473"/>
      <c r="AI1298" s="473"/>
      <c r="AJ1298" s="1164"/>
      <c r="AK1298" s="473"/>
      <c r="AL1298" s="473"/>
      <c r="AM1298" s="1164"/>
      <c r="AN1298" s="473"/>
      <c r="AO1298" s="473"/>
      <c r="AP1298" s="1164"/>
      <c r="AQ1298" s="473"/>
      <c r="AR1298" s="473"/>
      <c r="AS1298" s="1236"/>
      <c r="AT1298" s="473"/>
      <c r="AU1298" s="473"/>
      <c r="AV1298" s="1164"/>
      <c r="AW1298" s="1164"/>
      <c r="AX1298" s="1236"/>
      <c r="AY1298" s="473"/>
      <c r="AZ1298" s="1236"/>
      <c r="BA1298" s="473"/>
      <c r="BB1298" s="473"/>
      <c r="BC1298" s="1164"/>
      <c r="BD1298" s="20"/>
      <c r="BE1298" s="473"/>
      <c r="BF1298" s="610"/>
      <c r="BG1298" s="610"/>
      <c r="BH1298" s="610"/>
      <c r="BI1298" s="610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3"/>
      <c r="CG1298" s="23"/>
      <c r="CH1298" s="23"/>
      <c r="CI1298" s="23"/>
      <c r="CJ1298" s="23"/>
      <c r="CK1298" s="23"/>
      <c r="CL1298" s="23"/>
      <c r="CM1298" s="23"/>
      <c r="CN1298" s="23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  <c r="DZ1298" s="23"/>
      <c r="EA1298" s="23"/>
      <c r="EB1298" s="23"/>
      <c r="EC1298" s="23"/>
      <c r="ED1298" s="23"/>
      <c r="EE1298" s="23"/>
      <c r="EF1298" s="23"/>
      <c r="EG1298" s="23"/>
      <c r="EH1298" s="23"/>
      <c r="EI1298" s="23"/>
      <c r="EJ1298" s="23"/>
      <c r="EK1298" s="23"/>
      <c r="EL1298" s="23"/>
      <c r="EM1298" s="23"/>
      <c r="EN1298" s="23"/>
      <c r="EO1298" s="23"/>
      <c r="EP1298" s="23"/>
      <c r="EQ1298" s="23"/>
      <c r="ER1298" s="23"/>
    </row>
    <row r="1299" spans="1:148" s="22" customFormat="1" x14ac:dyDescent="0.25">
      <c r="A1299" s="20"/>
      <c r="B1299" s="16"/>
      <c r="C1299" s="473"/>
      <c r="D1299" s="473"/>
      <c r="E1299" s="1164"/>
      <c r="F1299" s="473"/>
      <c r="G1299" s="473"/>
      <c r="H1299" s="1164"/>
      <c r="I1299" s="473"/>
      <c r="J1299" s="473"/>
      <c r="K1299" s="1164"/>
      <c r="L1299" s="473"/>
      <c r="M1299" s="473"/>
      <c r="N1299" s="1164"/>
      <c r="O1299" s="473"/>
      <c r="P1299" s="473"/>
      <c r="Q1299" s="1164"/>
      <c r="R1299" s="473"/>
      <c r="S1299" s="473"/>
      <c r="T1299" s="1164"/>
      <c r="U1299" s="1164"/>
      <c r="V1299" s="473"/>
      <c r="W1299" s="473"/>
      <c r="X1299" s="1164"/>
      <c r="Y1299" s="473"/>
      <c r="Z1299" s="473"/>
      <c r="AA1299" s="1164"/>
      <c r="AB1299" s="473"/>
      <c r="AC1299" s="1164"/>
      <c r="AD1299" s="473"/>
      <c r="AE1299" s="1164"/>
      <c r="AF1299" s="473"/>
      <c r="AG1299" s="1164"/>
      <c r="AH1299" s="473"/>
      <c r="AI1299" s="473"/>
      <c r="AJ1299" s="1164"/>
      <c r="AK1299" s="473"/>
      <c r="AL1299" s="473"/>
      <c r="AM1299" s="1164"/>
      <c r="AN1299" s="473"/>
      <c r="AO1299" s="473"/>
      <c r="AP1299" s="1164"/>
      <c r="AQ1299" s="473"/>
      <c r="AR1299" s="473"/>
      <c r="AS1299" s="1236"/>
      <c r="AT1299" s="473"/>
      <c r="AU1299" s="473"/>
      <c r="AV1299" s="1164"/>
      <c r="AW1299" s="1164"/>
      <c r="AX1299" s="1236"/>
      <c r="AY1299" s="473"/>
      <c r="AZ1299" s="1236"/>
      <c r="BA1299" s="473"/>
      <c r="BB1299" s="473"/>
      <c r="BC1299" s="1164"/>
      <c r="BD1299" s="20"/>
      <c r="BE1299" s="473"/>
      <c r="BF1299" s="610"/>
      <c r="BG1299" s="610"/>
      <c r="BH1299" s="610"/>
      <c r="BI1299" s="610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  <c r="EF1299" s="23"/>
      <c r="EG1299" s="23"/>
      <c r="EH1299" s="23"/>
      <c r="EI1299" s="23"/>
      <c r="EJ1299" s="23"/>
      <c r="EK1299" s="23"/>
      <c r="EL1299" s="23"/>
      <c r="EM1299" s="23"/>
      <c r="EN1299" s="23"/>
      <c r="EO1299" s="23"/>
      <c r="EP1299" s="23"/>
      <c r="EQ1299" s="23"/>
      <c r="ER1299" s="23"/>
    </row>
    <row r="1300" spans="1:148" s="22" customFormat="1" x14ac:dyDescent="0.25">
      <c r="A1300" s="20"/>
      <c r="B1300" s="16"/>
      <c r="C1300" s="473"/>
      <c r="D1300" s="473"/>
      <c r="E1300" s="1164"/>
      <c r="F1300" s="473"/>
      <c r="G1300" s="473"/>
      <c r="H1300" s="1164"/>
      <c r="I1300" s="473"/>
      <c r="J1300" s="473"/>
      <c r="K1300" s="1164"/>
      <c r="L1300" s="473"/>
      <c r="M1300" s="473"/>
      <c r="N1300" s="1164"/>
      <c r="O1300" s="473"/>
      <c r="P1300" s="473"/>
      <c r="Q1300" s="1164"/>
      <c r="R1300" s="473"/>
      <c r="S1300" s="473"/>
      <c r="T1300" s="1164"/>
      <c r="U1300" s="1164"/>
      <c r="V1300" s="473"/>
      <c r="W1300" s="473"/>
      <c r="X1300" s="1164"/>
      <c r="Y1300" s="473"/>
      <c r="Z1300" s="473"/>
      <c r="AA1300" s="1164"/>
      <c r="AB1300" s="473"/>
      <c r="AC1300" s="1164"/>
      <c r="AD1300" s="473"/>
      <c r="AE1300" s="1164"/>
      <c r="AF1300" s="473"/>
      <c r="AG1300" s="1164"/>
      <c r="AH1300" s="473"/>
      <c r="AI1300" s="473"/>
      <c r="AJ1300" s="1164"/>
      <c r="AK1300" s="473"/>
      <c r="AL1300" s="473"/>
      <c r="AM1300" s="1164"/>
      <c r="AN1300" s="473"/>
      <c r="AO1300" s="473"/>
      <c r="AP1300" s="1164"/>
      <c r="AQ1300" s="473"/>
      <c r="AR1300" s="473"/>
      <c r="AS1300" s="1236"/>
      <c r="AT1300" s="473"/>
      <c r="AU1300" s="473"/>
      <c r="AV1300" s="1164"/>
      <c r="AW1300" s="1164"/>
      <c r="AX1300" s="1236"/>
      <c r="AY1300" s="473"/>
      <c r="AZ1300" s="1236"/>
      <c r="BA1300" s="473"/>
      <c r="BB1300" s="473"/>
      <c r="BC1300" s="1164"/>
      <c r="BD1300" s="20"/>
      <c r="BE1300" s="473"/>
      <c r="BF1300" s="610"/>
      <c r="BG1300" s="610"/>
      <c r="BH1300" s="610"/>
      <c r="BI1300" s="610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</row>
    <row r="1301" spans="1:148" s="22" customFormat="1" x14ac:dyDescent="0.25">
      <c r="A1301" s="20"/>
      <c r="B1301" s="16"/>
      <c r="C1301" s="473"/>
      <c r="D1301" s="473"/>
      <c r="E1301" s="1164"/>
      <c r="F1301" s="473"/>
      <c r="G1301" s="473"/>
      <c r="H1301" s="1164"/>
      <c r="I1301" s="473"/>
      <c r="J1301" s="473"/>
      <c r="K1301" s="1164"/>
      <c r="L1301" s="473"/>
      <c r="M1301" s="473"/>
      <c r="N1301" s="1164"/>
      <c r="O1301" s="473"/>
      <c r="P1301" s="473"/>
      <c r="Q1301" s="1164"/>
      <c r="R1301" s="473"/>
      <c r="S1301" s="473"/>
      <c r="T1301" s="1164"/>
      <c r="U1301" s="1164"/>
      <c r="V1301" s="473"/>
      <c r="W1301" s="473"/>
      <c r="X1301" s="1164"/>
      <c r="Y1301" s="473"/>
      <c r="Z1301" s="473"/>
      <c r="AA1301" s="1164"/>
      <c r="AB1301" s="473"/>
      <c r="AC1301" s="1164"/>
      <c r="AD1301" s="473"/>
      <c r="AE1301" s="1164"/>
      <c r="AF1301" s="473"/>
      <c r="AG1301" s="1164"/>
      <c r="AH1301" s="473"/>
      <c r="AI1301" s="473"/>
      <c r="AJ1301" s="1164"/>
      <c r="AK1301" s="473"/>
      <c r="AL1301" s="473"/>
      <c r="AM1301" s="1164"/>
      <c r="AN1301" s="473"/>
      <c r="AO1301" s="473"/>
      <c r="AP1301" s="1164"/>
      <c r="AQ1301" s="473"/>
      <c r="AR1301" s="473"/>
      <c r="AS1301" s="1236"/>
      <c r="AT1301" s="473"/>
      <c r="AU1301" s="473"/>
      <c r="AV1301" s="1164"/>
      <c r="AW1301" s="1164"/>
      <c r="AX1301" s="1236"/>
      <c r="AY1301" s="473"/>
      <c r="AZ1301" s="1236"/>
      <c r="BA1301" s="473"/>
      <c r="BB1301" s="473"/>
      <c r="BC1301" s="1164"/>
      <c r="BD1301" s="20"/>
      <c r="BE1301" s="473"/>
      <c r="BF1301" s="610"/>
      <c r="BG1301" s="610"/>
      <c r="BH1301" s="610"/>
      <c r="BI1301" s="610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  <c r="CJ1301" s="23"/>
      <c r="CK1301" s="23"/>
      <c r="CL1301" s="23"/>
      <c r="CM1301" s="23"/>
      <c r="CN1301" s="23"/>
      <c r="CO1301" s="23"/>
      <c r="CP1301" s="23"/>
      <c r="CQ1301" s="23"/>
      <c r="CR1301" s="23"/>
      <c r="CS1301" s="23"/>
      <c r="CT1301" s="23"/>
      <c r="CU1301" s="23"/>
      <c r="CV1301" s="23"/>
      <c r="CW1301" s="23"/>
      <c r="CX1301" s="23"/>
      <c r="CY1301" s="23"/>
      <c r="CZ1301" s="23"/>
      <c r="DA1301" s="23"/>
      <c r="DB1301" s="23"/>
      <c r="DC1301" s="23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  <c r="DZ1301" s="23"/>
      <c r="EA1301" s="23"/>
      <c r="EB1301" s="23"/>
      <c r="EC1301" s="23"/>
      <c r="ED1301" s="23"/>
      <c r="EE1301" s="23"/>
      <c r="EF1301" s="23"/>
      <c r="EG1301" s="23"/>
      <c r="EH1301" s="23"/>
      <c r="EI1301" s="23"/>
      <c r="EJ1301" s="23"/>
      <c r="EK1301" s="23"/>
      <c r="EL1301" s="23"/>
      <c r="EM1301" s="23"/>
      <c r="EN1301" s="23"/>
      <c r="EO1301" s="23"/>
      <c r="EP1301" s="23"/>
      <c r="EQ1301" s="23"/>
      <c r="ER1301" s="23"/>
    </row>
    <row r="1302" spans="1:148" s="22" customFormat="1" x14ac:dyDescent="0.25">
      <c r="A1302" s="20"/>
      <c r="B1302" s="16"/>
      <c r="C1302" s="473"/>
      <c r="D1302" s="473"/>
      <c r="E1302" s="1164"/>
      <c r="F1302" s="473"/>
      <c r="G1302" s="473"/>
      <c r="H1302" s="1164"/>
      <c r="I1302" s="473"/>
      <c r="J1302" s="473"/>
      <c r="K1302" s="1164"/>
      <c r="L1302" s="473"/>
      <c r="M1302" s="473"/>
      <c r="N1302" s="1164"/>
      <c r="O1302" s="473"/>
      <c r="P1302" s="473"/>
      <c r="Q1302" s="1164"/>
      <c r="R1302" s="473"/>
      <c r="S1302" s="473"/>
      <c r="T1302" s="1164"/>
      <c r="U1302" s="1164"/>
      <c r="V1302" s="473"/>
      <c r="W1302" s="473"/>
      <c r="X1302" s="1164"/>
      <c r="Y1302" s="473"/>
      <c r="Z1302" s="473"/>
      <c r="AA1302" s="1164"/>
      <c r="AB1302" s="473"/>
      <c r="AC1302" s="1164"/>
      <c r="AD1302" s="473"/>
      <c r="AE1302" s="1164"/>
      <c r="AF1302" s="473"/>
      <c r="AG1302" s="1164"/>
      <c r="AH1302" s="473"/>
      <c r="AI1302" s="473"/>
      <c r="AJ1302" s="1164"/>
      <c r="AK1302" s="473"/>
      <c r="AL1302" s="473"/>
      <c r="AM1302" s="1164"/>
      <c r="AN1302" s="473"/>
      <c r="AO1302" s="473"/>
      <c r="AP1302" s="1164"/>
      <c r="AQ1302" s="473"/>
      <c r="AR1302" s="473"/>
      <c r="AS1302" s="1236"/>
      <c r="AT1302" s="473"/>
      <c r="AU1302" s="473"/>
      <c r="AV1302" s="1164"/>
      <c r="AW1302" s="1164"/>
      <c r="AX1302" s="1236"/>
      <c r="AY1302" s="473"/>
      <c r="AZ1302" s="1236"/>
      <c r="BA1302" s="473"/>
      <c r="BB1302" s="473"/>
      <c r="BC1302" s="1164"/>
      <c r="BD1302" s="20"/>
      <c r="BE1302" s="473"/>
      <c r="BF1302" s="610"/>
      <c r="BG1302" s="610"/>
      <c r="BH1302" s="610"/>
      <c r="BI1302" s="610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  <c r="CJ1302" s="23"/>
      <c r="CK1302" s="23"/>
      <c r="CL1302" s="23"/>
      <c r="CM1302" s="23"/>
      <c r="CN1302" s="23"/>
      <c r="CO1302" s="23"/>
      <c r="CP1302" s="23"/>
      <c r="CQ1302" s="23"/>
      <c r="CR1302" s="23"/>
      <c r="CS1302" s="23"/>
      <c r="CT1302" s="23"/>
      <c r="CU1302" s="23"/>
      <c r="CV1302" s="23"/>
      <c r="CW1302" s="23"/>
      <c r="CX1302" s="23"/>
      <c r="CY1302" s="23"/>
      <c r="CZ1302" s="23"/>
      <c r="DA1302" s="23"/>
      <c r="DB1302" s="23"/>
      <c r="DC1302" s="23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  <c r="DZ1302" s="23"/>
      <c r="EA1302" s="23"/>
      <c r="EB1302" s="23"/>
      <c r="EC1302" s="23"/>
      <c r="ED1302" s="23"/>
      <c r="EE1302" s="23"/>
      <c r="EF1302" s="23"/>
      <c r="EG1302" s="23"/>
      <c r="EH1302" s="23"/>
      <c r="EI1302" s="23"/>
      <c r="EJ1302" s="23"/>
      <c r="EK1302" s="23"/>
      <c r="EL1302" s="23"/>
      <c r="EM1302" s="23"/>
      <c r="EN1302" s="23"/>
      <c r="EO1302" s="23"/>
      <c r="EP1302" s="23"/>
      <c r="EQ1302" s="23"/>
      <c r="ER1302" s="23"/>
    </row>
    <row r="1303" spans="1:148" s="22" customFormat="1" x14ac:dyDescent="0.25">
      <c r="A1303" s="20"/>
      <c r="B1303" s="16"/>
      <c r="C1303" s="473"/>
      <c r="D1303" s="473"/>
      <c r="E1303" s="1164"/>
      <c r="F1303" s="473"/>
      <c r="G1303" s="473"/>
      <c r="H1303" s="1164"/>
      <c r="I1303" s="473"/>
      <c r="J1303" s="473"/>
      <c r="K1303" s="1164"/>
      <c r="L1303" s="473"/>
      <c r="M1303" s="473"/>
      <c r="N1303" s="1164"/>
      <c r="O1303" s="473"/>
      <c r="P1303" s="473"/>
      <c r="Q1303" s="1164"/>
      <c r="R1303" s="473"/>
      <c r="S1303" s="473"/>
      <c r="T1303" s="1164"/>
      <c r="U1303" s="1164"/>
      <c r="V1303" s="473"/>
      <c r="W1303" s="473"/>
      <c r="X1303" s="1164"/>
      <c r="Y1303" s="473"/>
      <c r="Z1303" s="473"/>
      <c r="AA1303" s="1164"/>
      <c r="AB1303" s="473"/>
      <c r="AC1303" s="1164"/>
      <c r="AD1303" s="473"/>
      <c r="AE1303" s="1164"/>
      <c r="AF1303" s="473"/>
      <c r="AG1303" s="1164"/>
      <c r="AH1303" s="473"/>
      <c r="AI1303" s="473"/>
      <c r="AJ1303" s="1164"/>
      <c r="AK1303" s="473"/>
      <c r="AL1303" s="473"/>
      <c r="AM1303" s="1164"/>
      <c r="AN1303" s="473"/>
      <c r="AO1303" s="473"/>
      <c r="AP1303" s="1164"/>
      <c r="AQ1303" s="473"/>
      <c r="AR1303" s="473"/>
      <c r="AS1303" s="1236"/>
      <c r="AT1303" s="473"/>
      <c r="AU1303" s="473"/>
      <c r="AV1303" s="1164"/>
      <c r="AW1303" s="1164"/>
      <c r="AX1303" s="1236"/>
      <c r="AY1303" s="473"/>
      <c r="AZ1303" s="1236"/>
      <c r="BA1303" s="473"/>
      <c r="BB1303" s="473"/>
      <c r="BC1303" s="1164"/>
      <c r="BD1303" s="20"/>
      <c r="BE1303" s="473"/>
      <c r="BF1303" s="610"/>
      <c r="BG1303" s="610"/>
      <c r="BH1303" s="610"/>
      <c r="BI1303" s="610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  <c r="CJ1303" s="23"/>
      <c r="CK1303" s="23"/>
      <c r="CL1303" s="23"/>
      <c r="CM1303" s="23"/>
      <c r="CN1303" s="23"/>
      <c r="CO1303" s="23"/>
      <c r="CP1303" s="23"/>
      <c r="CQ1303" s="23"/>
      <c r="CR1303" s="23"/>
      <c r="CS1303" s="23"/>
      <c r="CT1303" s="23"/>
      <c r="CU1303" s="23"/>
      <c r="CV1303" s="23"/>
      <c r="CW1303" s="23"/>
      <c r="CX1303" s="23"/>
      <c r="CY1303" s="23"/>
      <c r="CZ1303" s="23"/>
      <c r="DA1303" s="23"/>
      <c r="DB1303" s="23"/>
      <c r="DC1303" s="23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  <c r="DZ1303" s="23"/>
      <c r="EA1303" s="23"/>
      <c r="EB1303" s="23"/>
      <c r="EC1303" s="23"/>
      <c r="ED1303" s="23"/>
      <c r="EE1303" s="23"/>
      <c r="EF1303" s="23"/>
      <c r="EG1303" s="23"/>
      <c r="EH1303" s="23"/>
      <c r="EI1303" s="23"/>
      <c r="EJ1303" s="23"/>
      <c r="EK1303" s="23"/>
      <c r="EL1303" s="23"/>
      <c r="EM1303" s="23"/>
      <c r="EN1303" s="23"/>
      <c r="EO1303" s="23"/>
      <c r="EP1303" s="23"/>
      <c r="EQ1303" s="23"/>
      <c r="ER1303" s="23"/>
    </row>
    <row r="1304" spans="1:148" s="22" customFormat="1" x14ac:dyDescent="0.25">
      <c r="A1304" s="20"/>
      <c r="B1304" s="16"/>
      <c r="C1304" s="473"/>
      <c r="D1304" s="473"/>
      <c r="E1304" s="1164"/>
      <c r="F1304" s="473"/>
      <c r="G1304" s="473"/>
      <c r="H1304" s="1164"/>
      <c r="I1304" s="473"/>
      <c r="J1304" s="473"/>
      <c r="K1304" s="1164"/>
      <c r="L1304" s="473"/>
      <c r="M1304" s="473"/>
      <c r="N1304" s="1164"/>
      <c r="O1304" s="473"/>
      <c r="P1304" s="473"/>
      <c r="Q1304" s="1164"/>
      <c r="R1304" s="473"/>
      <c r="S1304" s="473"/>
      <c r="T1304" s="1164"/>
      <c r="U1304" s="1164"/>
      <c r="V1304" s="473"/>
      <c r="W1304" s="473"/>
      <c r="X1304" s="1164"/>
      <c r="Y1304" s="473"/>
      <c r="Z1304" s="473"/>
      <c r="AA1304" s="1164"/>
      <c r="AB1304" s="473"/>
      <c r="AC1304" s="1164"/>
      <c r="AD1304" s="473"/>
      <c r="AE1304" s="1164"/>
      <c r="AF1304" s="473"/>
      <c r="AG1304" s="1164"/>
      <c r="AH1304" s="473"/>
      <c r="AI1304" s="473"/>
      <c r="AJ1304" s="1164"/>
      <c r="AK1304" s="473"/>
      <c r="AL1304" s="473"/>
      <c r="AM1304" s="1164"/>
      <c r="AN1304" s="473"/>
      <c r="AO1304" s="473"/>
      <c r="AP1304" s="1164"/>
      <c r="AQ1304" s="473"/>
      <c r="AR1304" s="473"/>
      <c r="AS1304" s="1236"/>
      <c r="AT1304" s="473"/>
      <c r="AU1304" s="473"/>
      <c r="AV1304" s="1164"/>
      <c r="AW1304" s="1164"/>
      <c r="AX1304" s="1236"/>
      <c r="AY1304" s="473"/>
      <c r="AZ1304" s="1236"/>
      <c r="BA1304" s="473"/>
      <c r="BB1304" s="473"/>
      <c r="BC1304" s="1164"/>
      <c r="BD1304" s="20"/>
      <c r="BE1304" s="473"/>
      <c r="BF1304" s="610"/>
      <c r="BG1304" s="610"/>
      <c r="BH1304" s="610"/>
      <c r="BI1304" s="610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  <c r="CO1304" s="23"/>
      <c r="CP1304" s="23"/>
      <c r="CQ1304" s="23"/>
      <c r="CR1304" s="23"/>
      <c r="CS1304" s="23"/>
      <c r="CT1304" s="23"/>
      <c r="CU1304" s="23"/>
      <c r="CV1304" s="23"/>
      <c r="CW1304" s="23"/>
      <c r="CX1304" s="23"/>
      <c r="CY1304" s="23"/>
      <c r="CZ1304" s="23"/>
      <c r="DA1304" s="23"/>
      <c r="DB1304" s="23"/>
      <c r="DC1304" s="23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  <c r="DZ1304" s="23"/>
      <c r="EA1304" s="23"/>
      <c r="EB1304" s="23"/>
      <c r="EC1304" s="23"/>
      <c r="ED1304" s="23"/>
      <c r="EE1304" s="23"/>
      <c r="EF1304" s="23"/>
      <c r="EG1304" s="23"/>
      <c r="EH1304" s="23"/>
      <c r="EI1304" s="23"/>
      <c r="EJ1304" s="23"/>
      <c r="EK1304" s="23"/>
      <c r="EL1304" s="23"/>
      <c r="EM1304" s="23"/>
      <c r="EN1304" s="23"/>
      <c r="EO1304" s="23"/>
      <c r="EP1304" s="23"/>
      <c r="EQ1304" s="23"/>
      <c r="ER1304" s="23"/>
    </row>
    <row r="1305" spans="1:148" s="22" customFormat="1" x14ac:dyDescent="0.25">
      <c r="A1305" s="20"/>
      <c r="B1305" s="16"/>
      <c r="C1305" s="473"/>
      <c r="D1305" s="473"/>
      <c r="E1305" s="1164"/>
      <c r="F1305" s="473"/>
      <c r="G1305" s="473"/>
      <c r="H1305" s="1164"/>
      <c r="I1305" s="473"/>
      <c r="J1305" s="473"/>
      <c r="K1305" s="1164"/>
      <c r="L1305" s="473"/>
      <c r="M1305" s="473"/>
      <c r="N1305" s="1164"/>
      <c r="O1305" s="473"/>
      <c r="P1305" s="473"/>
      <c r="Q1305" s="1164"/>
      <c r="R1305" s="473"/>
      <c r="S1305" s="473"/>
      <c r="T1305" s="1164"/>
      <c r="U1305" s="1164"/>
      <c r="V1305" s="473"/>
      <c r="W1305" s="473"/>
      <c r="X1305" s="1164"/>
      <c r="Y1305" s="473"/>
      <c r="Z1305" s="473"/>
      <c r="AA1305" s="1164"/>
      <c r="AB1305" s="473"/>
      <c r="AC1305" s="1164"/>
      <c r="AD1305" s="473"/>
      <c r="AE1305" s="1164"/>
      <c r="AF1305" s="473"/>
      <c r="AG1305" s="1164"/>
      <c r="AH1305" s="473"/>
      <c r="AI1305" s="473"/>
      <c r="AJ1305" s="1164"/>
      <c r="AK1305" s="473"/>
      <c r="AL1305" s="473"/>
      <c r="AM1305" s="1164"/>
      <c r="AN1305" s="473"/>
      <c r="AO1305" s="473"/>
      <c r="AP1305" s="1164"/>
      <c r="AQ1305" s="473"/>
      <c r="AR1305" s="473"/>
      <c r="AS1305" s="1236"/>
      <c r="AT1305" s="473"/>
      <c r="AU1305" s="473"/>
      <c r="AV1305" s="1164"/>
      <c r="AW1305" s="1164"/>
      <c r="AX1305" s="1236"/>
      <c r="AY1305" s="473"/>
      <c r="AZ1305" s="1236"/>
      <c r="BA1305" s="473"/>
      <c r="BB1305" s="473"/>
      <c r="BC1305" s="1164"/>
      <c r="BD1305" s="20"/>
      <c r="BE1305" s="473"/>
      <c r="BF1305" s="610"/>
      <c r="BG1305" s="610"/>
      <c r="BH1305" s="610"/>
      <c r="BI1305" s="610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3"/>
      <c r="CQ1305" s="23"/>
      <c r="CR1305" s="23"/>
      <c r="CS1305" s="23"/>
      <c r="CT1305" s="23"/>
      <c r="CU1305" s="23"/>
      <c r="CV1305" s="23"/>
      <c r="CW1305" s="23"/>
      <c r="CX1305" s="23"/>
      <c r="CY1305" s="23"/>
      <c r="CZ1305" s="23"/>
      <c r="DA1305" s="23"/>
      <c r="DB1305" s="23"/>
      <c r="DC1305" s="23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  <c r="DZ1305" s="23"/>
      <c r="EA1305" s="23"/>
      <c r="EB1305" s="23"/>
      <c r="EC1305" s="23"/>
      <c r="ED1305" s="23"/>
      <c r="EE1305" s="23"/>
      <c r="EF1305" s="23"/>
      <c r="EG1305" s="23"/>
      <c r="EH1305" s="23"/>
      <c r="EI1305" s="23"/>
      <c r="EJ1305" s="23"/>
      <c r="EK1305" s="23"/>
      <c r="EL1305" s="23"/>
      <c r="EM1305" s="23"/>
      <c r="EN1305" s="23"/>
      <c r="EO1305" s="23"/>
      <c r="EP1305" s="23"/>
      <c r="EQ1305" s="23"/>
      <c r="ER1305" s="23"/>
    </row>
    <row r="1306" spans="1:148" s="22" customFormat="1" x14ac:dyDescent="0.25">
      <c r="A1306" s="20"/>
      <c r="B1306" s="16"/>
      <c r="C1306" s="473"/>
      <c r="D1306" s="473"/>
      <c r="E1306" s="1164"/>
      <c r="F1306" s="473"/>
      <c r="G1306" s="473"/>
      <c r="H1306" s="1164"/>
      <c r="I1306" s="473"/>
      <c r="J1306" s="473"/>
      <c r="K1306" s="1164"/>
      <c r="L1306" s="473"/>
      <c r="M1306" s="473"/>
      <c r="N1306" s="1164"/>
      <c r="O1306" s="473"/>
      <c r="P1306" s="473"/>
      <c r="Q1306" s="1164"/>
      <c r="R1306" s="473"/>
      <c r="S1306" s="473"/>
      <c r="T1306" s="1164"/>
      <c r="U1306" s="1164"/>
      <c r="V1306" s="473"/>
      <c r="W1306" s="473"/>
      <c r="X1306" s="1164"/>
      <c r="Y1306" s="473"/>
      <c r="Z1306" s="473"/>
      <c r="AA1306" s="1164"/>
      <c r="AB1306" s="473"/>
      <c r="AC1306" s="1164"/>
      <c r="AD1306" s="473"/>
      <c r="AE1306" s="1164"/>
      <c r="AF1306" s="473"/>
      <c r="AG1306" s="1164"/>
      <c r="AH1306" s="473"/>
      <c r="AI1306" s="473"/>
      <c r="AJ1306" s="1164"/>
      <c r="AK1306" s="473"/>
      <c r="AL1306" s="473"/>
      <c r="AM1306" s="1164"/>
      <c r="AN1306" s="473"/>
      <c r="AO1306" s="473"/>
      <c r="AP1306" s="1164"/>
      <c r="AQ1306" s="473"/>
      <c r="AR1306" s="473"/>
      <c r="AS1306" s="1236"/>
      <c r="AT1306" s="473"/>
      <c r="AU1306" s="473"/>
      <c r="AV1306" s="1164"/>
      <c r="AW1306" s="1164"/>
      <c r="AX1306" s="1236"/>
      <c r="AY1306" s="473"/>
      <c r="AZ1306" s="1236"/>
      <c r="BA1306" s="473"/>
      <c r="BB1306" s="473"/>
      <c r="BC1306" s="1164"/>
      <c r="BD1306" s="20"/>
      <c r="BE1306" s="473"/>
      <c r="BF1306" s="610"/>
      <c r="BG1306" s="610"/>
      <c r="BH1306" s="610"/>
      <c r="BI1306" s="610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  <c r="CJ1306" s="23"/>
      <c r="CK1306" s="23"/>
      <c r="CL1306" s="23"/>
      <c r="CM1306" s="23"/>
      <c r="CN1306" s="23"/>
      <c r="CO1306" s="23"/>
      <c r="CP1306" s="23"/>
      <c r="CQ1306" s="23"/>
      <c r="CR1306" s="23"/>
      <c r="CS1306" s="23"/>
      <c r="CT1306" s="23"/>
      <c r="CU1306" s="23"/>
      <c r="CV1306" s="23"/>
      <c r="CW1306" s="23"/>
      <c r="CX1306" s="23"/>
      <c r="CY1306" s="23"/>
      <c r="CZ1306" s="23"/>
      <c r="DA1306" s="23"/>
      <c r="DB1306" s="23"/>
      <c r="DC1306" s="23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  <c r="DZ1306" s="23"/>
      <c r="EA1306" s="23"/>
      <c r="EB1306" s="23"/>
      <c r="EC1306" s="23"/>
      <c r="ED1306" s="23"/>
      <c r="EE1306" s="23"/>
      <c r="EF1306" s="23"/>
      <c r="EG1306" s="23"/>
      <c r="EH1306" s="23"/>
      <c r="EI1306" s="23"/>
      <c r="EJ1306" s="23"/>
      <c r="EK1306" s="23"/>
      <c r="EL1306" s="23"/>
      <c r="EM1306" s="23"/>
      <c r="EN1306" s="23"/>
      <c r="EO1306" s="23"/>
      <c r="EP1306" s="23"/>
      <c r="EQ1306" s="23"/>
      <c r="ER1306" s="23"/>
    </row>
    <row r="1307" spans="1:148" s="22" customFormat="1" x14ac:dyDescent="0.25">
      <c r="A1307" s="20"/>
      <c r="B1307" s="16"/>
      <c r="C1307" s="473"/>
      <c r="D1307" s="473"/>
      <c r="E1307" s="1164"/>
      <c r="F1307" s="473"/>
      <c r="G1307" s="473"/>
      <c r="H1307" s="1164"/>
      <c r="I1307" s="473"/>
      <c r="J1307" s="473"/>
      <c r="K1307" s="1164"/>
      <c r="L1307" s="473"/>
      <c r="M1307" s="473"/>
      <c r="N1307" s="1164"/>
      <c r="O1307" s="473"/>
      <c r="P1307" s="473"/>
      <c r="Q1307" s="1164"/>
      <c r="R1307" s="473"/>
      <c r="S1307" s="473"/>
      <c r="T1307" s="1164"/>
      <c r="U1307" s="1164"/>
      <c r="V1307" s="473"/>
      <c r="W1307" s="473"/>
      <c r="X1307" s="1164"/>
      <c r="Y1307" s="473"/>
      <c r="Z1307" s="473"/>
      <c r="AA1307" s="1164"/>
      <c r="AB1307" s="473"/>
      <c r="AC1307" s="1164"/>
      <c r="AD1307" s="473"/>
      <c r="AE1307" s="1164"/>
      <c r="AF1307" s="473"/>
      <c r="AG1307" s="1164"/>
      <c r="AH1307" s="473"/>
      <c r="AI1307" s="473"/>
      <c r="AJ1307" s="1164"/>
      <c r="AK1307" s="473"/>
      <c r="AL1307" s="473"/>
      <c r="AM1307" s="1164"/>
      <c r="AN1307" s="473"/>
      <c r="AO1307" s="473"/>
      <c r="AP1307" s="1164"/>
      <c r="AQ1307" s="473"/>
      <c r="AR1307" s="473"/>
      <c r="AS1307" s="1236"/>
      <c r="AT1307" s="473"/>
      <c r="AU1307" s="473"/>
      <c r="AV1307" s="1164"/>
      <c r="AW1307" s="1164"/>
      <c r="AX1307" s="1236"/>
      <c r="AY1307" s="473"/>
      <c r="AZ1307" s="1236"/>
      <c r="BA1307" s="473"/>
      <c r="BB1307" s="473"/>
      <c r="BC1307" s="1164"/>
      <c r="BD1307" s="20"/>
      <c r="BE1307" s="473"/>
      <c r="BF1307" s="610"/>
      <c r="BG1307" s="610"/>
      <c r="BH1307" s="610"/>
      <c r="BI1307" s="610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  <c r="CP1307" s="23"/>
      <c r="CQ1307" s="23"/>
      <c r="CR1307" s="23"/>
      <c r="CS1307" s="23"/>
      <c r="CT1307" s="23"/>
      <c r="CU1307" s="23"/>
      <c r="CV1307" s="23"/>
      <c r="CW1307" s="23"/>
      <c r="CX1307" s="23"/>
      <c r="CY1307" s="23"/>
      <c r="CZ1307" s="23"/>
      <c r="DA1307" s="23"/>
      <c r="DB1307" s="23"/>
      <c r="DC1307" s="23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  <c r="DZ1307" s="23"/>
      <c r="EA1307" s="23"/>
      <c r="EB1307" s="23"/>
      <c r="EC1307" s="23"/>
      <c r="ED1307" s="23"/>
      <c r="EE1307" s="23"/>
      <c r="EF1307" s="23"/>
      <c r="EG1307" s="23"/>
      <c r="EH1307" s="23"/>
      <c r="EI1307" s="23"/>
      <c r="EJ1307" s="23"/>
      <c r="EK1307" s="23"/>
      <c r="EL1307" s="23"/>
      <c r="EM1307" s="23"/>
      <c r="EN1307" s="23"/>
      <c r="EO1307" s="23"/>
      <c r="EP1307" s="23"/>
      <c r="EQ1307" s="23"/>
      <c r="ER1307" s="23"/>
    </row>
    <row r="1308" spans="1:148" s="22" customFormat="1" x14ac:dyDescent="0.25">
      <c r="A1308" s="20"/>
      <c r="B1308" s="16"/>
      <c r="C1308" s="473"/>
      <c r="D1308" s="473"/>
      <c r="E1308" s="1164"/>
      <c r="F1308" s="473"/>
      <c r="G1308" s="473"/>
      <c r="H1308" s="1164"/>
      <c r="I1308" s="473"/>
      <c r="J1308" s="473"/>
      <c r="K1308" s="1164"/>
      <c r="L1308" s="473"/>
      <c r="M1308" s="473"/>
      <c r="N1308" s="1164"/>
      <c r="O1308" s="473"/>
      <c r="P1308" s="473"/>
      <c r="Q1308" s="1164"/>
      <c r="R1308" s="473"/>
      <c r="S1308" s="473"/>
      <c r="T1308" s="1164"/>
      <c r="U1308" s="1164"/>
      <c r="V1308" s="473"/>
      <c r="W1308" s="473"/>
      <c r="X1308" s="1164"/>
      <c r="Y1308" s="473"/>
      <c r="Z1308" s="473"/>
      <c r="AA1308" s="1164"/>
      <c r="AB1308" s="473"/>
      <c r="AC1308" s="1164"/>
      <c r="AD1308" s="473"/>
      <c r="AE1308" s="1164"/>
      <c r="AF1308" s="473"/>
      <c r="AG1308" s="1164"/>
      <c r="AH1308" s="473"/>
      <c r="AI1308" s="473"/>
      <c r="AJ1308" s="1164"/>
      <c r="AK1308" s="473"/>
      <c r="AL1308" s="473"/>
      <c r="AM1308" s="1164"/>
      <c r="AN1308" s="473"/>
      <c r="AO1308" s="473"/>
      <c r="AP1308" s="1164"/>
      <c r="AQ1308" s="473"/>
      <c r="AR1308" s="473"/>
      <c r="AS1308" s="1236"/>
      <c r="AT1308" s="473"/>
      <c r="AU1308" s="473"/>
      <c r="AV1308" s="1164"/>
      <c r="AW1308" s="1164"/>
      <c r="AX1308" s="1236"/>
      <c r="AY1308" s="473"/>
      <c r="AZ1308" s="1236"/>
      <c r="BA1308" s="473"/>
      <c r="BB1308" s="473"/>
      <c r="BC1308" s="1164"/>
      <c r="BD1308" s="20"/>
      <c r="BE1308" s="473"/>
      <c r="BF1308" s="610"/>
      <c r="BG1308" s="610"/>
      <c r="BH1308" s="610"/>
      <c r="BI1308" s="610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  <c r="CP1308" s="23"/>
      <c r="CQ1308" s="23"/>
      <c r="CR1308" s="23"/>
      <c r="CS1308" s="23"/>
      <c r="CT1308" s="23"/>
      <c r="CU1308" s="23"/>
      <c r="CV1308" s="23"/>
      <c r="CW1308" s="23"/>
      <c r="CX1308" s="23"/>
      <c r="CY1308" s="23"/>
      <c r="CZ1308" s="23"/>
      <c r="DA1308" s="23"/>
      <c r="DB1308" s="23"/>
      <c r="DC1308" s="23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  <c r="DZ1308" s="23"/>
      <c r="EA1308" s="23"/>
      <c r="EB1308" s="23"/>
      <c r="EC1308" s="23"/>
      <c r="ED1308" s="23"/>
      <c r="EE1308" s="23"/>
      <c r="EF1308" s="23"/>
      <c r="EG1308" s="23"/>
      <c r="EH1308" s="23"/>
      <c r="EI1308" s="23"/>
      <c r="EJ1308" s="23"/>
      <c r="EK1308" s="23"/>
      <c r="EL1308" s="23"/>
      <c r="EM1308" s="23"/>
      <c r="EN1308" s="23"/>
      <c r="EO1308" s="23"/>
      <c r="EP1308" s="23"/>
      <c r="EQ1308" s="23"/>
      <c r="ER1308" s="23"/>
    </row>
    <row r="1309" spans="1:148" s="22" customFormat="1" x14ac:dyDescent="0.25">
      <c r="A1309" s="20"/>
      <c r="B1309" s="16"/>
      <c r="C1309" s="473"/>
      <c r="D1309" s="473"/>
      <c r="E1309" s="1164"/>
      <c r="F1309" s="473"/>
      <c r="G1309" s="473"/>
      <c r="H1309" s="1164"/>
      <c r="I1309" s="473"/>
      <c r="J1309" s="473"/>
      <c r="K1309" s="1164"/>
      <c r="L1309" s="473"/>
      <c r="M1309" s="473"/>
      <c r="N1309" s="1164"/>
      <c r="O1309" s="473"/>
      <c r="P1309" s="473"/>
      <c r="Q1309" s="1164"/>
      <c r="R1309" s="473"/>
      <c r="S1309" s="473"/>
      <c r="T1309" s="1164"/>
      <c r="U1309" s="1164"/>
      <c r="V1309" s="473"/>
      <c r="W1309" s="473"/>
      <c r="X1309" s="1164"/>
      <c r="Y1309" s="473"/>
      <c r="Z1309" s="473"/>
      <c r="AA1309" s="1164"/>
      <c r="AB1309" s="473"/>
      <c r="AC1309" s="1164"/>
      <c r="AD1309" s="473"/>
      <c r="AE1309" s="1164"/>
      <c r="AF1309" s="473"/>
      <c r="AG1309" s="1164"/>
      <c r="AH1309" s="473"/>
      <c r="AI1309" s="473"/>
      <c r="AJ1309" s="1164"/>
      <c r="AK1309" s="473"/>
      <c r="AL1309" s="473"/>
      <c r="AM1309" s="1164"/>
      <c r="AN1309" s="473"/>
      <c r="AO1309" s="473"/>
      <c r="AP1309" s="1164"/>
      <c r="AQ1309" s="473"/>
      <c r="AR1309" s="473"/>
      <c r="AS1309" s="1236"/>
      <c r="AT1309" s="473"/>
      <c r="AU1309" s="473"/>
      <c r="AV1309" s="1164"/>
      <c r="AW1309" s="1164"/>
      <c r="AX1309" s="1236"/>
      <c r="AY1309" s="473"/>
      <c r="AZ1309" s="1236"/>
      <c r="BA1309" s="473"/>
      <c r="BB1309" s="473"/>
      <c r="BC1309" s="1164"/>
      <c r="BD1309" s="20"/>
      <c r="BE1309" s="473"/>
      <c r="BF1309" s="610"/>
      <c r="BG1309" s="610"/>
      <c r="BH1309" s="610"/>
      <c r="BI1309" s="610"/>
      <c r="BJ1309" s="23"/>
      <c r="BK1309" s="23"/>
      <c r="BL1309" s="23"/>
      <c r="BM1309" s="23"/>
      <c r="BN1309" s="23"/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3"/>
      <c r="CG1309" s="23"/>
      <c r="CH1309" s="23"/>
      <c r="CI1309" s="23"/>
      <c r="CJ1309" s="23"/>
      <c r="CK1309" s="23"/>
      <c r="CL1309" s="23"/>
      <c r="CM1309" s="23"/>
      <c r="CN1309" s="23"/>
      <c r="CO1309" s="23"/>
      <c r="CP1309" s="23"/>
      <c r="CQ1309" s="23"/>
      <c r="CR1309" s="23"/>
      <c r="CS1309" s="23"/>
      <c r="CT1309" s="23"/>
      <c r="CU1309" s="23"/>
      <c r="CV1309" s="23"/>
      <c r="CW1309" s="23"/>
      <c r="CX1309" s="23"/>
      <c r="CY1309" s="23"/>
      <c r="CZ1309" s="23"/>
      <c r="DA1309" s="23"/>
      <c r="DB1309" s="23"/>
      <c r="DC1309" s="23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  <c r="DZ1309" s="23"/>
      <c r="EA1309" s="23"/>
      <c r="EB1309" s="23"/>
      <c r="EC1309" s="23"/>
      <c r="ED1309" s="23"/>
      <c r="EE1309" s="23"/>
      <c r="EF1309" s="23"/>
      <c r="EG1309" s="23"/>
      <c r="EH1309" s="23"/>
      <c r="EI1309" s="23"/>
      <c r="EJ1309" s="23"/>
      <c r="EK1309" s="23"/>
      <c r="EL1309" s="23"/>
      <c r="EM1309" s="23"/>
      <c r="EN1309" s="23"/>
      <c r="EO1309" s="23"/>
      <c r="EP1309" s="23"/>
      <c r="EQ1309" s="23"/>
      <c r="ER1309" s="23"/>
    </row>
    <row r="1310" spans="1:148" s="22" customFormat="1" x14ac:dyDescent="0.25">
      <c r="A1310" s="20"/>
      <c r="B1310" s="16"/>
      <c r="C1310" s="473"/>
      <c r="D1310" s="473"/>
      <c r="E1310" s="1164"/>
      <c r="F1310" s="473"/>
      <c r="G1310" s="473"/>
      <c r="H1310" s="1164"/>
      <c r="I1310" s="473"/>
      <c r="J1310" s="473"/>
      <c r="K1310" s="1164"/>
      <c r="L1310" s="473"/>
      <c r="M1310" s="473"/>
      <c r="N1310" s="1164"/>
      <c r="O1310" s="473"/>
      <c r="P1310" s="473"/>
      <c r="Q1310" s="1164"/>
      <c r="R1310" s="473"/>
      <c r="S1310" s="473"/>
      <c r="T1310" s="1164"/>
      <c r="U1310" s="1164"/>
      <c r="V1310" s="473"/>
      <c r="W1310" s="473"/>
      <c r="X1310" s="1164"/>
      <c r="Y1310" s="473"/>
      <c r="Z1310" s="473"/>
      <c r="AA1310" s="1164"/>
      <c r="AB1310" s="473"/>
      <c r="AC1310" s="1164"/>
      <c r="AD1310" s="473"/>
      <c r="AE1310" s="1164"/>
      <c r="AF1310" s="473"/>
      <c r="AG1310" s="1164"/>
      <c r="AH1310" s="473"/>
      <c r="AI1310" s="473"/>
      <c r="AJ1310" s="1164"/>
      <c r="AK1310" s="473"/>
      <c r="AL1310" s="473"/>
      <c r="AM1310" s="1164"/>
      <c r="AN1310" s="473"/>
      <c r="AO1310" s="473"/>
      <c r="AP1310" s="1164"/>
      <c r="AQ1310" s="473"/>
      <c r="AR1310" s="473"/>
      <c r="AS1310" s="1236"/>
      <c r="AT1310" s="473"/>
      <c r="AU1310" s="473"/>
      <c r="AV1310" s="1164"/>
      <c r="AW1310" s="1164"/>
      <c r="AX1310" s="1236"/>
      <c r="AY1310" s="473"/>
      <c r="AZ1310" s="1236"/>
      <c r="BA1310" s="473"/>
      <c r="BB1310" s="473"/>
      <c r="BC1310" s="1164"/>
      <c r="BD1310" s="20"/>
      <c r="BE1310" s="473"/>
      <c r="BF1310" s="610"/>
      <c r="BG1310" s="610"/>
      <c r="BH1310" s="610"/>
      <c r="BI1310" s="610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3"/>
      <c r="CQ1310" s="23"/>
      <c r="CR1310" s="23"/>
      <c r="CS1310" s="23"/>
      <c r="CT1310" s="23"/>
      <c r="CU1310" s="23"/>
      <c r="CV1310" s="23"/>
      <c r="CW1310" s="23"/>
      <c r="CX1310" s="23"/>
      <c r="CY1310" s="23"/>
      <c r="CZ1310" s="23"/>
      <c r="DA1310" s="23"/>
      <c r="DB1310" s="23"/>
      <c r="DC1310" s="23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  <c r="DZ1310" s="23"/>
      <c r="EA1310" s="23"/>
      <c r="EB1310" s="23"/>
      <c r="EC1310" s="23"/>
      <c r="ED1310" s="23"/>
      <c r="EE1310" s="23"/>
      <c r="EF1310" s="23"/>
      <c r="EG1310" s="23"/>
      <c r="EH1310" s="23"/>
      <c r="EI1310" s="23"/>
      <c r="EJ1310" s="23"/>
      <c r="EK1310" s="23"/>
      <c r="EL1310" s="23"/>
      <c r="EM1310" s="23"/>
      <c r="EN1310" s="23"/>
      <c r="EO1310" s="23"/>
      <c r="EP1310" s="23"/>
      <c r="EQ1310" s="23"/>
      <c r="ER1310" s="23"/>
    </row>
    <row r="1311" spans="1:148" s="22" customFormat="1" x14ac:dyDescent="0.25">
      <c r="A1311" s="20"/>
      <c r="B1311" s="16"/>
      <c r="C1311" s="473"/>
      <c r="D1311" s="473"/>
      <c r="E1311" s="1164"/>
      <c r="F1311" s="473"/>
      <c r="G1311" s="473"/>
      <c r="H1311" s="1164"/>
      <c r="I1311" s="473"/>
      <c r="J1311" s="473"/>
      <c r="K1311" s="1164"/>
      <c r="L1311" s="473"/>
      <c r="M1311" s="473"/>
      <c r="N1311" s="1164"/>
      <c r="O1311" s="473"/>
      <c r="P1311" s="473"/>
      <c r="Q1311" s="1164"/>
      <c r="R1311" s="473"/>
      <c r="S1311" s="473"/>
      <c r="T1311" s="1164"/>
      <c r="U1311" s="1164"/>
      <c r="V1311" s="473"/>
      <c r="W1311" s="473"/>
      <c r="X1311" s="1164"/>
      <c r="Y1311" s="473"/>
      <c r="Z1311" s="473"/>
      <c r="AA1311" s="1164"/>
      <c r="AB1311" s="473"/>
      <c r="AC1311" s="1164"/>
      <c r="AD1311" s="473"/>
      <c r="AE1311" s="1164"/>
      <c r="AF1311" s="473"/>
      <c r="AG1311" s="1164"/>
      <c r="AH1311" s="473"/>
      <c r="AI1311" s="473"/>
      <c r="AJ1311" s="1164"/>
      <c r="AK1311" s="473"/>
      <c r="AL1311" s="473"/>
      <c r="AM1311" s="1164"/>
      <c r="AN1311" s="473"/>
      <c r="AO1311" s="473"/>
      <c r="AP1311" s="1164"/>
      <c r="AQ1311" s="473"/>
      <c r="AR1311" s="473"/>
      <c r="AS1311" s="1236"/>
      <c r="AT1311" s="473"/>
      <c r="AU1311" s="473"/>
      <c r="AV1311" s="1164"/>
      <c r="AW1311" s="1164"/>
      <c r="AX1311" s="1236"/>
      <c r="AY1311" s="473"/>
      <c r="AZ1311" s="1236"/>
      <c r="BA1311" s="473"/>
      <c r="BB1311" s="473"/>
      <c r="BC1311" s="1164"/>
      <c r="BD1311" s="20"/>
      <c r="BE1311" s="473"/>
      <c r="BF1311" s="610"/>
      <c r="BG1311" s="610"/>
      <c r="BH1311" s="610"/>
      <c r="BI1311" s="610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  <c r="CP1311" s="23"/>
      <c r="CQ1311" s="23"/>
      <c r="CR1311" s="23"/>
      <c r="CS1311" s="23"/>
      <c r="CT1311" s="23"/>
      <c r="CU1311" s="23"/>
      <c r="CV1311" s="23"/>
      <c r="CW1311" s="23"/>
      <c r="CX1311" s="23"/>
      <c r="CY1311" s="23"/>
      <c r="CZ1311" s="23"/>
      <c r="DA1311" s="23"/>
      <c r="DB1311" s="23"/>
      <c r="DC1311" s="23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  <c r="DZ1311" s="23"/>
      <c r="EA1311" s="23"/>
      <c r="EB1311" s="23"/>
      <c r="EC1311" s="23"/>
      <c r="ED1311" s="23"/>
      <c r="EE1311" s="23"/>
      <c r="EF1311" s="23"/>
      <c r="EG1311" s="23"/>
      <c r="EH1311" s="23"/>
      <c r="EI1311" s="23"/>
      <c r="EJ1311" s="23"/>
      <c r="EK1311" s="23"/>
      <c r="EL1311" s="23"/>
      <c r="EM1311" s="23"/>
      <c r="EN1311" s="23"/>
      <c r="EO1311" s="23"/>
      <c r="EP1311" s="23"/>
      <c r="EQ1311" s="23"/>
      <c r="ER1311" s="23"/>
    </row>
    <row r="1312" spans="1:148" s="22" customFormat="1" x14ac:dyDescent="0.25">
      <c r="A1312" s="20"/>
      <c r="B1312" s="16"/>
      <c r="C1312" s="473"/>
      <c r="D1312" s="473"/>
      <c r="E1312" s="1164"/>
      <c r="F1312" s="473"/>
      <c r="G1312" s="473"/>
      <c r="H1312" s="1164"/>
      <c r="I1312" s="473"/>
      <c r="J1312" s="473"/>
      <c r="K1312" s="1164"/>
      <c r="L1312" s="473"/>
      <c r="M1312" s="473"/>
      <c r="N1312" s="1164"/>
      <c r="O1312" s="473"/>
      <c r="P1312" s="473"/>
      <c r="Q1312" s="1164"/>
      <c r="R1312" s="473"/>
      <c r="S1312" s="473"/>
      <c r="T1312" s="1164"/>
      <c r="U1312" s="1164"/>
      <c r="V1312" s="473"/>
      <c r="W1312" s="473"/>
      <c r="X1312" s="1164"/>
      <c r="Y1312" s="473"/>
      <c r="Z1312" s="473"/>
      <c r="AA1312" s="1164"/>
      <c r="AB1312" s="473"/>
      <c r="AC1312" s="1164"/>
      <c r="AD1312" s="473"/>
      <c r="AE1312" s="1164"/>
      <c r="AF1312" s="473"/>
      <c r="AG1312" s="1164"/>
      <c r="AH1312" s="473"/>
      <c r="AI1312" s="473"/>
      <c r="AJ1312" s="1164"/>
      <c r="AK1312" s="473"/>
      <c r="AL1312" s="473"/>
      <c r="AM1312" s="1164"/>
      <c r="AN1312" s="473"/>
      <c r="AO1312" s="473"/>
      <c r="AP1312" s="1164"/>
      <c r="AQ1312" s="473"/>
      <c r="AR1312" s="473"/>
      <c r="AS1312" s="1236"/>
      <c r="AT1312" s="473"/>
      <c r="AU1312" s="473"/>
      <c r="AV1312" s="1164"/>
      <c r="AW1312" s="1164"/>
      <c r="AX1312" s="1236"/>
      <c r="AY1312" s="473"/>
      <c r="AZ1312" s="1236"/>
      <c r="BA1312" s="473"/>
      <c r="BB1312" s="473"/>
      <c r="BC1312" s="1164"/>
      <c r="BD1312" s="20"/>
      <c r="BE1312" s="473"/>
      <c r="BF1312" s="610"/>
      <c r="BG1312" s="610"/>
      <c r="BH1312" s="610"/>
      <c r="BI1312" s="610"/>
      <c r="BJ1312" s="23"/>
      <c r="BK1312" s="23"/>
      <c r="BL1312" s="23"/>
      <c r="BM1312" s="23"/>
      <c r="BN1312" s="23"/>
      <c r="BO1312" s="23"/>
      <c r="BP1312" s="23"/>
      <c r="BQ1312" s="23"/>
      <c r="BR1312" s="23"/>
      <c r="BS1312" s="23"/>
      <c r="BT1312" s="23"/>
      <c r="BU1312" s="23"/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3"/>
      <c r="CG1312" s="23"/>
      <c r="CH1312" s="23"/>
      <c r="CI1312" s="23"/>
      <c r="CJ1312" s="23"/>
      <c r="CK1312" s="23"/>
      <c r="CL1312" s="23"/>
      <c r="CM1312" s="23"/>
      <c r="CN1312" s="23"/>
      <c r="CO1312" s="23"/>
      <c r="CP1312" s="23"/>
      <c r="CQ1312" s="23"/>
      <c r="CR1312" s="23"/>
      <c r="CS1312" s="23"/>
      <c r="CT1312" s="23"/>
      <c r="CU1312" s="23"/>
      <c r="CV1312" s="23"/>
      <c r="CW1312" s="23"/>
      <c r="CX1312" s="23"/>
      <c r="CY1312" s="23"/>
      <c r="CZ1312" s="23"/>
      <c r="DA1312" s="23"/>
      <c r="DB1312" s="23"/>
      <c r="DC1312" s="23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  <c r="DZ1312" s="23"/>
      <c r="EA1312" s="23"/>
      <c r="EB1312" s="23"/>
      <c r="EC1312" s="23"/>
      <c r="ED1312" s="23"/>
      <c r="EE1312" s="23"/>
      <c r="EF1312" s="23"/>
      <c r="EG1312" s="23"/>
      <c r="EH1312" s="23"/>
      <c r="EI1312" s="23"/>
      <c r="EJ1312" s="23"/>
      <c r="EK1312" s="23"/>
      <c r="EL1312" s="23"/>
      <c r="EM1312" s="23"/>
      <c r="EN1312" s="23"/>
      <c r="EO1312" s="23"/>
      <c r="EP1312" s="23"/>
      <c r="EQ1312" s="23"/>
      <c r="ER1312" s="23"/>
    </row>
    <row r="1313" spans="1:148" s="22" customFormat="1" x14ac:dyDescent="0.25">
      <c r="A1313" s="20"/>
      <c r="B1313" s="16"/>
      <c r="C1313" s="473"/>
      <c r="D1313" s="473"/>
      <c r="E1313" s="1164"/>
      <c r="F1313" s="473"/>
      <c r="G1313" s="473"/>
      <c r="H1313" s="1164"/>
      <c r="I1313" s="473"/>
      <c r="J1313" s="473"/>
      <c r="K1313" s="1164"/>
      <c r="L1313" s="473"/>
      <c r="M1313" s="473"/>
      <c r="N1313" s="1164"/>
      <c r="O1313" s="473"/>
      <c r="P1313" s="473"/>
      <c r="Q1313" s="1164"/>
      <c r="R1313" s="473"/>
      <c r="S1313" s="473"/>
      <c r="T1313" s="1164"/>
      <c r="U1313" s="1164"/>
      <c r="V1313" s="473"/>
      <c r="W1313" s="473"/>
      <c r="X1313" s="1164"/>
      <c r="Y1313" s="473"/>
      <c r="Z1313" s="473"/>
      <c r="AA1313" s="1164"/>
      <c r="AB1313" s="473"/>
      <c r="AC1313" s="1164"/>
      <c r="AD1313" s="473"/>
      <c r="AE1313" s="1164"/>
      <c r="AF1313" s="473"/>
      <c r="AG1313" s="1164"/>
      <c r="AH1313" s="473"/>
      <c r="AI1313" s="473"/>
      <c r="AJ1313" s="1164"/>
      <c r="AK1313" s="473"/>
      <c r="AL1313" s="473"/>
      <c r="AM1313" s="1164"/>
      <c r="AN1313" s="473"/>
      <c r="AO1313" s="473"/>
      <c r="AP1313" s="1164"/>
      <c r="AQ1313" s="473"/>
      <c r="AR1313" s="473"/>
      <c r="AS1313" s="1236"/>
      <c r="AT1313" s="473"/>
      <c r="AU1313" s="473"/>
      <c r="AV1313" s="1164"/>
      <c r="AW1313" s="1164"/>
      <c r="AX1313" s="1236"/>
      <c r="AY1313" s="473"/>
      <c r="AZ1313" s="1236"/>
      <c r="BA1313" s="473"/>
      <c r="BB1313" s="473"/>
      <c r="BC1313" s="1164"/>
      <c r="BD1313" s="20"/>
      <c r="BE1313" s="473"/>
      <c r="BF1313" s="610"/>
      <c r="BG1313" s="610"/>
      <c r="BH1313" s="610"/>
      <c r="BI1313" s="610"/>
      <c r="BJ1313" s="23"/>
      <c r="BK1313" s="23"/>
      <c r="BL1313" s="23"/>
      <c r="BM1313" s="23"/>
      <c r="BN1313" s="23"/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3"/>
      <c r="CG1313" s="23"/>
      <c r="CH1313" s="23"/>
      <c r="CI1313" s="23"/>
      <c r="CJ1313" s="23"/>
      <c r="CK1313" s="23"/>
      <c r="CL1313" s="23"/>
      <c r="CM1313" s="23"/>
      <c r="CN1313" s="23"/>
      <c r="CO1313" s="23"/>
      <c r="CP1313" s="23"/>
      <c r="CQ1313" s="23"/>
      <c r="CR1313" s="23"/>
      <c r="CS1313" s="23"/>
      <c r="CT1313" s="23"/>
      <c r="CU1313" s="23"/>
      <c r="CV1313" s="23"/>
      <c r="CW1313" s="23"/>
      <c r="CX1313" s="23"/>
      <c r="CY1313" s="23"/>
      <c r="CZ1313" s="23"/>
      <c r="DA1313" s="23"/>
      <c r="DB1313" s="23"/>
      <c r="DC1313" s="23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  <c r="DZ1313" s="23"/>
      <c r="EA1313" s="23"/>
      <c r="EB1313" s="23"/>
      <c r="EC1313" s="23"/>
      <c r="ED1313" s="23"/>
      <c r="EE1313" s="23"/>
      <c r="EF1313" s="23"/>
      <c r="EG1313" s="23"/>
      <c r="EH1313" s="23"/>
      <c r="EI1313" s="23"/>
      <c r="EJ1313" s="23"/>
      <c r="EK1313" s="23"/>
      <c r="EL1313" s="23"/>
      <c r="EM1313" s="23"/>
      <c r="EN1313" s="23"/>
      <c r="EO1313" s="23"/>
      <c r="EP1313" s="23"/>
      <c r="EQ1313" s="23"/>
      <c r="ER1313" s="23"/>
    </row>
    <row r="1314" spans="1:148" s="22" customFormat="1" x14ac:dyDescent="0.25">
      <c r="A1314" s="20"/>
      <c r="B1314" s="16"/>
      <c r="C1314" s="473"/>
      <c r="D1314" s="473"/>
      <c r="E1314" s="1164"/>
      <c r="F1314" s="473"/>
      <c r="G1314" s="473"/>
      <c r="H1314" s="1164"/>
      <c r="I1314" s="473"/>
      <c r="J1314" s="473"/>
      <c r="K1314" s="1164"/>
      <c r="L1314" s="473"/>
      <c r="M1314" s="473"/>
      <c r="N1314" s="1164"/>
      <c r="O1314" s="473"/>
      <c r="P1314" s="473"/>
      <c r="Q1314" s="1164"/>
      <c r="R1314" s="473"/>
      <c r="S1314" s="473"/>
      <c r="T1314" s="1164"/>
      <c r="U1314" s="1164"/>
      <c r="V1314" s="473"/>
      <c r="W1314" s="473"/>
      <c r="X1314" s="1164"/>
      <c r="Y1314" s="473"/>
      <c r="Z1314" s="473"/>
      <c r="AA1314" s="1164"/>
      <c r="AB1314" s="473"/>
      <c r="AC1314" s="1164"/>
      <c r="AD1314" s="473"/>
      <c r="AE1314" s="1164"/>
      <c r="AF1314" s="473"/>
      <c r="AG1314" s="1164"/>
      <c r="AH1314" s="473"/>
      <c r="AI1314" s="473"/>
      <c r="AJ1314" s="1164"/>
      <c r="AK1314" s="473"/>
      <c r="AL1314" s="473"/>
      <c r="AM1314" s="1164"/>
      <c r="AN1314" s="473"/>
      <c r="AO1314" s="473"/>
      <c r="AP1314" s="1164"/>
      <c r="AQ1314" s="473"/>
      <c r="AR1314" s="473"/>
      <c r="AS1314" s="1236"/>
      <c r="AT1314" s="473"/>
      <c r="AU1314" s="473"/>
      <c r="AV1314" s="1164"/>
      <c r="AW1314" s="1164"/>
      <c r="AX1314" s="1236"/>
      <c r="AY1314" s="473"/>
      <c r="AZ1314" s="1236"/>
      <c r="BA1314" s="473"/>
      <c r="BB1314" s="473"/>
      <c r="BC1314" s="1164"/>
      <c r="BD1314" s="20"/>
      <c r="BE1314" s="473"/>
      <c r="BF1314" s="610"/>
      <c r="BG1314" s="610"/>
      <c r="BH1314" s="610"/>
      <c r="BI1314" s="610"/>
      <c r="BJ1314" s="23"/>
      <c r="BK1314" s="23"/>
      <c r="BL1314" s="23"/>
      <c r="BM1314" s="23"/>
      <c r="BN1314" s="23"/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3"/>
      <c r="CG1314" s="23"/>
      <c r="CH1314" s="23"/>
      <c r="CI1314" s="23"/>
      <c r="CJ1314" s="23"/>
      <c r="CK1314" s="23"/>
      <c r="CL1314" s="23"/>
      <c r="CM1314" s="23"/>
      <c r="CN1314" s="23"/>
      <c r="CO1314" s="23"/>
      <c r="CP1314" s="23"/>
      <c r="CQ1314" s="23"/>
      <c r="CR1314" s="23"/>
      <c r="CS1314" s="23"/>
      <c r="CT1314" s="23"/>
      <c r="CU1314" s="23"/>
      <c r="CV1314" s="23"/>
      <c r="CW1314" s="23"/>
      <c r="CX1314" s="23"/>
      <c r="CY1314" s="23"/>
      <c r="CZ1314" s="23"/>
      <c r="DA1314" s="23"/>
      <c r="DB1314" s="23"/>
      <c r="DC1314" s="23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  <c r="DZ1314" s="23"/>
      <c r="EA1314" s="23"/>
      <c r="EB1314" s="23"/>
      <c r="EC1314" s="23"/>
      <c r="ED1314" s="23"/>
      <c r="EE1314" s="23"/>
      <c r="EF1314" s="23"/>
      <c r="EG1314" s="23"/>
      <c r="EH1314" s="23"/>
      <c r="EI1314" s="23"/>
      <c r="EJ1314" s="23"/>
      <c r="EK1314" s="23"/>
      <c r="EL1314" s="23"/>
      <c r="EM1314" s="23"/>
      <c r="EN1314" s="23"/>
      <c r="EO1314" s="23"/>
      <c r="EP1314" s="23"/>
      <c r="EQ1314" s="23"/>
      <c r="ER1314" s="23"/>
    </row>
    <row r="1315" spans="1:148" s="22" customFormat="1" x14ac:dyDescent="0.25">
      <c r="A1315" s="20"/>
      <c r="B1315" s="16"/>
      <c r="C1315" s="473"/>
      <c r="D1315" s="473"/>
      <c r="E1315" s="1164"/>
      <c r="F1315" s="473"/>
      <c r="G1315" s="473"/>
      <c r="H1315" s="1164"/>
      <c r="I1315" s="473"/>
      <c r="J1315" s="473"/>
      <c r="K1315" s="1164"/>
      <c r="L1315" s="473"/>
      <c r="M1315" s="473"/>
      <c r="N1315" s="1164"/>
      <c r="O1315" s="473"/>
      <c r="P1315" s="473"/>
      <c r="Q1315" s="1164"/>
      <c r="R1315" s="473"/>
      <c r="S1315" s="473"/>
      <c r="T1315" s="1164"/>
      <c r="U1315" s="1164"/>
      <c r="V1315" s="473"/>
      <c r="W1315" s="473"/>
      <c r="X1315" s="1164"/>
      <c r="Y1315" s="473"/>
      <c r="Z1315" s="473"/>
      <c r="AA1315" s="1164"/>
      <c r="AB1315" s="473"/>
      <c r="AC1315" s="1164"/>
      <c r="AD1315" s="473"/>
      <c r="AE1315" s="1164"/>
      <c r="AF1315" s="473"/>
      <c r="AG1315" s="1164"/>
      <c r="AH1315" s="473"/>
      <c r="AI1315" s="473"/>
      <c r="AJ1315" s="1164"/>
      <c r="AK1315" s="473"/>
      <c r="AL1315" s="473"/>
      <c r="AM1315" s="1164"/>
      <c r="AN1315" s="473"/>
      <c r="AO1315" s="473"/>
      <c r="AP1315" s="1164"/>
      <c r="AQ1315" s="473"/>
      <c r="AR1315" s="473"/>
      <c r="AS1315" s="1236"/>
      <c r="AT1315" s="473"/>
      <c r="AU1315" s="473"/>
      <c r="AV1315" s="1164"/>
      <c r="AW1315" s="1164"/>
      <c r="AX1315" s="1236"/>
      <c r="AY1315" s="473"/>
      <c r="AZ1315" s="1236"/>
      <c r="BA1315" s="473"/>
      <c r="BB1315" s="473"/>
      <c r="BC1315" s="1164"/>
      <c r="BD1315" s="20"/>
      <c r="BE1315" s="473"/>
      <c r="BF1315" s="610"/>
      <c r="BG1315" s="610"/>
      <c r="BH1315" s="610"/>
      <c r="BI1315" s="610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3"/>
      <c r="CQ1315" s="23"/>
      <c r="CR1315" s="23"/>
      <c r="CS1315" s="23"/>
      <c r="CT1315" s="23"/>
      <c r="CU1315" s="23"/>
      <c r="CV1315" s="23"/>
      <c r="CW1315" s="23"/>
      <c r="CX1315" s="23"/>
      <c r="CY1315" s="23"/>
      <c r="CZ1315" s="23"/>
      <c r="DA1315" s="23"/>
      <c r="DB1315" s="23"/>
      <c r="DC1315" s="23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  <c r="DZ1315" s="23"/>
      <c r="EA1315" s="23"/>
      <c r="EB1315" s="23"/>
      <c r="EC1315" s="23"/>
      <c r="ED1315" s="23"/>
      <c r="EE1315" s="23"/>
      <c r="EF1315" s="23"/>
      <c r="EG1315" s="23"/>
      <c r="EH1315" s="23"/>
      <c r="EI1315" s="23"/>
      <c r="EJ1315" s="23"/>
      <c r="EK1315" s="23"/>
      <c r="EL1315" s="23"/>
      <c r="EM1315" s="23"/>
      <c r="EN1315" s="23"/>
      <c r="EO1315" s="23"/>
      <c r="EP1315" s="23"/>
      <c r="EQ1315" s="23"/>
      <c r="ER1315" s="23"/>
    </row>
    <row r="1316" spans="1:148" s="22" customFormat="1" x14ac:dyDescent="0.25">
      <c r="A1316" s="20"/>
      <c r="B1316" s="16"/>
      <c r="C1316" s="473"/>
      <c r="D1316" s="473"/>
      <c r="E1316" s="1164"/>
      <c r="F1316" s="473"/>
      <c r="G1316" s="473"/>
      <c r="H1316" s="1164"/>
      <c r="I1316" s="473"/>
      <c r="J1316" s="473"/>
      <c r="K1316" s="1164"/>
      <c r="L1316" s="473"/>
      <c r="M1316" s="473"/>
      <c r="N1316" s="1164"/>
      <c r="O1316" s="473"/>
      <c r="P1316" s="473"/>
      <c r="Q1316" s="1164"/>
      <c r="R1316" s="473"/>
      <c r="S1316" s="473"/>
      <c r="T1316" s="1164"/>
      <c r="U1316" s="1164"/>
      <c r="V1316" s="473"/>
      <c r="W1316" s="473"/>
      <c r="X1316" s="1164"/>
      <c r="Y1316" s="473"/>
      <c r="Z1316" s="473"/>
      <c r="AA1316" s="1164"/>
      <c r="AB1316" s="473"/>
      <c r="AC1316" s="1164"/>
      <c r="AD1316" s="473"/>
      <c r="AE1316" s="1164"/>
      <c r="AF1316" s="473"/>
      <c r="AG1316" s="1164"/>
      <c r="AH1316" s="473"/>
      <c r="AI1316" s="473"/>
      <c r="AJ1316" s="1164"/>
      <c r="AK1316" s="473"/>
      <c r="AL1316" s="473"/>
      <c r="AM1316" s="1164"/>
      <c r="AN1316" s="473"/>
      <c r="AO1316" s="473"/>
      <c r="AP1316" s="1164"/>
      <c r="AQ1316" s="473"/>
      <c r="AR1316" s="473"/>
      <c r="AS1316" s="1236"/>
      <c r="AT1316" s="473"/>
      <c r="AU1316" s="473"/>
      <c r="AV1316" s="1164"/>
      <c r="AW1316" s="1164"/>
      <c r="AX1316" s="1236"/>
      <c r="AY1316" s="473"/>
      <c r="AZ1316" s="1236"/>
      <c r="BA1316" s="473"/>
      <c r="BB1316" s="473"/>
      <c r="BC1316" s="1164"/>
      <c r="BD1316" s="20"/>
      <c r="BE1316" s="473"/>
      <c r="BF1316" s="610"/>
      <c r="BG1316" s="610"/>
      <c r="BH1316" s="610"/>
      <c r="BI1316" s="610"/>
      <c r="BJ1316" s="23"/>
      <c r="BK1316" s="23"/>
      <c r="BL1316" s="23"/>
      <c r="BM1316" s="23"/>
      <c r="BN1316" s="23"/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3"/>
      <c r="CG1316" s="23"/>
      <c r="CH1316" s="23"/>
      <c r="CI1316" s="23"/>
      <c r="CJ1316" s="23"/>
      <c r="CK1316" s="23"/>
      <c r="CL1316" s="23"/>
      <c r="CM1316" s="23"/>
      <c r="CN1316" s="23"/>
      <c r="CO1316" s="23"/>
      <c r="CP1316" s="23"/>
      <c r="CQ1316" s="23"/>
      <c r="CR1316" s="23"/>
      <c r="CS1316" s="23"/>
      <c r="CT1316" s="23"/>
      <c r="CU1316" s="23"/>
      <c r="CV1316" s="23"/>
      <c r="CW1316" s="23"/>
      <c r="CX1316" s="23"/>
      <c r="CY1316" s="23"/>
      <c r="CZ1316" s="23"/>
      <c r="DA1316" s="23"/>
      <c r="DB1316" s="23"/>
      <c r="DC1316" s="23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  <c r="DZ1316" s="23"/>
      <c r="EA1316" s="23"/>
      <c r="EB1316" s="23"/>
      <c r="EC1316" s="23"/>
      <c r="ED1316" s="23"/>
      <c r="EE1316" s="23"/>
      <c r="EF1316" s="23"/>
      <c r="EG1316" s="23"/>
      <c r="EH1316" s="23"/>
      <c r="EI1316" s="23"/>
      <c r="EJ1316" s="23"/>
      <c r="EK1316" s="23"/>
      <c r="EL1316" s="23"/>
      <c r="EM1316" s="23"/>
      <c r="EN1316" s="23"/>
      <c r="EO1316" s="23"/>
      <c r="EP1316" s="23"/>
      <c r="EQ1316" s="23"/>
      <c r="ER1316" s="23"/>
    </row>
    <row r="1317" spans="1:148" s="22" customFormat="1" x14ac:dyDescent="0.25">
      <c r="A1317" s="20"/>
      <c r="B1317" s="16"/>
      <c r="C1317" s="473"/>
      <c r="D1317" s="473"/>
      <c r="E1317" s="1164"/>
      <c r="F1317" s="473"/>
      <c r="G1317" s="473"/>
      <c r="H1317" s="1164"/>
      <c r="I1317" s="473"/>
      <c r="J1317" s="473"/>
      <c r="K1317" s="1164"/>
      <c r="L1317" s="473"/>
      <c r="M1317" s="473"/>
      <c r="N1317" s="1164"/>
      <c r="O1317" s="473"/>
      <c r="P1317" s="473"/>
      <c r="Q1317" s="1164"/>
      <c r="R1317" s="473"/>
      <c r="S1317" s="473"/>
      <c r="T1317" s="1164"/>
      <c r="U1317" s="1164"/>
      <c r="V1317" s="473"/>
      <c r="W1317" s="473"/>
      <c r="X1317" s="1164"/>
      <c r="Y1317" s="473"/>
      <c r="Z1317" s="473"/>
      <c r="AA1317" s="1164"/>
      <c r="AB1317" s="473"/>
      <c r="AC1317" s="1164"/>
      <c r="AD1317" s="473"/>
      <c r="AE1317" s="1164"/>
      <c r="AF1317" s="473"/>
      <c r="AG1317" s="1164"/>
      <c r="AH1317" s="473"/>
      <c r="AI1317" s="473"/>
      <c r="AJ1317" s="1164"/>
      <c r="AK1317" s="473"/>
      <c r="AL1317" s="473"/>
      <c r="AM1317" s="1164"/>
      <c r="AN1317" s="473"/>
      <c r="AO1317" s="473"/>
      <c r="AP1317" s="1164"/>
      <c r="AQ1317" s="473"/>
      <c r="AR1317" s="473"/>
      <c r="AS1317" s="1236"/>
      <c r="AT1317" s="473"/>
      <c r="AU1317" s="473"/>
      <c r="AV1317" s="1164"/>
      <c r="AW1317" s="1164"/>
      <c r="AX1317" s="1236"/>
      <c r="AY1317" s="473"/>
      <c r="AZ1317" s="1236"/>
      <c r="BA1317" s="473"/>
      <c r="BB1317" s="473"/>
      <c r="BC1317" s="1164"/>
      <c r="BD1317" s="20"/>
      <c r="BE1317" s="473"/>
      <c r="BF1317" s="610"/>
      <c r="BG1317" s="610"/>
      <c r="BH1317" s="610"/>
      <c r="BI1317" s="610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  <c r="EF1317" s="23"/>
      <c r="EG1317" s="23"/>
      <c r="EH1317" s="23"/>
      <c r="EI1317" s="23"/>
      <c r="EJ1317" s="23"/>
      <c r="EK1317" s="23"/>
      <c r="EL1317" s="23"/>
      <c r="EM1317" s="23"/>
      <c r="EN1317" s="23"/>
      <c r="EO1317" s="23"/>
      <c r="EP1317" s="23"/>
      <c r="EQ1317" s="23"/>
      <c r="ER1317" s="23"/>
    </row>
    <row r="1318" spans="1:148" s="22" customFormat="1" x14ac:dyDescent="0.25">
      <c r="A1318" s="20"/>
      <c r="B1318" s="16"/>
      <c r="C1318" s="473"/>
      <c r="D1318" s="473"/>
      <c r="E1318" s="1164"/>
      <c r="F1318" s="473"/>
      <c r="G1318" s="473"/>
      <c r="H1318" s="1164"/>
      <c r="I1318" s="473"/>
      <c r="J1318" s="473"/>
      <c r="K1318" s="1164"/>
      <c r="L1318" s="473"/>
      <c r="M1318" s="473"/>
      <c r="N1318" s="1164"/>
      <c r="O1318" s="473"/>
      <c r="P1318" s="473"/>
      <c r="Q1318" s="1164"/>
      <c r="R1318" s="473"/>
      <c r="S1318" s="473"/>
      <c r="T1318" s="1164"/>
      <c r="U1318" s="1164"/>
      <c r="V1318" s="473"/>
      <c r="W1318" s="473"/>
      <c r="X1318" s="1164"/>
      <c r="Y1318" s="473"/>
      <c r="Z1318" s="473"/>
      <c r="AA1318" s="1164"/>
      <c r="AB1318" s="473"/>
      <c r="AC1318" s="1164"/>
      <c r="AD1318" s="473"/>
      <c r="AE1318" s="1164"/>
      <c r="AF1318" s="473"/>
      <c r="AG1318" s="1164"/>
      <c r="AH1318" s="473"/>
      <c r="AI1318" s="473"/>
      <c r="AJ1318" s="1164"/>
      <c r="AK1318" s="473"/>
      <c r="AL1318" s="473"/>
      <c r="AM1318" s="1164"/>
      <c r="AN1318" s="473"/>
      <c r="AO1318" s="473"/>
      <c r="AP1318" s="1164"/>
      <c r="AQ1318" s="473"/>
      <c r="AR1318" s="473"/>
      <c r="AS1318" s="1236"/>
      <c r="AT1318" s="473"/>
      <c r="AU1318" s="473"/>
      <c r="AV1318" s="1164"/>
      <c r="AW1318" s="1164"/>
      <c r="AX1318" s="1236"/>
      <c r="AY1318" s="473"/>
      <c r="AZ1318" s="1236"/>
      <c r="BA1318" s="473"/>
      <c r="BB1318" s="473"/>
      <c r="BC1318" s="1164"/>
      <c r="BD1318" s="20"/>
      <c r="BE1318" s="473"/>
      <c r="BF1318" s="610"/>
      <c r="BG1318" s="610"/>
      <c r="BH1318" s="610"/>
      <c r="BI1318" s="610"/>
      <c r="BJ1318" s="23"/>
      <c r="BK1318" s="23"/>
      <c r="BL1318" s="23"/>
      <c r="BM1318" s="23"/>
      <c r="BN1318" s="23"/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3"/>
      <c r="CG1318" s="23"/>
      <c r="CH1318" s="23"/>
      <c r="CI1318" s="23"/>
      <c r="CJ1318" s="23"/>
      <c r="CK1318" s="23"/>
      <c r="CL1318" s="23"/>
      <c r="CM1318" s="23"/>
      <c r="CN1318" s="23"/>
      <c r="CO1318" s="23"/>
      <c r="CP1318" s="23"/>
      <c r="CQ1318" s="23"/>
      <c r="CR1318" s="23"/>
      <c r="CS1318" s="23"/>
      <c r="CT1318" s="23"/>
      <c r="CU1318" s="23"/>
      <c r="CV1318" s="23"/>
      <c r="CW1318" s="23"/>
      <c r="CX1318" s="23"/>
      <c r="CY1318" s="23"/>
      <c r="CZ1318" s="23"/>
      <c r="DA1318" s="23"/>
      <c r="DB1318" s="23"/>
      <c r="DC1318" s="23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  <c r="DZ1318" s="23"/>
      <c r="EA1318" s="23"/>
      <c r="EB1318" s="23"/>
      <c r="EC1318" s="23"/>
      <c r="ED1318" s="23"/>
      <c r="EE1318" s="23"/>
      <c r="EF1318" s="23"/>
      <c r="EG1318" s="23"/>
      <c r="EH1318" s="23"/>
      <c r="EI1318" s="23"/>
      <c r="EJ1318" s="23"/>
      <c r="EK1318" s="23"/>
      <c r="EL1318" s="23"/>
      <c r="EM1318" s="23"/>
      <c r="EN1318" s="23"/>
      <c r="EO1318" s="23"/>
      <c r="EP1318" s="23"/>
      <c r="EQ1318" s="23"/>
      <c r="ER1318" s="23"/>
    </row>
    <row r="1319" spans="1:148" s="22" customFormat="1" x14ac:dyDescent="0.25">
      <c r="A1319" s="20"/>
      <c r="B1319" s="16"/>
      <c r="C1319" s="473"/>
      <c r="D1319" s="473"/>
      <c r="E1319" s="1164"/>
      <c r="F1319" s="473"/>
      <c r="G1319" s="473"/>
      <c r="H1319" s="1164"/>
      <c r="I1319" s="473"/>
      <c r="J1319" s="473"/>
      <c r="K1319" s="1164"/>
      <c r="L1319" s="473"/>
      <c r="M1319" s="473"/>
      <c r="N1319" s="1164"/>
      <c r="O1319" s="473"/>
      <c r="P1319" s="473"/>
      <c r="Q1319" s="1164"/>
      <c r="R1319" s="473"/>
      <c r="S1319" s="473"/>
      <c r="T1319" s="1164"/>
      <c r="U1319" s="1164"/>
      <c r="V1319" s="473"/>
      <c r="W1319" s="473"/>
      <c r="X1319" s="1164"/>
      <c r="Y1319" s="473"/>
      <c r="Z1319" s="473"/>
      <c r="AA1319" s="1164"/>
      <c r="AB1319" s="473"/>
      <c r="AC1319" s="1164"/>
      <c r="AD1319" s="473"/>
      <c r="AE1319" s="1164"/>
      <c r="AF1319" s="473"/>
      <c r="AG1319" s="1164"/>
      <c r="AH1319" s="473"/>
      <c r="AI1319" s="473"/>
      <c r="AJ1319" s="1164"/>
      <c r="AK1319" s="473"/>
      <c r="AL1319" s="473"/>
      <c r="AM1319" s="1164"/>
      <c r="AN1319" s="473"/>
      <c r="AO1319" s="473"/>
      <c r="AP1319" s="1164"/>
      <c r="AQ1319" s="473"/>
      <c r="AR1319" s="473"/>
      <c r="AS1319" s="1236"/>
      <c r="AT1319" s="473"/>
      <c r="AU1319" s="473"/>
      <c r="AV1319" s="1164"/>
      <c r="AW1319" s="1164"/>
      <c r="AX1319" s="1236"/>
      <c r="AY1319" s="473"/>
      <c r="AZ1319" s="1236"/>
      <c r="BA1319" s="473"/>
      <c r="BB1319" s="473"/>
      <c r="BC1319" s="1164"/>
      <c r="BD1319" s="20"/>
      <c r="BE1319" s="473"/>
      <c r="BF1319" s="610"/>
      <c r="BG1319" s="610"/>
      <c r="BH1319" s="610"/>
      <c r="BI1319" s="610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</row>
    <row r="1320" spans="1:148" s="22" customFormat="1" x14ac:dyDescent="0.25">
      <c r="A1320" s="20"/>
      <c r="B1320" s="16"/>
      <c r="C1320" s="473"/>
      <c r="D1320" s="473"/>
      <c r="E1320" s="1164"/>
      <c r="F1320" s="473"/>
      <c r="G1320" s="473"/>
      <c r="H1320" s="1164"/>
      <c r="I1320" s="473"/>
      <c r="J1320" s="473"/>
      <c r="K1320" s="1164"/>
      <c r="L1320" s="473"/>
      <c r="M1320" s="473"/>
      <c r="N1320" s="1164"/>
      <c r="O1320" s="473"/>
      <c r="P1320" s="473"/>
      <c r="Q1320" s="1164"/>
      <c r="R1320" s="473"/>
      <c r="S1320" s="473"/>
      <c r="T1320" s="1164"/>
      <c r="U1320" s="1164"/>
      <c r="V1320" s="473"/>
      <c r="W1320" s="473"/>
      <c r="X1320" s="1164"/>
      <c r="Y1320" s="473"/>
      <c r="Z1320" s="473"/>
      <c r="AA1320" s="1164"/>
      <c r="AB1320" s="473"/>
      <c r="AC1320" s="1164"/>
      <c r="AD1320" s="473"/>
      <c r="AE1320" s="1164"/>
      <c r="AF1320" s="473"/>
      <c r="AG1320" s="1164"/>
      <c r="AH1320" s="473"/>
      <c r="AI1320" s="473"/>
      <c r="AJ1320" s="1164"/>
      <c r="AK1320" s="473"/>
      <c r="AL1320" s="473"/>
      <c r="AM1320" s="1164"/>
      <c r="AN1320" s="473"/>
      <c r="AO1320" s="473"/>
      <c r="AP1320" s="1164"/>
      <c r="AQ1320" s="473"/>
      <c r="AR1320" s="473"/>
      <c r="AS1320" s="1236"/>
      <c r="AT1320" s="473"/>
      <c r="AU1320" s="473"/>
      <c r="AV1320" s="1164"/>
      <c r="AW1320" s="1164"/>
      <c r="AX1320" s="1236"/>
      <c r="AY1320" s="473"/>
      <c r="AZ1320" s="1236"/>
      <c r="BA1320" s="473"/>
      <c r="BB1320" s="473"/>
      <c r="BC1320" s="1164"/>
      <c r="BD1320" s="20"/>
      <c r="BE1320" s="473"/>
      <c r="BF1320" s="610"/>
      <c r="BG1320" s="610"/>
      <c r="BH1320" s="610"/>
      <c r="BI1320" s="610"/>
      <c r="BJ1320" s="23"/>
      <c r="BK1320" s="23"/>
      <c r="BL1320" s="23"/>
      <c r="BM1320" s="23"/>
      <c r="BN1320" s="23"/>
      <c r="BO1320" s="23"/>
      <c r="BP1320" s="23"/>
      <c r="BQ1320" s="23"/>
      <c r="BR1320" s="23"/>
      <c r="BS1320" s="23"/>
      <c r="BT1320" s="23"/>
      <c r="BU1320" s="23"/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3"/>
      <c r="CG1320" s="23"/>
      <c r="CH1320" s="23"/>
      <c r="CI1320" s="23"/>
      <c r="CJ1320" s="23"/>
      <c r="CK1320" s="23"/>
      <c r="CL1320" s="23"/>
      <c r="CM1320" s="23"/>
      <c r="CN1320" s="23"/>
      <c r="CO1320" s="23"/>
      <c r="CP1320" s="23"/>
      <c r="CQ1320" s="23"/>
      <c r="CR1320" s="23"/>
      <c r="CS1320" s="23"/>
      <c r="CT1320" s="23"/>
      <c r="CU1320" s="23"/>
      <c r="CV1320" s="23"/>
      <c r="CW1320" s="23"/>
      <c r="CX1320" s="23"/>
      <c r="CY1320" s="23"/>
      <c r="CZ1320" s="23"/>
      <c r="DA1320" s="23"/>
      <c r="DB1320" s="23"/>
      <c r="DC1320" s="23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  <c r="DZ1320" s="23"/>
      <c r="EA1320" s="23"/>
      <c r="EB1320" s="23"/>
      <c r="EC1320" s="23"/>
      <c r="ED1320" s="23"/>
      <c r="EE1320" s="23"/>
      <c r="EF1320" s="23"/>
      <c r="EG1320" s="23"/>
      <c r="EH1320" s="23"/>
      <c r="EI1320" s="23"/>
      <c r="EJ1320" s="23"/>
      <c r="EK1320" s="23"/>
      <c r="EL1320" s="23"/>
      <c r="EM1320" s="23"/>
      <c r="EN1320" s="23"/>
      <c r="EO1320" s="23"/>
      <c r="EP1320" s="23"/>
      <c r="EQ1320" s="23"/>
      <c r="ER1320" s="23"/>
    </row>
    <row r="1321" spans="1:148" s="22" customFormat="1" x14ac:dyDescent="0.25">
      <c r="A1321" s="20"/>
      <c r="B1321" s="16"/>
      <c r="C1321" s="473"/>
      <c r="D1321" s="473"/>
      <c r="E1321" s="1164"/>
      <c r="F1321" s="473"/>
      <c r="G1321" s="473"/>
      <c r="H1321" s="1164"/>
      <c r="I1321" s="473"/>
      <c r="J1321" s="473"/>
      <c r="K1321" s="1164"/>
      <c r="L1321" s="473"/>
      <c r="M1321" s="473"/>
      <c r="N1321" s="1164"/>
      <c r="O1321" s="473"/>
      <c r="P1321" s="473"/>
      <c r="Q1321" s="1164"/>
      <c r="R1321" s="473"/>
      <c r="S1321" s="473"/>
      <c r="T1321" s="1164"/>
      <c r="U1321" s="1164"/>
      <c r="V1321" s="473"/>
      <c r="W1321" s="473"/>
      <c r="X1321" s="1164"/>
      <c r="Y1321" s="473"/>
      <c r="Z1321" s="473"/>
      <c r="AA1321" s="1164"/>
      <c r="AB1321" s="473"/>
      <c r="AC1321" s="1164"/>
      <c r="AD1321" s="473"/>
      <c r="AE1321" s="1164"/>
      <c r="AF1321" s="473"/>
      <c r="AG1321" s="1164"/>
      <c r="AH1321" s="473"/>
      <c r="AI1321" s="473"/>
      <c r="AJ1321" s="1164"/>
      <c r="AK1321" s="473"/>
      <c r="AL1321" s="473"/>
      <c r="AM1321" s="1164"/>
      <c r="AN1321" s="473"/>
      <c r="AO1321" s="473"/>
      <c r="AP1321" s="1164"/>
      <c r="AQ1321" s="473"/>
      <c r="AR1321" s="473"/>
      <c r="AS1321" s="1236"/>
      <c r="AT1321" s="473"/>
      <c r="AU1321" s="473"/>
      <c r="AV1321" s="1164"/>
      <c r="AW1321" s="1164"/>
      <c r="AX1321" s="1236"/>
      <c r="AY1321" s="473"/>
      <c r="AZ1321" s="1236"/>
      <c r="BA1321" s="473"/>
      <c r="BB1321" s="473"/>
      <c r="BC1321" s="1164"/>
      <c r="BD1321" s="20"/>
      <c r="BE1321" s="473"/>
      <c r="BF1321" s="610"/>
      <c r="BG1321" s="610"/>
      <c r="BH1321" s="610"/>
      <c r="BI1321" s="610"/>
      <c r="BJ1321" s="23"/>
      <c r="BK1321" s="23"/>
      <c r="BL1321" s="23"/>
      <c r="BM1321" s="23"/>
      <c r="BN1321" s="23"/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23"/>
      <c r="CY1321" s="23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  <c r="EF1321" s="23"/>
      <c r="EG1321" s="23"/>
      <c r="EH1321" s="23"/>
      <c r="EI1321" s="23"/>
      <c r="EJ1321" s="23"/>
      <c r="EK1321" s="23"/>
      <c r="EL1321" s="23"/>
      <c r="EM1321" s="23"/>
      <c r="EN1321" s="23"/>
      <c r="EO1321" s="23"/>
      <c r="EP1321" s="23"/>
      <c r="EQ1321" s="23"/>
      <c r="ER1321" s="23"/>
    </row>
    <row r="1322" spans="1:148" s="22" customFormat="1" x14ac:dyDescent="0.25">
      <c r="A1322" s="20"/>
      <c r="B1322" s="16"/>
      <c r="C1322" s="473"/>
      <c r="D1322" s="473"/>
      <c r="E1322" s="1164"/>
      <c r="F1322" s="473"/>
      <c r="G1322" s="473"/>
      <c r="H1322" s="1164"/>
      <c r="I1322" s="473"/>
      <c r="J1322" s="473"/>
      <c r="K1322" s="1164"/>
      <c r="L1322" s="473"/>
      <c r="M1322" s="473"/>
      <c r="N1322" s="1164"/>
      <c r="O1322" s="473"/>
      <c r="P1322" s="473"/>
      <c r="Q1322" s="1164"/>
      <c r="R1322" s="473"/>
      <c r="S1322" s="473"/>
      <c r="T1322" s="1164"/>
      <c r="U1322" s="1164"/>
      <c r="V1322" s="473"/>
      <c r="W1322" s="473"/>
      <c r="X1322" s="1164"/>
      <c r="Y1322" s="473"/>
      <c r="Z1322" s="473"/>
      <c r="AA1322" s="1164"/>
      <c r="AB1322" s="473"/>
      <c r="AC1322" s="1164"/>
      <c r="AD1322" s="473"/>
      <c r="AE1322" s="1164"/>
      <c r="AF1322" s="473"/>
      <c r="AG1322" s="1164"/>
      <c r="AH1322" s="473"/>
      <c r="AI1322" s="473"/>
      <c r="AJ1322" s="1164"/>
      <c r="AK1322" s="473"/>
      <c r="AL1322" s="473"/>
      <c r="AM1322" s="1164"/>
      <c r="AN1322" s="473"/>
      <c r="AO1322" s="473"/>
      <c r="AP1322" s="1164"/>
      <c r="AQ1322" s="473"/>
      <c r="AR1322" s="473"/>
      <c r="AS1322" s="1236"/>
      <c r="AT1322" s="473"/>
      <c r="AU1322" s="473"/>
      <c r="AV1322" s="1164"/>
      <c r="AW1322" s="1164"/>
      <c r="AX1322" s="1236"/>
      <c r="AY1322" s="473"/>
      <c r="AZ1322" s="1236"/>
      <c r="BA1322" s="473"/>
      <c r="BB1322" s="473"/>
      <c r="BC1322" s="1164"/>
      <c r="BD1322" s="20"/>
      <c r="BE1322" s="473"/>
      <c r="BF1322" s="610"/>
      <c r="BG1322" s="610"/>
      <c r="BH1322" s="610"/>
      <c r="BI1322" s="610"/>
      <c r="BJ1322" s="23"/>
      <c r="BK1322" s="23"/>
      <c r="BL1322" s="23"/>
      <c r="BM1322" s="23"/>
      <c r="BN1322" s="23"/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3"/>
      <c r="CG1322" s="23"/>
      <c r="CH1322" s="23"/>
      <c r="CI1322" s="23"/>
      <c r="CJ1322" s="23"/>
      <c r="CK1322" s="23"/>
      <c r="CL1322" s="23"/>
      <c r="CM1322" s="23"/>
      <c r="CN1322" s="23"/>
      <c r="CO1322" s="23"/>
      <c r="CP1322" s="23"/>
      <c r="CQ1322" s="23"/>
      <c r="CR1322" s="23"/>
      <c r="CS1322" s="23"/>
      <c r="CT1322" s="23"/>
      <c r="CU1322" s="23"/>
      <c r="CV1322" s="23"/>
      <c r="CW1322" s="23"/>
      <c r="CX1322" s="23"/>
      <c r="CY1322" s="23"/>
      <c r="CZ1322" s="23"/>
      <c r="DA1322" s="23"/>
      <c r="DB1322" s="23"/>
      <c r="DC1322" s="23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  <c r="DZ1322" s="23"/>
      <c r="EA1322" s="23"/>
      <c r="EB1322" s="23"/>
      <c r="EC1322" s="23"/>
      <c r="ED1322" s="23"/>
      <c r="EE1322" s="23"/>
      <c r="EF1322" s="23"/>
      <c r="EG1322" s="23"/>
      <c r="EH1322" s="23"/>
      <c r="EI1322" s="23"/>
      <c r="EJ1322" s="23"/>
      <c r="EK1322" s="23"/>
      <c r="EL1322" s="23"/>
      <c r="EM1322" s="23"/>
      <c r="EN1322" s="23"/>
      <c r="EO1322" s="23"/>
      <c r="EP1322" s="23"/>
      <c r="EQ1322" s="23"/>
      <c r="ER1322" s="23"/>
    </row>
    <row r="1323" spans="1:148" s="22" customFormat="1" x14ac:dyDescent="0.25">
      <c r="A1323" s="20"/>
      <c r="B1323" s="16"/>
      <c r="C1323" s="473"/>
      <c r="D1323" s="473"/>
      <c r="E1323" s="1164"/>
      <c r="F1323" s="473"/>
      <c r="G1323" s="473"/>
      <c r="H1323" s="1164"/>
      <c r="I1323" s="473"/>
      <c r="J1323" s="473"/>
      <c r="K1323" s="1164"/>
      <c r="L1323" s="473"/>
      <c r="M1323" s="473"/>
      <c r="N1323" s="1164"/>
      <c r="O1323" s="473"/>
      <c r="P1323" s="473"/>
      <c r="Q1323" s="1164"/>
      <c r="R1323" s="473"/>
      <c r="S1323" s="473"/>
      <c r="T1323" s="1164"/>
      <c r="U1323" s="1164"/>
      <c r="V1323" s="473"/>
      <c r="W1323" s="473"/>
      <c r="X1323" s="1164"/>
      <c r="Y1323" s="473"/>
      <c r="Z1323" s="473"/>
      <c r="AA1323" s="1164"/>
      <c r="AB1323" s="473"/>
      <c r="AC1323" s="1164"/>
      <c r="AD1323" s="473"/>
      <c r="AE1323" s="1164"/>
      <c r="AF1323" s="473"/>
      <c r="AG1323" s="1164"/>
      <c r="AH1323" s="473"/>
      <c r="AI1323" s="473"/>
      <c r="AJ1323" s="1164"/>
      <c r="AK1323" s="473"/>
      <c r="AL1323" s="473"/>
      <c r="AM1323" s="1164"/>
      <c r="AN1323" s="473"/>
      <c r="AO1323" s="473"/>
      <c r="AP1323" s="1164"/>
      <c r="AQ1323" s="473"/>
      <c r="AR1323" s="473"/>
      <c r="AS1323" s="1236"/>
      <c r="AT1323" s="473"/>
      <c r="AU1323" s="473"/>
      <c r="AV1323" s="1164"/>
      <c r="AW1323" s="1164"/>
      <c r="AX1323" s="1236"/>
      <c r="AY1323" s="473"/>
      <c r="AZ1323" s="1236"/>
      <c r="BA1323" s="473"/>
      <c r="BB1323" s="473"/>
      <c r="BC1323" s="1164"/>
      <c r="BD1323" s="20"/>
      <c r="BE1323" s="473"/>
      <c r="BF1323" s="610"/>
      <c r="BG1323" s="610"/>
      <c r="BH1323" s="610"/>
      <c r="BI1323" s="610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  <c r="CM1323" s="23"/>
      <c r="CN1323" s="23"/>
      <c r="CO1323" s="23"/>
      <c r="CP1323" s="23"/>
      <c r="CQ1323" s="23"/>
      <c r="CR1323" s="23"/>
      <c r="CS1323" s="23"/>
      <c r="CT1323" s="23"/>
      <c r="CU1323" s="23"/>
      <c r="CV1323" s="23"/>
      <c r="CW1323" s="23"/>
      <c r="CX1323" s="23"/>
      <c r="CY1323" s="23"/>
      <c r="CZ1323" s="23"/>
      <c r="DA1323" s="23"/>
      <c r="DB1323" s="23"/>
      <c r="DC1323" s="23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  <c r="DZ1323" s="23"/>
      <c r="EA1323" s="23"/>
      <c r="EB1323" s="23"/>
      <c r="EC1323" s="23"/>
      <c r="ED1323" s="23"/>
      <c r="EE1323" s="23"/>
      <c r="EF1323" s="23"/>
      <c r="EG1323" s="23"/>
      <c r="EH1323" s="23"/>
      <c r="EI1323" s="23"/>
      <c r="EJ1323" s="23"/>
      <c r="EK1323" s="23"/>
      <c r="EL1323" s="23"/>
      <c r="EM1323" s="23"/>
      <c r="EN1323" s="23"/>
      <c r="EO1323" s="23"/>
      <c r="EP1323" s="23"/>
      <c r="EQ1323" s="23"/>
      <c r="ER1323" s="23"/>
    </row>
    <row r="1324" spans="1:148" s="22" customFormat="1" x14ac:dyDescent="0.25">
      <c r="A1324" s="20"/>
      <c r="B1324" s="16"/>
      <c r="C1324" s="473"/>
      <c r="D1324" s="473"/>
      <c r="E1324" s="1164"/>
      <c r="F1324" s="473"/>
      <c r="G1324" s="473"/>
      <c r="H1324" s="1164"/>
      <c r="I1324" s="473"/>
      <c r="J1324" s="473"/>
      <c r="K1324" s="1164"/>
      <c r="L1324" s="473"/>
      <c r="M1324" s="473"/>
      <c r="N1324" s="1164"/>
      <c r="O1324" s="473"/>
      <c r="P1324" s="473"/>
      <c r="Q1324" s="1164"/>
      <c r="R1324" s="473"/>
      <c r="S1324" s="473"/>
      <c r="T1324" s="1164"/>
      <c r="U1324" s="1164"/>
      <c r="V1324" s="473"/>
      <c r="W1324" s="473"/>
      <c r="X1324" s="1164"/>
      <c r="Y1324" s="473"/>
      <c r="Z1324" s="473"/>
      <c r="AA1324" s="1164"/>
      <c r="AB1324" s="473"/>
      <c r="AC1324" s="1164"/>
      <c r="AD1324" s="473"/>
      <c r="AE1324" s="1164"/>
      <c r="AF1324" s="473"/>
      <c r="AG1324" s="1164"/>
      <c r="AH1324" s="473"/>
      <c r="AI1324" s="473"/>
      <c r="AJ1324" s="1164"/>
      <c r="AK1324" s="473"/>
      <c r="AL1324" s="473"/>
      <c r="AM1324" s="1164"/>
      <c r="AN1324" s="473"/>
      <c r="AO1324" s="473"/>
      <c r="AP1324" s="1164"/>
      <c r="AQ1324" s="473"/>
      <c r="AR1324" s="473"/>
      <c r="AS1324" s="1236"/>
      <c r="AT1324" s="473"/>
      <c r="AU1324" s="473"/>
      <c r="AV1324" s="1164"/>
      <c r="AW1324" s="1164"/>
      <c r="AX1324" s="1236"/>
      <c r="AY1324" s="473"/>
      <c r="AZ1324" s="1236"/>
      <c r="BA1324" s="473"/>
      <c r="BB1324" s="473"/>
      <c r="BC1324" s="1164"/>
      <c r="BD1324" s="20"/>
      <c r="BE1324" s="473"/>
      <c r="BF1324" s="610"/>
      <c r="BG1324" s="610"/>
      <c r="BH1324" s="610"/>
      <c r="BI1324" s="610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  <c r="CM1324" s="23"/>
      <c r="CN1324" s="23"/>
      <c r="CO1324" s="23"/>
      <c r="CP1324" s="23"/>
      <c r="CQ1324" s="23"/>
      <c r="CR1324" s="23"/>
      <c r="CS1324" s="23"/>
      <c r="CT1324" s="23"/>
      <c r="CU1324" s="23"/>
      <c r="CV1324" s="23"/>
      <c r="CW1324" s="23"/>
      <c r="CX1324" s="23"/>
      <c r="CY1324" s="23"/>
      <c r="CZ1324" s="23"/>
      <c r="DA1324" s="23"/>
      <c r="DB1324" s="23"/>
      <c r="DC1324" s="23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  <c r="DZ1324" s="23"/>
      <c r="EA1324" s="23"/>
      <c r="EB1324" s="23"/>
      <c r="EC1324" s="23"/>
      <c r="ED1324" s="23"/>
      <c r="EE1324" s="23"/>
      <c r="EF1324" s="23"/>
      <c r="EG1324" s="23"/>
      <c r="EH1324" s="23"/>
      <c r="EI1324" s="23"/>
      <c r="EJ1324" s="23"/>
      <c r="EK1324" s="23"/>
      <c r="EL1324" s="23"/>
      <c r="EM1324" s="23"/>
      <c r="EN1324" s="23"/>
      <c r="EO1324" s="23"/>
      <c r="EP1324" s="23"/>
      <c r="EQ1324" s="23"/>
      <c r="ER1324" s="23"/>
    </row>
    <row r="1325" spans="1:148" s="22" customFormat="1" x14ac:dyDescent="0.25">
      <c r="A1325" s="20"/>
      <c r="B1325" s="16"/>
      <c r="C1325" s="473"/>
      <c r="D1325" s="473"/>
      <c r="E1325" s="1164"/>
      <c r="F1325" s="473"/>
      <c r="G1325" s="473"/>
      <c r="H1325" s="1164"/>
      <c r="I1325" s="473"/>
      <c r="J1325" s="473"/>
      <c r="K1325" s="1164"/>
      <c r="L1325" s="473"/>
      <c r="M1325" s="473"/>
      <c r="N1325" s="1164"/>
      <c r="O1325" s="473"/>
      <c r="P1325" s="473"/>
      <c r="Q1325" s="1164"/>
      <c r="R1325" s="473"/>
      <c r="S1325" s="473"/>
      <c r="T1325" s="1164"/>
      <c r="U1325" s="1164"/>
      <c r="V1325" s="473"/>
      <c r="W1325" s="473"/>
      <c r="X1325" s="1164"/>
      <c r="Y1325" s="473"/>
      <c r="Z1325" s="473"/>
      <c r="AA1325" s="1164"/>
      <c r="AB1325" s="473"/>
      <c r="AC1325" s="1164"/>
      <c r="AD1325" s="473"/>
      <c r="AE1325" s="1164"/>
      <c r="AF1325" s="473"/>
      <c r="AG1325" s="1164"/>
      <c r="AH1325" s="473"/>
      <c r="AI1325" s="473"/>
      <c r="AJ1325" s="1164"/>
      <c r="AK1325" s="473"/>
      <c r="AL1325" s="473"/>
      <c r="AM1325" s="1164"/>
      <c r="AN1325" s="473"/>
      <c r="AO1325" s="473"/>
      <c r="AP1325" s="1164"/>
      <c r="AQ1325" s="473"/>
      <c r="AR1325" s="473"/>
      <c r="AS1325" s="1236"/>
      <c r="AT1325" s="473"/>
      <c r="AU1325" s="473"/>
      <c r="AV1325" s="1164"/>
      <c r="AW1325" s="1164"/>
      <c r="AX1325" s="1236"/>
      <c r="AY1325" s="473"/>
      <c r="AZ1325" s="1236"/>
      <c r="BA1325" s="473"/>
      <c r="BB1325" s="473"/>
      <c r="BC1325" s="1164"/>
      <c r="BD1325" s="20"/>
      <c r="BE1325" s="473"/>
      <c r="BF1325" s="610"/>
      <c r="BG1325" s="610"/>
      <c r="BH1325" s="610"/>
      <c r="BI1325" s="610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  <c r="CM1325" s="23"/>
      <c r="CN1325" s="23"/>
      <c r="CO1325" s="23"/>
      <c r="CP1325" s="23"/>
      <c r="CQ1325" s="23"/>
      <c r="CR1325" s="23"/>
      <c r="CS1325" s="23"/>
      <c r="CT1325" s="23"/>
      <c r="CU1325" s="23"/>
      <c r="CV1325" s="23"/>
      <c r="CW1325" s="23"/>
      <c r="CX1325" s="23"/>
      <c r="CY1325" s="23"/>
      <c r="CZ1325" s="23"/>
      <c r="DA1325" s="23"/>
      <c r="DB1325" s="23"/>
      <c r="DC1325" s="23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  <c r="DZ1325" s="23"/>
      <c r="EA1325" s="23"/>
      <c r="EB1325" s="23"/>
      <c r="EC1325" s="23"/>
      <c r="ED1325" s="23"/>
      <c r="EE1325" s="23"/>
      <c r="EF1325" s="23"/>
      <c r="EG1325" s="23"/>
      <c r="EH1325" s="23"/>
      <c r="EI1325" s="23"/>
      <c r="EJ1325" s="23"/>
      <c r="EK1325" s="23"/>
      <c r="EL1325" s="23"/>
      <c r="EM1325" s="23"/>
      <c r="EN1325" s="23"/>
      <c r="EO1325" s="23"/>
      <c r="EP1325" s="23"/>
      <c r="EQ1325" s="23"/>
      <c r="ER1325" s="23"/>
    </row>
    <row r="1326" spans="1:148" s="22" customFormat="1" x14ac:dyDescent="0.25">
      <c r="A1326" s="20"/>
      <c r="B1326" s="16"/>
      <c r="C1326" s="473"/>
      <c r="D1326" s="473"/>
      <c r="E1326" s="1164"/>
      <c r="F1326" s="473"/>
      <c r="G1326" s="473"/>
      <c r="H1326" s="1164"/>
      <c r="I1326" s="473"/>
      <c r="J1326" s="473"/>
      <c r="K1326" s="1164"/>
      <c r="L1326" s="473"/>
      <c r="M1326" s="473"/>
      <c r="N1326" s="1164"/>
      <c r="O1326" s="473"/>
      <c r="P1326" s="473"/>
      <c r="Q1326" s="1164"/>
      <c r="R1326" s="473"/>
      <c r="S1326" s="473"/>
      <c r="T1326" s="1164"/>
      <c r="U1326" s="1164"/>
      <c r="V1326" s="473"/>
      <c r="W1326" s="473"/>
      <c r="X1326" s="1164"/>
      <c r="Y1326" s="473"/>
      <c r="Z1326" s="473"/>
      <c r="AA1326" s="1164"/>
      <c r="AB1326" s="473"/>
      <c r="AC1326" s="1164"/>
      <c r="AD1326" s="473"/>
      <c r="AE1326" s="1164"/>
      <c r="AF1326" s="473"/>
      <c r="AG1326" s="1164"/>
      <c r="AH1326" s="473"/>
      <c r="AI1326" s="473"/>
      <c r="AJ1326" s="1164"/>
      <c r="AK1326" s="473"/>
      <c r="AL1326" s="473"/>
      <c r="AM1326" s="1164"/>
      <c r="AN1326" s="473"/>
      <c r="AO1326" s="473"/>
      <c r="AP1326" s="1164"/>
      <c r="AQ1326" s="473"/>
      <c r="AR1326" s="473"/>
      <c r="AS1326" s="1236"/>
      <c r="AT1326" s="473"/>
      <c r="AU1326" s="473"/>
      <c r="AV1326" s="1164"/>
      <c r="AW1326" s="1164"/>
      <c r="AX1326" s="1236"/>
      <c r="AY1326" s="473"/>
      <c r="AZ1326" s="1236"/>
      <c r="BA1326" s="473"/>
      <c r="BB1326" s="473"/>
      <c r="BC1326" s="1164"/>
      <c r="BD1326" s="20"/>
      <c r="BE1326" s="473"/>
      <c r="BF1326" s="610"/>
      <c r="BG1326" s="610"/>
      <c r="BH1326" s="610"/>
      <c r="BI1326" s="610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  <c r="CM1326" s="23"/>
      <c r="CN1326" s="23"/>
      <c r="CO1326" s="23"/>
      <c r="CP1326" s="23"/>
      <c r="CQ1326" s="23"/>
      <c r="CR1326" s="23"/>
      <c r="CS1326" s="23"/>
      <c r="CT1326" s="23"/>
      <c r="CU1326" s="23"/>
      <c r="CV1326" s="23"/>
      <c r="CW1326" s="23"/>
      <c r="CX1326" s="23"/>
      <c r="CY1326" s="23"/>
      <c r="CZ1326" s="23"/>
      <c r="DA1326" s="23"/>
      <c r="DB1326" s="23"/>
      <c r="DC1326" s="23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  <c r="DZ1326" s="23"/>
      <c r="EA1326" s="23"/>
      <c r="EB1326" s="23"/>
      <c r="EC1326" s="23"/>
      <c r="ED1326" s="23"/>
      <c r="EE1326" s="23"/>
      <c r="EF1326" s="23"/>
      <c r="EG1326" s="23"/>
      <c r="EH1326" s="23"/>
      <c r="EI1326" s="23"/>
      <c r="EJ1326" s="23"/>
      <c r="EK1326" s="23"/>
      <c r="EL1326" s="23"/>
      <c r="EM1326" s="23"/>
      <c r="EN1326" s="23"/>
      <c r="EO1326" s="23"/>
      <c r="EP1326" s="23"/>
      <c r="EQ1326" s="23"/>
      <c r="ER1326" s="23"/>
    </row>
    <row r="1327" spans="1:148" s="22" customFormat="1" x14ac:dyDescent="0.25">
      <c r="A1327" s="20"/>
      <c r="B1327" s="16"/>
      <c r="C1327" s="473"/>
      <c r="D1327" s="473"/>
      <c r="E1327" s="1164"/>
      <c r="F1327" s="473"/>
      <c r="G1327" s="473"/>
      <c r="H1327" s="1164"/>
      <c r="I1327" s="473"/>
      <c r="J1327" s="473"/>
      <c r="K1327" s="1164"/>
      <c r="L1327" s="473"/>
      <c r="M1327" s="473"/>
      <c r="N1327" s="1164"/>
      <c r="O1327" s="473"/>
      <c r="P1327" s="473"/>
      <c r="Q1327" s="1164"/>
      <c r="R1327" s="473"/>
      <c r="S1327" s="473"/>
      <c r="T1327" s="1164"/>
      <c r="U1327" s="1164"/>
      <c r="V1327" s="473"/>
      <c r="W1327" s="473"/>
      <c r="X1327" s="1164"/>
      <c r="Y1327" s="473"/>
      <c r="Z1327" s="473"/>
      <c r="AA1327" s="1164"/>
      <c r="AB1327" s="473"/>
      <c r="AC1327" s="1164"/>
      <c r="AD1327" s="473"/>
      <c r="AE1327" s="1164"/>
      <c r="AF1327" s="473"/>
      <c r="AG1327" s="1164"/>
      <c r="AH1327" s="473"/>
      <c r="AI1327" s="473"/>
      <c r="AJ1327" s="1164"/>
      <c r="AK1327" s="473"/>
      <c r="AL1327" s="473"/>
      <c r="AM1327" s="1164"/>
      <c r="AN1327" s="473"/>
      <c r="AO1327" s="473"/>
      <c r="AP1327" s="1164"/>
      <c r="AQ1327" s="473"/>
      <c r="AR1327" s="473"/>
      <c r="AS1327" s="1236"/>
      <c r="AT1327" s="473"/>
      <c r="AU1327" s="473"/>
      <c r="AV1327" s="1164"/>
      <c r="AW1327" s="1164"/>
      <c r="AX1327" s="1236"/>
      <c r="AY1327" s="473"/>
      <c r="AZ1327" s="1236"/>
      <c r="BA1327" s="473"/>
      <c r="BB1327" s="473"/>
      <c r="BC1327" s="1164"/>
      <c r="BD1327" s="20"/>
      <c r="BE1327" s="473"/>
      <c r="BF1327" s="610"/>
      <c r="BG1327" s="610"/>
      <c r="BH1327" s="610"/>
      <c r="BI1327" s="610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  <c r="CM1327" s="23"/>
      <c r="CN1327" s="23"/>
      <c r="CO1327" s="23"/>
      <c r="CP1327" s="23"/>
      <c r="CQ1327" s="23"/>
      <c r="CR1327" s="23"/>
      <c r="CS1327" s="23"/>
      <c r="CT1327" s="23"/>
      <c r="CU1327" s="23"/>
      <c r="CV1327" s="23"/>
      <c r="CW1327" s="23"/>
      <c r="CX1327" s="23"/>
      <c r="CY1327" s="23"/>
      <c r="CZ1327" s="23"/>
      <c r="DA1327" s="23"/>
      <c r="DB1327" s="23"/>
      <c r="DC1327" s="23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  <c r="DZ1327" s="23"/>
      <c r="EA1327" s="23"/>
      <c r="EB1327" s="23"/>
      <c r="EC1327" s="23"/>
      <c r="ED1327" s="23"/>
      <c r="EE1327" s="23"/>
      <c r="EF1327" s="23"/>
      <c r="EG1327" s="23"/>
      <c r="EH1327" s="23"/>
      <c r="EI1327" s="23"/>
      <c r="EJ1327" s="23"/>
      <c r="EK1327" s="23"/>
      <c r="EL1327" s="23"/>
      <c r="EM1327" s="23"/>
      <c r="EN1327" s="23"/>
      <c r="EO1327" s="23"/>
      <c r="EP1327" s="23"/>
      <c r="EQ1327" s="23"/>
      <c r="ER1327" s="23"/>
    </row>
    <row r="1328" spans="1:148" s="22" customFormat="1" x14ac:dyDescent="0.25">
      <c r="A1328" s="20"/>
      <c r="B1328" s="16"/>
      <c r="C1328" s="473"/>
      <c r="D1328" s="473"/>
      <c r="E1328" s="1164"/>
      <c r="F1328" s="473"/>
      <c r="G1328" s="473"/>
      <c r="H1328" s="1164"/>
      <c r="I1328" s="473"/>
      <c r="J1328" s="473"/>
      <c r="K1328" s="1164"/>
      <c r="L1328" s="473"/>
      <c r="M1328" s="473"/>
      <c r="N1328" s="1164"/>
      <c r="O1328" s="473"/>
      <c r="P1328" s="473"/>
      <c r="Q1328" s="1164"/>
      <c r="R1328" s="473"/>
      <c r="S1328" s="473"/>
      <c r="T1328" s="1164"/>
      <c r="U1328" s="1164"/>
      <c r="V1328" s="473"/>
      <c r="W1328" s="473"/>
      <c r="X1328" s="1164"/>
      <c r="Y1328" s="473"/>
      <c r="Z1328" s="473"/>
      <c r="AA1328" s="1164"/>
      <c r="AB1328" s="473"/>
      <c r="AC1328" s="1164"/>
      <c r="AD1328" s="473"/>
      <c r="AE1328" s="1164"/>
      <c r="AF1328" s="473"/>
      <c r="AG1328" s="1164"/>
      <c r="AH1328" s="473"/>
      <c r="AI1328" s="473"/>
      <c r="AJ1328" s="1164"/>
      <c r="AK1328" s="473"/>
      <c r="AL1328" s="473"/>
      <c r="AM1328" s="1164"/>
      <c r="AN1328" s="473"/>
      <c r="AO1328" s="473"/>
      <c r="AP1328" s="1164"/>
      <c r="AQ1328" s="473"/>
      <c r="AR1328" s="473"/>
      <c r="AS1328" s="1236"/>
      <c r="AT1328" s="473"/>
      <c r="AU1328" s="473"/>
      <c r="AV1328" s="1164"/>
      <c r="AW1328" s="1164"/>
      <c r="AX1328" s="1236"/>
      <c r="AY1328" s="473"/>
      <c r="AZ1328" s="1236"/>
      <c r="BA1328" s="473"/>
      <c r="BB1328" s="473"/>
      <c r="BC1328" s="1164"/>
      <c r="BD1328" s="20"/>
      <c r="BE1328" s="473"/>
      <c r="BF1328" s="610"/>
      <c r="BG1328" s="610"/>
      <c r="BH1328" s="610"/>
      <c r="BI1328" s="610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  <c r="CM1328" s="23"/>
      <c r="CN1328" s="23"/>
      <c r="CO1328" s="23"/>
      <c r="CP1328" s="23"/>
      <c r="CQ1328" s="23"/>
      <c r="CR1328" s="23"/>
      <c r="CS1328" s="23"/>
      <c r="CT1328" s="23"/>
      <c r="CU1328" s="23"/>
      <c r="CV1328" s="23"/>
      <c r="CW1328" s="23"/>
      <c r="CX1328" s="23"/>
      <c r="CY1328" s="23"/>
      <c r="CZ1328" s="23"/>
      <c r="DA1328" s="23"/>
      <c r="DB1328" s="23"/>
      <c r="DC1328" s="23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  <c r="DZ1328" s="23"/>
      <c r="EA1328" s="23"/>
      <c r="EB1328" s="23"/>
      <c r="EC1328" s="23"/>
      <c r="ED1328" s="23"/>
      <c r="EE1328" s="23"/>
      <c r="EF1328" s="23"/>
      <c r="EG1328" s="23"/>
      <c r="EH1328" s="23"/>
      <c r="EI1328" s="23"/>
      <c r="EJ1328" s="23"/>
      <c r="EK1328" s="23"/>
      <c r="EL1328" s="23"/>
      <c r="EM1328" s="23"/>
      <c r="EN1328" s="23"/>
      <c r="EO1328" s="23"/>
      <c r="EP1328" s="23"/>
      <c r="EQ1328" s="23"/>
      <c r="ER1328" s="23"/>
    </row>
    <row r="1329" spans="1:148" s="22" customFormat="1" x14ac:dyDescent="0.25">
      <c r="A1329" s="20"/>
      <c r="B1329" s="16"/>
      <c r="C1329" s="473"/>
      <c r="D1329" s="473"/>
      <c r="E1329" s="1164"/>
      <c r="F1329" s="473"/>
      <c r="G1329" s="473"/>
      <c r="H1329" s="1164"/>
      <c r="I1329" s="473"/>
      <c r="J1329" s="473"/>
      <c r="K1329" s="1164"/>
      <c r="L1329" s="473"/>
      <c r="M1329" s="473"/>
      <c r="N1329" s="1164"/>
      <c r="O1329" s="473"/>
      <c r="P1329" s="473"/>
      <c r="Q1329" s="1164"/>
      <c r="R1329" s="473"/>
      <c r="S1329" s="473"/>
      <c r="T1329" s="1164"/>
      <c r="U1329" s="1164"/>
      <c r="V1329" s="473"/>
      <c r="W1329" s="473"/>
      <c r="X1329" s="1164"/>
      <c r="Y1329" s="473"/>
      <c r="Z1329" s="473"/>
      <c r="AA1329" s="1164"/>
      <c r="AB1329" s="473"/>
      <c r="AC1329" s="1164"/>
      <c r="AD1329" s="473"/>
      <c r="AE1329" s="1164"/>
      <c r="AF1329" s="473"/>
      <c r="AG1329" s="1164"/>
      <c r="AH1329" s="473"/>
      <c r="AI1329" s="473"/>
      <c r="AJ1329" s="1164"/>
      <c r="AK1329" s="473"/>
      <c r="AL1329" s="473"/>
      <c r="AM1329" s="1164"/>
      <c r="AN1329" s="473"/>
      <c r="AO1329" s="473"/>
      <c r="AP1329" s="1164"/>
      <c r="AQ1329" s="473"/>
      <c r="AR1329" s="473"/>
      <c r="AS1329" s="1236"/>
      <c r="AT1329" s="473"/>
      <c r="AU1329" s="473"/>
      <c r="AV1329" s="1164"/>
      <c r="AW1329" s="1164"/>
      <c r="AX1329" s="1236"/>
      <c r="AY1329" s="473"/>
      <c r="AZ1329" s="1236"/>
      <c r="BA1329" s="473"/>
      <c r="BB1329" s="473"/>
      <c r="BC1329" s="1164"/>
      <c r="BD1329" s="20"/>
      <c r="BE1329" s="473"/>
      <c r="BF1329" s="610"/>
      <c r="BG1329" s="610"/>
      <c r="BH1329" s="610"/>
      <c r="BI1329" s="610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  <c r="CM1329" s="23"/>
      <c r="CN1329" s="23"/>
      <c r="CO1329" s="23"/>
      <c r="CP1329" s="23"/>
      <c r="CQ1329" s="23"/>
      <c r="CR1329" s="23"/>
      <c r="CS1329" s="23"/>
      <c r="CT1329" s="23"/>
      <c r="CU1329" s="23"/>
      <c r="CV1329" s="23"/>
      <c r="CW1329" s="23"/>
      <c r="CX1329" s="23"/>
      <c r="CY1329" s="23"/>
      <c r="CZ1329" s="23"/>
      <c r="DA1329" s="23"/>
      <c r="DB1329" s="23"/>
      <c r="DC1329" s="23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  <c r="DZ1329" s="23"/>
      <c r="EA1329" s="23"/>
      <c r="EB1329" s="23"/>
      <c r="EC1329" s="23"/>
      <c r="ED1329" s="23"/>
      <c r="EE1329" s="23"/>
      <c r="EF1329" s="23"/>
      <c r="EG1329" s="23"/>
      <c r="EH1329" s="23"/>
      <c r="EI1329" s="23"/>
      <c r="EJ1329" s="23"/>
      <c r="EK1329" s="23"/>
      <c r="EL1329" s="23"/>
      <c r="EM1329" s="23"/>
      <c r="EN1329" s="23"/>
      <c r="EO1329" s="23"/>
      <c r="EP1329" s="23"/>
      <c r="EQ1329" s="23"/>
      <c r="ER1329" s="23"/>
    </row>
    <row r="1330" spans="1:148" s="22" customFormat="1" x14ac:dyDescent="0.25">
      <c r="A1330" s="20"/>
      <c r="B1330" s="16"/>
      <c r="C1330" s="473"/>
      <c r="D1330" s="473"/>
      <c r="E1330" s="1164"/>
      <c r="F1330" s="473"/>
      <c r="G1330" s="473"/>
      <c r="H1330" s="1164"/>
      <c r="I1330" s="473"/>
      <c r="J1330" s="473"/>
      <c r="K1330" s="1164"/>
      <c r="L1330" s="473"/>
      <c r="M1330" s="473"/>
      <c r="N1330" s="1164"/>
      <c r="O1330" s="473"/>
      <c r="P1330" s="473"/>
      <c r="Q1330" s="1164"/>
      <c r="R1330" s="473"/>
      <c r="S1330" s="473"/>
      <c r="T1330" s="1164"/>
      <c r="U1330" s="1164"/>
      <c r="V1330" s="473"/>
      <c r="W1330" s="473"/>
      <c r="X1330" s="1164"/>
      <c r="Y1330" s="473"/>
      <c r="Z1330" s="473"/>
      <c r="AA1330" s="1164"/>
      <c r="AB1330" s="473"/>
      <c r="AC1330" s="1164"/>
      <c r="AD1330" s="473"/>
      <c r="AE1330" s="1164"/>
      <c r="AF1330" s="473"/>
      <c r="AG1330" s="1164"/>
      <c r="AH1330" s="473"/>
      <c r="AI1330" s="473"/>
      <c r="AJ1330" s="1164"/>
      <c r="AK1330" s="473"/>
      <c r="AL1330" s="473"/>
      <c r="AM1330" s="1164"/>
      <c r="AN1330" s="473"/>
      <c r="AO1330" s="473"/>
      <c r="AP1330" s="1164"/>
      <c r="AQ1330" s="473"/>
      <c r="AR1330" s="473"/>
      <c r="AS1330" s="1236"/>
      <c r="AT1330" s="473"/>
      <c r="AU1330" s="473"/>
      <c r="AV1330" s="1164"/>
      <c r="AW1330" s="1164"/>
      <c r="AX1330" s="1236"/>
      <c r="AY1330" s="473"/>
      <c r="AZ1330" s="1236"/>
      <c r="BA1330" s="473"/>
      <c r="BB1330" s="473"/>
      <c r="BC1330" s="1164"/>
      <c r="BD1330" s="20"/>
      <c r="BE1330" s="473"/>
      <c r="BF1330" s="610"/>
      <c r="BG1330" s="610"/>
      <c r="BH1330" s="610"/>
      <c r="BI1330" s="610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  <c r="CM1330" s="23"/>
      <c r="CN1330" s="23"/>
      <c r="CO1330" s="23"/>
      <c r="CP1330" s="23"/>
      <c r="CQ1330" s="23"/>
      <c r="CR1330" s="23"/>
      <c r="CS1330" s="23"/>
      <c r="CT1330" s="23"/>
      <c r="CU1330" s="23"/>
      <c r="CV1330" s="23"/>
      <c r="CW1330" s="23"/>
      <c r="CX1330" s="23"/>
      <c r="CY1330" s="23"/>
      <c r="CZ1330" s="23"/>
      <c r="DA1330" s="23"/>
      <c r="DB1330" s="23"/>
      <c r="DC1330" s="23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  <c r="DZ1330" s="23"/>
      <c r="EA1330" s="23"/>
      <c r="EB1330" s="23"/>
      <c r="EC1330" s="23"/>
      <c r="ED1330" s="23"/>
      <c r="EE1330" s="23"/>
      <c r="EF1330" s="23"/>
      <c r="EG1330" s="23"/>
      <c r="EH1330" s="23"/>
      <c r="EI1330" s="23"/>
      <c r="EJ1330" s="23"/>
      <c r="EK1330" s="23"/>
      <c r="EL1330" s="23"/>
      <c r="EM1330" s="23"/>
      <c r="EN1330" s="23"/>
      <c r="EO1330" s="23"/>
      <c r="EP1330" s="23"/>
      <c r="EQ1330" s="23"/>
      <c r="ER1330" s="23"/>
    </row>
    <row r="1331" spans="1:148" s="22" customFormat="1" x14ac:dyDescent="0.25">
      <c r="A1331" s="20"/>
      <c r="B1331" s="16"/>
      <c r="C1331" s="473"/>
      <c r="D1331" s="473"/>
      <c r="E1331" s="1164"/>
      <c r="F1331" s="473"/>
      <c r="G1331" s="473"/>
      <c r="H1331" s="1164"/>
      <c r="I1331" s="473"/>
      <c r="J1331" s="473"/>
      <c r="K1331" s="1164"/>
      <c r="L1331" s="473"/>
      <c r="M1331" s="473"/>
      <c r="N1331" s="1164"/>
      <c r="O1331" s="473"/>
      <c r="P1331" s="473"/>
      <c r="Q1331" s="1164"/>
      <c r="R1331" s="473"/>
      <c r="S1331" s="473"/>
      <c r="T1331" s="1164"/>
      <c r="U1331" s="1164"/>
      <c r="V1331" s="473"/>
      <c r="W1331" s="473"/>
      <c r="X1331" s="1164"/>
      <c r="Y1331" s="473"/>
      <c r="Z1331" s="473"/>
      <c r="AA1331" s="1164"/>
      <c r="AB1331" s="473"/>
      <c r="AC1331" s="1164"/>
      <c r="AD1331" s="473"/>
      <c r="AE1331" s="1164"/>
      <c r="AF1331" s="473"/>
      <c r="AG1331" s="1164"/>
      <c r="AH1331" s="473"/>
      <c r="AI1331" s="473"/>
      <c r="AJ1331" s="1164"/>
      <c r="AK1331" s="473"/>
      <c r="AL1331" s="473"/>
      <c r="AM1331" s="1164"/>
      <c r="AN1331" s="473"/>
      <c r="AO1331" s="473"/>
      <c r="AP1331" s="1164"/>
      <c r="AQ1331" s="473"/>
      <c r="AR1331" s="473"/>
      <c r="AS1331" s="1236"/>
      <c r="AT1331" s="473"/>
      <c r="AU1331" s="473"/>
      <c r="AV1331" s="1164"/>
      <c r="AW1331" s="1164"/>
      <c r="AX1331" s="1236"/>
      <c r="AY1331" s="473"/>
      <c r="AZ1331" s="1236"/>
      <c r="BA1331" s="473"/>
      <c r="BB1331" s="473"/>
      <c r="BC1331" s="1164"/>
      <c r="BD1331" s="20"/>
      <c r="BE1331" s="473"/>
      <c r="BF1331" s="610"/>
      <c r="BG1331" s="610"/>
      <c r="BH1331" s="610"/>
      <c r="BI1331" s="610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  <c r="CM1331" s="23"/>
      <c r="CN1331" s="23"/>
      <c r="CO1331" s="23"/>
      <c r="CP1331" s="23"/>
      <c r="CQ1331" s="23"/>
      <c r="CR1331" s="23"/>
      <c r="CS1331" s="23"/>
      <c r="CT1331" s="23"/>
      <c r="CU1331" s="23"/>
      <c r="CV1331" s="23"/>
      <c r="CW1331" s="23"/>
      <c r="CX1331" s="23"/>
      <c r="CY1331" s="23"/>
      <c r="CZ1331" s="23"/>
      <c r="DA1331" s="23"/>
      <c r="DB1331" s="23"/>
      <c r="DC1331" s="23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  <c r="DZ1331" s="23"/>
      <c r="EA1331" s="23"/>
      <c r="EB1331" s="23"/>
      <c r="EC1331" s="23"/>
      <c r="ED1331" s="23"/>
      <c r="EE1331" s="23"/>
      <c r="EF1331" s="23"/>
      <c r="EG1331" s="23"/>
      <c r="EH1331" s="23"/>
      <c r="EI1331" s="23"/>
      <c r="EJ1331" s="23"/>
      <c r="EK1331" s="23"/>
      <c r="EL1331" s="23"/>
      <c r="EM1331" s="23"/>
      <c r="EN1331" s="23"/>
      <c r="EO1331" s="23"/>
      <c r="EP1331" s="23"/>
      <c r="EQ1331" s="23"/>
      <c r="ER1331" s="23"/>
    </row>
    <row r="1332" spans="1:148" s="22" customFormat="1" x14ac:dyDescent="0.25">
      <c r="A1332" s="20"/>
      <c r="B1332" s="16"/>
      <c r="C1332" s="473"/>
      <c r="D1332" s="473"/>
      <c r="E1332" s="1164"/>
      <c r="F1332" s="473"/>
      <c r="G1332" s="473"/>
      <c r="H1332" s="1164"/>
      <c r="I1332" s="473"/>
      <c r="J1332" s="473"/>
      <c r="K1332" s="1164"/>
      <c r="L1332" s="473"/>
      <c r="M1332" s="473"/>
      <c r="N1332" s="1164"/>
      <c r="O1332" s="473"/>
      <c r="P1332" s="473"/>
      <c r="Q1332" s="1164"/>
      <c r="R1332" s="473"/>
      <c r="S1332" s="473"/>
      <c r="T1332" s="1164"/>
      <c r="U1332" s="1164"/>
      <c r="V1332" s="473"/>
      <c r="W1332" s="473"/>
      <c r="X1332" s="1164"/>
      <c r="Y1332" s="473"/>
      <c r="Z1332" s="473"/>
      <c r="AA1332" s="1164"/>
      <c r="AB1332" s="473"/>
      <c r="AC1332" s="1164"/>
      <c r="AD1332" s="473"/>
      <c r="AE1332" s="1164"/>
      <c r="AF1332" s="473"/>
      <c r="AG1332" s="1164"/>
      <c r="AH1332" s="473"/>
      <c r="AI1332" s="473"/>
      <c r="AJ1332" s="1164"/>
      <c r="AK1332" s="473"/>
      <c r="AL1332" s="473"/>
      <c r="AM1332" s="1164"/>
      <c r="AN1332" s="473"/>
      <c r="AO1332" s="473"/>
      <c r="AP1332" s="1164"/>
      <c r="AQ1332" s="473"/>
      <c r="AR1332" s="473"/>
      <c r="AS1332" s="1236"/>
      <c r="AT1332" s="473"/>
      <c r="AU1332" s="473"/>
      <c r="AV1332" s="1164"/>
      <c r="AW1332" s="1164"/>
      <c r="AX1332" s="1236"/>
      <c r="AY1332" s="473"/>
      <c r="AZ1332" s="1236"/>
      <c r="BA1332" s="473"/>
      <c r="BB1332" s="473"/>
      <c r="BC1332" s="1164"/>
      <c r="BD1332" s="20"/>
      <c r="BE1332" s="473"/>
      <c r="BF1332" s="610"/>
      <c r="BG1332" s="610"/>
      <c r="BH1332" s="610"/>
      <c r="BI1332" s="610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  <c r="CM1332" s="23"/>
      <c r="CN1332" s="23"/>
      <c r="CO1332" s="23"/>
      <c r="CP1332" s="23"/>
      <c r="CQ1332" s="23"/>
      <c r="CR1332" s="23"/>
      <c r="CS1332" s="23"/>
      <c r="CT1332" s="23"/>
      <c r="CU1332" s="23"/>
      <c r="CV1332" s="23"/>
      <c r="CW1332" s="23"/>
      <c r="CX1332" s="23"/>
      <c r="CY1332" s="23"/>
      <c r="CZ1332" s="23"/>
      <c r="DA1332" s="23"/>
      <c r="DB1332" s="23"/>
      <c r="DC1332" s="23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  <c r="DZ1332" s="23"/>
      <c r="EA1332" s="23"/>
      <c r="EB1332" s="23"/>
      <c r="EC1332" s="23"/>
      <c r="ED1332" s="23"/>
      <c r="EE1332" s="23"/>
      <c r="EF1332" s="23"/>
      <c r="EG1332" s="23"/>
      <c r="EH1332" s="23"/>
      <c r="EI1332" s="23"/>
      <c r="EJ1332" s="23"/>
      <c r="EK1332" s="23"/>
      <c r="EL1332" s="23"/>
      <c r="EM1332" s="23"/>
      <c r="EN1332" s="23"/>
      <c r="EO1332" s="23"/>
      <c r="EP1332" s="23"/>
      <c r="EQ1332" s="23"/>
      <c r="ER1332" s="23"/>
    </row>
    <row r="1333" spans="1:148" s="22" customFormat="1" x14ac:dyDescent="0.25">
      <c r="A1333" s="20"/>
      <c r="B1333" s="16"/>
      <c r="C1333" s="473"/>
      <c r="D1333" s="473"/>
      <c r="E1333" s="1164"/>
      <c r="F1333" s="473"/>
      <c r="G1333" s="473"/>
      <c r="H1333" s="1164"/>
      <c r="I1333" s="473"/>
      <c r="J1333" s="473"/>
      <c r="K1333" s="1164"/>
      <c r="L1333" s="473"/>
      <c r="M1333" s="473"/>
      <c r="N1333" s="1164"/>
      <c r="O1333" s="473"/>
      <c r="P1333" s="473"/>
      <c r="Q1333" s="1164"/>
      <c r="R1333" s="473"/>
      <c r="S1333" s="473"/>
      <c r="T1333" s="1164"/>
      <c r="U1333" s="1164"/>
      <c r="V1333" s="473"/>
      <c r="W1333" s="473"/>
      <c r="X1333" s="1164"/>
      <c r="Y1333" s="473"/>
      <c r="Z1333" s="473"/>
      <c r="AA1333" s="1164"/>
      <c r="AB1333" s="473"/>
      <c r="AC1333" s="1164"/>
      <c r="AD1333" s="473"/>
      <c r="AE1333" s="1164"/>
      <c r="AF1333" s="473"/>
      <c r="AG1333" s="1164"/>
      <c r="AH1333" s="473"/>
      <c r="AI1333" s="473"/>
      <c r="AJ1333" s="1164"/>
      <c r="AK1333" s="473"/>
      <c r="AL1333" s="473"/>
      <c r="AM1333" s="1164"/>
      <c r="AN1333" s="473"/>
      <c r="AO1333" s="473"/>
      <c r="AP1333" s="1164"/>
      <c r="AQ1333" s="473"/>
      <c r="AR1333" s="473"/>
      <c r="AS1333" s="1236"/>
      <c r="AT1333" s="473"/>
      <c r="AU1333" s="473"/>
      <c r="AV1333" s="1164"/>
      <c r="AW1333" s="1164"/>
      <c r="AX1333" s="1236"/>
      <c r="AY1333" s="473"/>
      <c r="AZ1333" s="1236"/>
      <c r="BA1333" s="473"/>
      <c r="BB1333" s="473"/>
      <c r="BC1333" s="1164"/>
      <c r="BD1333" s="20"/>
      <c r="BE1333" s="473"/>
      <c r="BF1333" s="610"/>
      <c r="BG1333" s="610"/>
      <c r="BH1333" s="610"/>
      <c r="BI1333" s="610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  <c r="CM1333" s="23"/>
      <c r="CN1333" s="23"/>
      <c r="CO1333" s="23"/>
      <c r="CP1333" s="23"/>
      <c r="CQ1333" s="23"/>
      <c r="CR1333" s="23"/>
      <c r="CS1333" s="23"/>
      <c r="CT1333" s="23"/>
      <c r="CU1333" s="23"/>
      <c r="CV1333" s="23"/>
      <c r="CW1333" s="23"/>
      <c r="CX1333" s="23"/>
      <c r="CY1333" s="23"/>
      <c r="CZ1333" s="23"/>
      <c r="DA1333" s="23"/>
      <c r="DB1333" s="23"/>
      <c r="DC1333" s="23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  <c r="DZ1333" s="23"/>
      <c r="EA1333" s="23"/>
      <c r="EB1333" s="23"/>
      <c r="EC1333" s="23"/>
      <c r="ED1333" s="23"/>
      <c r="EE1333" s="23"/>
      <c r="EF1333" s="23"/>
      <c r="EG1333" s="23"/>
      <c r="EH1333" s="23"/>
      <c r="EI1333" s="23"/>
      <c r="EJ1333" s="23"/>
      <c r="EK1333" s="23"/>
      <c r="EL1333" s="23"/>
      <c r="EM1333" s="23"/>
      <c r="EN1333" s="23"/>
      <c r="EO1333" s="23"/>
      <c r="EP1333" s="23"/>
      <c r="EQ1333" s="23"/>
      <c r="ER1333" s="23"/>
    </row>
    <row r="1334" spans="1:148" s="22" customFormat="1" x14ac:dyDescent="0.25">
      <c r="A1334" s="20"/>
      <c r="B1334" s="16"/>
      <c r="C1334" s="473"/>
      <c r="D1334" s="473"/>
      <c r="E1334" s="1164"/>
      <c r="F1334" s="473"/>
      <c r="G1334" s="473"/>
      <c r="H1334" s="1164"/>
      <c r="I1334" s="473"/>
      <c r="J1334" s="473"/>
      <c r="K1334" s="1164"/>
      <c r="L1334" s="473"/>
      <c r="M1334" s="473"/>
      <c r="N1334" s="1164"/>
      <c r="O1334" s="473"/>
      <c r="P1334" s="473"/>
      <c r="Q1334" s="1164"/>
      <c r="R1334" s="473"/>
      <c r="S1334" s="473"/>
      <c r="T1334" s="1164"/>
      <c r="U1334" s="1164"/>
      <c r="V1334" s="473"/>
      <c r="W1334" s="473"/>
      <c r="X1334" s="1164"/>
      <c r="Y1334" s="473"/>
      <c r="Z1334" s="473"/>
      <c r="AA1334" s="1164"/>
      <c r="AB1334" s="473"/>
      <c r="AC1334" s="1164"/>
      <c r="AD1334" s="473"/>
      <c r="AE1334" s="1164"/>
      <c r="AF1334" s="473"/>
      <c r="AG1334" s="1164"/>
      <c r="AH1334" s="473"/>
      <c r="AI1334" s="473"/>
      <c r="AJ1334" s="1164"/>
      <c r="AK1334" s="473"/>
      <c r="AL1334" s="473"/>
      <c r="AM1334" s="1164"/>
      <c r="AN1334" s="473"/>
      <c r="AO1334" s="473"/>
      <c r="AP1334" s="1164"/>
      <c r="AQ1334" s="473"/>
      <c r="AR1334" s="473"/>
      <c r="AS1334" s="1236"/>
      <c r="AT1334" s="473"/>
      <c r="AU1334" s="473"/>
      <c r="AV1334" s="1164"/>
      <c r="AW1334" s="1164"/>
      <c r="AX1334" s="1236"/>
      <c r="AY1334" s="473"/>
      <c r="AZ1334" s="1236"/>
      <c r="BA1334" s="473"/>
      <c r="BB1334" s="473"/>
      <c r="BC1334" s="1164"/>
      <c r="BD1334" s="20"/>
      <c r="BE1334" s="473"/>
      <c r="BF1334" s="610"/>
      <c r="BG1334" s="610"/>
      <c r="BH1334" s="610"/>
      <c r="BI1334" s="610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  <c r="CM1334" s="23"/>
      <c r="CN1334" s="23"/>
      <c r="CO1334" s="23"/>
      <c r="CP1334" s="23"/>
      <c r="CQ1334" s="23"/>
      <c r="CR1334" s="23"/>
      <c r="CS1334" s="23"/>
      <c r="CT1334" s="23"/>
      <c r="CU1334" s="23"/>
      <c r="CV1334" s="23"/>
      <c r="CW1334" s="23"/>
      <c r="CX1334" s="23"/>
      <c r="CY1334" s="23"/>
      <c r="CZ1334" s="23"/>
      <c r="DA1334" s="23"/>
      <c r="DB1334" s="23"/>
      <c r="DC1334" s="23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  <c r="DZ1334" s="23"/>
      <c r="EA1334" s="23"/>
      <c r="EB1334" s="23"/>
      <c r="EC1334" s="23"/>
      <c r="ED1334" s="23"/>
      <c r="EE1334" s="23"/>
      <c r="EF1334" s="23"/>
      <c r="EG1334" s="23"/>
      <c r="EH1334" s="23"/>
      <c r="EI1334" s="23"/>
      <c r="EJ1334" s="23"/>
      <c r="EK1334" s="23"/>
      <c r="EL1334" s="23"/>
      <c r="EM1334" s="23"/>
      <c r="EN1334" s="23"/>
      <c r="EO1334" s="23"/>
      <c r="EP1334" s="23"/>
      <c r="EQ1334" s="23"/>
      <c r="ER1334" s="23"/>
    </row>
    <row r="1335" spans="1:148" s="22" customFormat="1" x14ac:dyDescent="0.25">
      <c r="A1335" s="20"/>
      <c r="B1335" s="16"/>
      <c r="C1335" s="473"/>
      <c r="D1335" s="473"/>
      <c r="E1335" s="1164"/>
      <c r="F1335" s="473"/>
      <c r="G1335" s="473"/>
      <c r="H1335" s="1164"/>
      <c r="I1335" s="473"/>
      <c r="J1335" s="473"/>
      <c r="K1335" s="1164"/>
      <c r="L1335" s="473"/>
      <c r="M1335" s="473"/>
      <c r="N1335" s="1164"/>
      <c r="O1335" s="473"/>
      <c r="P1335" s="473"/>
      <c r="Q1335" s="1164"/>
      <c r="R1335" s="473"/>
      <c r="S1335" s="473"/>
      <c r="T1335" s="1164"/>
      <c r="U1335" s="1164"/>
      <c r="V1335" s="473"/>
      <c r="W1335" s="473"/>
      <c r="X1335" s="1164"/>
      <c r="Y1335" s="473"/>
      <c r="Z1335" s="473"/>
      <c r="AA1335" s="1164"/>
      <c r="AB1335" s="473"/>
      <c r="AC1335" s="1164"/>
      <c r="AD1335" s="473"/>
      <c r="AE1335" s="1164"/>
      <c r="AF1335" s="473"/>
      <c r="AG1335" s="1164"/>
      <c r="AH1335" s="473"/>
      <c r="AI1335" s="473"/>
      <c r="AJ1335" s="1164"/>
      <c r="AK1335" s="473"/>
      <c r="AL1335" s="473"/>
      <c r="AM1335" s="1164"/>
      <c r="AN1335" s="473"/>
      <c r="AO1335" s="473"/>
      <c r="AP1335" s="1164"/>
      <c r="AQ1335" s="473"/>
      <c r="AR1335" s="473"/>
      <c r="AS1335" s="1236"/>
      <c r="AT1335" s="473"/>
      <c r="AU1335" s="473"/>
      <c r="AV1335" s="1164"/>
      <c r="AW1335" s="1164"/>
      <c r="AX1335" s="1236"/>
      <c r="AY1335" s="473"/>
      <c r="AZ1335" s="1236"/>
      <c r="BA1335" s="473"/>
      <c r="BB1335" s="473"/>
      <c r="BC1335" s="1164"/>
      <c r="BD1335" s="20"/>
      <c r="BE1335" s="473"/>
      <c r="BF1335" s="610"/>
      <c r="BG1335" s="610"/>
      <c r="BH1335" s="610"/>
      <c r="BI1335" s="610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  <c r="EE1335" s="23"/>
      <c r="EF1335" s="23"/>
      <c r="EG1335" s="23"/>
      <c r="EH1335" s="23"/>
      <c r="EI1335" s="23"/>
      <c r="EJ1335" s="23"/>
      <c r="EK1335" s="23"/>
      <c r="EL1335" s="23"/>
      <c r="EM1335" s="23"/>
      <c r="EN1335" s="23"/>
      <c r="EO1335" s="23"/>
      <c r="EP1335" s="23"/>
      <c r="EQ1335" s="23"/>
      <c r="ER1335" s="23"/>
    </row>
    <row r="1336" spans="1:148" s="22" customFormat="1" x14ac:dyDescent="0.25">
      <c r="A1336" s="20"/>
      <c r="B1336" s="16"/>
      <c r="C1336" s="473"/>
      <c r="D1336" s="473"/>
      <c r="E1336" s="1164"/>
      <c r="F1336" s="473"/>
      <c r="G1336" s="473"/>
      <c r="H1336" s="1164"/>
      <c r="I1336" s="473"/>
      <c r="J1336" s="473"/>
      <c r="K1336" s="1164"/>
      <c r="L1336" s="473"/>
      <c r="M1336" s="473"/>
      <c r="N1336" s="1164"/>
      <c r="O1336" s="473"/>
      <c r="P1336" s="473"/>
      <c r="Q1336" s="1164"/>
      <c r="R1336" s="473"/>
      <c r="S1336" s="473"/>
      <c r="T1336" s="1164"/>
      <c r="U1336" s="1164"/>
      <c r="V1336" s="473"/>
      <c r="W1336" s="473"/>
      <c r="X1336" s="1164"/>
      <c r="Y1336" s="473"/>
      <c r="Z1336" s="473"/>
      <c r="AA1336" s="1164"/>
      <c r="AB1336" s="473"/>
      <c r="AC1336" s="1164"/>
      <c r="AD1336" s="473"/>
      <c r="AE1336" s="1164"/>
      <c r="AF1336" s="473"/>
      <c r="AG1336" s="1164"/>
      <c r="AH1336" s="473"/>
      <c r="AI1336" s="473"/>
      <c r="AJ1336" s="1164"/>
      <c r="AK1336" s="473"/>
      <c r="AL1336" s="473"/>
      <c r="AM1336" s="1164"/>
      <c r="AN1336" s="473"/>
      <c r="AO1336" s="473"/>
      <c r="AP1336" s="1164"/>
      <c r="AQ1336" s="473"/>
      <c r="AR1336" s="473"/>
      <c r="AS1336" s="1236"/>
      <c r="AT1336" s="473"/>
      <c r="AU1336" s="473"/>
      <c r="AV1336" s="1164"/>
      <c r="AW1336" s="1164"/>
      <c r="AX1336" s="1236"/>
      <c r="AY1336" s="473"/>
      <c r="AZ1336" s="1236"/>
      <c r="BA1336" s="473"/>
      <c r="BB1336" s="473"/>
      <c r="BC1336" s="1164"/>
      <c r="BD1336" s="20"/>
      <c r="BE1336" s="473"/>
      <c r="BF1336" s="610"/>
      <c r="BG1336" s="610"/>
      <c r="BH1336" s="610"/>
      <c r="BI1336" s="610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  <c r="EF1336" s="23"/>
      <c r="EG1336" s="23"/>
      <c r="EH1336" s="23"/>
      <c r="EI1336" s="23"/>
      <c r="EJ1336" s="23"/>
      <c r="EK1336" s="23"/>
      <c r="EL1336" s="23"/>
      <c r="EM1336" s="23"/>
      <c r="EN1336" s="23"/>
      <c r="EO1336" s="23"/>
      <c r="EP1336" s="23"/>
      <c r="EQ1336" s="23"/>
      <c r="ER1336" s="23"/>
    </row>
    <row r="1337" spans="1:148" s="22" customFormat="1" x14ac:dyDescent="0.25">
      <c r="A1337" s="20"/>
      <c r="B1337" s="16"/>
      <c r="C1337" s="473"/>
      <c r="D1337" s="473"/>
      <c r="E1337" s="1164"/>
      <c r="F1337" s="473"/>
      <c r="G1337" s="473"/>
      <c r="H1337" s="1164"/>
      <c r="I1337" s="473"/>
      <c r="J1337" s="473"/>
      <c r="K1337" s="1164"/>
      <c r="L1337" s="473"/>
      <c r="M1337" s="473"/>
      <c r="N1337" s="1164"/>
      <c r="O1337" s="473"/>
      <c r="P1337" s="473"/>
      <c r="Q1337" s="1164"/>
      <c r="R1337" s="473"/>
      <c r="S1337" s="473"/>
      <c r="T1337" s="1164"/>
      <c r="U1337" s="1164"/>
      <c r="V1337" s="473"/>
      <c r="W1337" s="473"/>
      <c r="X1337" s="1164"/>
      <c r="Y1337" s="473"/>
      <c r="Z1337" s="473"/>
      <c r="AA1337" s="1164"/>
      <c r="AB1337" s="473"/>
      <c r="AC1337" s="1164"/>
      <c r="AD1337" s="473"/>
      <c r="AE1337" s="1164"/>
      <c r="AF1337" s="473"/>
      <c r="AG1337" s="1164"/>
      <c r="AH1337" s="473"/>
      <c r="AI1337" s="473"/>
      <c r="AJ1337" s="1164"/>
      <c r="AK1337" s="473"/>
      <c r="AL1337" s="473"/>
      <c r="AM1337" s="1164"/>
      <c r="AN1337" s="473"/>
      <c r="AO1337" s="473"/>
      <c r="AP1337" s="1164"/>
      <c r="AQ1337" s="473"/>
      <c r="AR1337" s="473"/>
      <c r="AS1337" s="1236"/>
      <c r="AT1337" s="473"/>
      <c r="AU1337" s="473"/>
      <c r="AV1337" s="1164"/>
      <c r="AW1337" s="1164"/>
      <c r="AX1337" s="1236"/>
      <c r="AY1337" s="473"/>
      <c r="AZ1337" s="1236"/>
      <c r="BA1337" s="473"/>
      <c r="BB1337" s="473"/>
      <c r="BC1337" s="1164"/>
      <c r="BD1337" s="20"/>
      <c r="BE1337" s="473"/>
      <c r="BF1337" s="610"/>
      <c r="BG1337" s="610"/>
      <c r="BH1337" s="610"/>
      <c r="BI1337" s="610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  <c r="CM1337" s="23"/>
      <c r="CN1337" s="23"/>
      <c r="CO1337" s="23"/>
      <c r="CP1337" s="23"/>
      <c r="CQ1337" s="23"/>
      <c r="CR1337" s="23"/>
      <c r="CS1337" s="23"/>
      <c r="CT1337" s="23"/>
      <c r="CU1337" s="23"/>
      <c r="CV1337" s="23"/>
      <c r="CW1337" s="23"/>
      <c r="CX1337" s="23"/>
      <c r="CY1337" s="23"/>
      <c r="CZ1337" s="23"/>
      <c r="DA1337" s="23"/>
      <c r="DB1337" s="23"/>
      <c r="DC1337" s="23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  <c r="DZ1337" s="23"/>
      <c r="EA1337" s="23"/>
      <c r="EB1337" s="23"/>
      <c r="EC1337" s="23"/>
      <c r="ED1337" s="23"/>
      <c r="EE1337" s="23"/>
      <c r="EF1337" s="23"/>
      <c r="EG1337" s="23"/>
      <c r="EH1337" s="23"/>
      <c r="EI1337" s="23"/>
      <c r="EJ1337" s="23"/>
      <c r="EK1337" s="23"/>
      <c r="EL1337" s="23"/>
      <c r="EM1337" s="23"/>
      <c r="EN1337" s="23"/>
      <c r="EO1337" s="23"/>
      <c r="EP1337" s="23"/>
      <c r="EQ1337" s="23"/>
      <c r="ER1337" s="23"/>
    </row>
    <row r="1338" spans="1:148" s="22" customFormat="1" x14ac:dyDescent="0.25">
      <c r="A1338" s="20"/>
      <c r="B1338" s="16"/>
      <c r="C1338" s="473"/>
      <c r="D1338" s="473"/>
      <c r="E1338" s="1164"/>
      <c r="F1338" s="473"/>
      <c r="G1338" s="473"/>
      <c r="H1338" s="1164"/>
      <c r="I1338" s="473"/>
      <c r="J1338" s="473"/>
      <c r="K1338" s="1164"/>
      <c r="L1338" s="473"/>
      <c r="M1338" s="473"/>
      <c r="N1338" s="1164"/>
      <c r="O1338" s="473"/>
      <c r="P1338" s="473"/>
      <c r="Q1338" s="1164"/>
      <c r="R1338" s="473"/>
      <c r="S1338" s="473"/>
      <c r="T1338" s="1164"/>
      <c r="U1338" s="1164"/>
      <c r="V1338" s="473"/>
      <c r="W1338" s="473"/>
      <c r="X1338" s="1164"/>
      <c r="Y1338" s="473"/>
      <c r="Z1338" s="473"/>
      <c r="AA1338" s="1164"/>
      <c r="AB1338" s="473"/>
      <c r="AC1338" s="1164"/>
      <c r="AD1338" s="473"/>
      <c r="AE1338" s="1164"/>
      <c r="AF1338" s="473"/>
      <c r="AG1338" s="1164"/>
      <c r="AH1338" s="473"/>
      <c r="AI1338" s="473"/>
      <c r="AJ1338" s="1164"/>
      <c r="AK1338" s="473"/>
      <c r="AL1338" s="473"/>
      <c r="AM1338" s="1164"/>
      <c r="AN1338" s="473"/>
      <c r="AO1338" s="473"/>
      <c r="AP1338" s="1164"/>
      <c r="AQ1338" s="473"/>
      <c r="AR1338" s="473"/>
      <c r="AS1338" s="1236"/>
      <c r="AT1338" s="473"/>
      <c r="AU1338" s="473"/>
      <c r="AV1338" s="1164"/>
      <c r="AW1338" s="1164"/>
      <c r="AX1338" s="1236"/>
      <c r="AY1338" s="473"/>
      <c r="AZ1338" s="1236"/>
      <c r="BA1338" s="473"/>
      <c r="BB1338" s="473"/>
      <c r="BC1338" s="1164"/>
      <c r="BD1338" s="20"/>
      <c r="BE1338" s="473"/>
      <c r="BF1338" s="610"/>
      <c r="BG1338" s="610"/>
      <c r="BH1338" s="610"/>
      <c r="BI1338" s="610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  <c r="CM1338" s="23"/>
      <c r="CN1338" s="23"/>
      <c r="CO1338" s="23"/>
      <c r="CP1338" s="23"/>
      <c r="CQ1338" s="23"/>
      <c r="CR1338" s="23"/>
      <c r="CS1338" s="23"/>
      <c r="CT1338" s="23"/>
      <c r="CU1338" s="23"/>
      <c r="CV1338" s="23"/>
      <c r="CW1338" s="23"/>
      <c r="CX1338" s="23"/>
      <c r="CY1338" s="23"/>
      <c r="CZ1338" s="23"/>
      <c r="DA1338" s="23"/>
      <c r="DB1338" s="23"/>
      <c r="DC1338" s="23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  <c r="DZ1338" s="23"/>
      <c r="EA1338" s="23"/>
      <c r="EB1338" s="23"/>
      <c r="EC1338" s="23"/>
      <c r="ED1338" s="23"/>
      <c r="EE1338" s="23"/>
      <c r="EF1338" s="23"/>
      <c r="EG1338" s="23"/>
      <c r="EH1338" s="23"/>
      <c r="EI1338" s="23"/>
      <c r="EJ1338" s="23"/>
      <c r="EK1338" s="23"/>
      <c r="EL1338" s="23"/>
      <c r="EM1338" s="23"/>
      <c r="EN1338" s="23"/>
      <c r="EO1338" s="23"/>
      <c r="EP1338" s="23"/>
      <c r="EQ1338" s="23"/>
      <c r="ER1338" s="23"/>
    </row>
    <row r="1339" spans="1:148" s="22" customFormat="1" x14ac:dyDescent="0.25">
      <c r="A1339" s="20"/>
      <c r="B1339" s="16"/>
      <c r="C1339" s="473"/>
      <c r="D1339" s="473"/>
      <c r="E1339" s="1164"/>
      <c r="F1339" s="473"/>
      <c r="G1339" s="473"/>
      <c r="H1339" s="1164"/>
      <c r="I1339" s="473"/>
      <c r="J1339" s="473"/>
      <c r="K1339" s="1164"/>
      <c r="L1339" s="473"/>
      <c r="M1339" s="473"/>
      <c r="N1339" s="1164"/>
      <c r="O1339" s="473"/>
      <c r="P1339" s="473"/>
      <c r="Q1339" s="1164"/>
      <c r="R1339" s="473"/>
      <c r="S1339" s="473"/>
      <c r="T1339" s="1164"/>
      <c r="U1339" s="1164"/>
      <c r="V1339" s="473"/>
      <c r="W1339" s="473"/>
      <c r="X1339" s="1164"/>
      <c r="Y1339" s="473"/>
      <c r="Z1339" s="473"/>
      <c r="AA1339" s="1164"/>
      <c r="AB1339" s="473"/>
      <c r="AC1339" s="1164"/>
      <c r="AD1339" s="473"/>
      <c r="AE1339" s="1164"/>
      <c r="AF1339" s="473"/>
      <c r="AG1339" s="1164"/>
      <c r="AH1339" s="473"/>
      <c r="AI1339" s="473"/>
      <c r="AJ1339" s="1164"/>
      <c r="AK1339" s="473"/>
      <c r="AL1339" s="473"/>
      <c r="AM1339" s="1164"/>
      <c r="AN1339" s="473"/>
      <c r="AO1339" s="473"/>
      <c r="AP1339" s="1164"/>
      <c r="AQ1339" s="473"/>
      <c r="AR1339" s="473"/>
      <c r="AS1339" s="1236"/>
      <c r="AT1339" s="473"/>
      <c r="AU1339" s="473"/>
      <c r="AV1339" s="1164"/>
      <c r="AW1339" s="1164"/>
      <c r="AX1339" s="1236"/>
      <c r="AY1339" s="473"/>
      <c r="AZ1339" s="1236"/>
      <c r="BA1339" s="473"/>
      <c r="BB1339" s="473"/>
      <c r="BC1339" s="1164"/>
      <c r="BD1339" s="20"/>
      <c r="BE1339" s="473"/>
      <c r="BF1339" s="610"/>
      <c r="BG1339" s="610"/>
      <c r="BH1339" s="610"/>
      <c r="BI1339" s="610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  <c r="CM1339" s="23"/>
      <c r="CN1339" s="23"/>
      <c r="CO1339" s="23"/>
      <c r="CP1339" s="23"/>
      <c r="CQ1339" s="23"/>
      <c r="CR1339" s="23"/>
      <c r="CS1339" s="23"/>
      <c r="CT1339" s="23"/>
      <c r="CU1339" s="23"/>
      <c r="CV1339" s="23"/>
      <c r="CW1339" s="23"/>
      <c r="CX1339" s="23"/>
      <c r="CY1339" s="23"/>
      <c r="CZ1339" s="23"/>
      <c r="DA1339" s="23"/>
      <c r="DB1339" s="23"/>
      <c r="DC1339" s="23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  <c r="DZ1339" s="23"/>
      <c r="EA1339" s="23"/>
      <c r="EB1339" s="23"/>
      <c r="EC1339" s="23"/>
      <c r="ED1339" s="23"/>
      <c r="EE1339" s="23"/>
      <c r="EF1339" s="23"/>
      <c r="EG1339" s="23"/>
      <c r="EH1339" s="23"/>
      <c r="EI1339" s="23"/>
      <c r="EJ1339" s="23"/>
      <c r="EK1339" s="23"/>
      <c r="EL1339" s="23"/>
      <c r="EM1339" s="23"/>
      <c r="EN1339" s="23"/>
      <c r="EO1339" s="23"/>
      <c r="EP1339" s="23"/>
      <c r="EQ1339" s="23"/>
      <c r="ER1339" s="23"/>
    </row>
    <row r="1340" spans="1:148" s="22" customFormat="1" x14ac:dyDescent="0.25">
      <c r="A1340" s="20"/>
      <c r="B1340" s="16"/>
      <c r="C1340" s="473"/>
      <c r="D1340" s="473"/>
      <c r="E1340" s="1164"/>
      <c r="F1340" s="473"/>
      <c r="G1340" s="473"/>
      <c r="H1340" s="1164"/>
      <c r="I1340" s="473"/>
      <c r="J1340" s="473"/>
      <c r="K1340" s="1164"/>
      <c r="L1340" s="473"/>
      <c r="M1340" s="473"/>
      <c r="N1340" s="1164"/>
      <c r="O1340" s="473"/>
      <c r="P1340" s="473"/>
      <c r="Q1340" s="1164"/>
      <c r="R1340" s="473"/>
      <c r="S1340" s="473"/>
      <c r="T1340" s="1164"/>
      <c r="U1340" s="1164"/>
      <c r="V1340" s="473"/>
      <c r="W1340" s="473"/>
      <c r="X1340" s="1164"/>
      <c r="Y1340" s="473"/>
      <c r="Z1340" s="473"/>
      <c r="AA1340" s="1164"/>
      <c r="AB1340" s="473"/>
      <c r="AC1340" s="1164"/>
      <c r="AD1340" s="473"/>
      <c r="AE1340" s="1164"/>
      <c r="AF1340" s="473"/>
      <c r="AG1340" s="1164"/>
      <c r="AH1340" s="473"/>
      <c r="AI1340" s="473"/>
      <c r="AJ1340" s="1164"/>
      <c r="AK1340" s="473"/>
      <c r="AL1340" s="473"/>
      <c r="AM1340" s="1164"/>
      <c r="AN1340" s="473"/>
      <c r="AO1340" s="473"/>
      <c r="AP1340" s="1164"/>
      <c r="AQ1340" s="473"/>
      <c r="AR1340" s="473"/>
      <c r="AS1340" s="1236"/>
      <c r="AT1340" s="473"/>
      <c r="AU1340" s="473"/>
      <c r="AV1340" s="1164"/>
      <c r="AW1340" s="1164"/>
      <c r="AX1340" s="1236"/>
      <c r="AY1340" s="473"/>
      <c r="AZ1340" s="1236"/>
      <c r="BA1340" s="473"/>
      <c r="BB1340" s="473"/>
      <c r="BC1340" s="1164"/>
      <c r="BD1340" s="20"/>
      <c r="BE1340" s="473"/>
      <c r="BF1340" s="610"/>
      <c r="BG1340" s="610"/>
      <c r="BH1340" s="610"/>
      <c r="BI1340" s="610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  <c r="CM1340" s="23"/>
      <c r="CN1340" s="23"/>
      <c r="CO1340" s="23"/>
      <c r="CP1340" s="23"/>
      <c r="CQ1340" s="23"/>
      <c r="CR1340" s="23"/>
      <c r="CS1340" s="23"/>
      <c r="CT1340" s="23"/>
      <c r="CU1340" s="23"/>
      <c r="CV1340" s="23"/>
      <c r="CW1340" s="23"/>
      <c r="CX1340" s="23"/>
      <c r="CY1340" s="23"/>
      <c r="CZ1340" s="23"/>
      <c r="DA1340" s="23"/>
      <c r="DB1340" s="23"/>
      <c r="DC1340" s="23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  <c r="DZ1340" s="23"/>
      <c r="EA1340" s="23"/>
      <c r="EB1340" s="23"/>
      <c r="EC1340" s="23"/>
      <c r="ED1340" s="23"/>
      <c r="EE1340" s="23"/>
      <c r="EF1340" s="23"/>
      <c r="EG1340" s="23"/>
      <c r="EH1340" s="23"/>
      <c r="EI1340" s="23"/>
      <c r="EJ1340" s="23"/>
      <c r="EK1340" s="23"/>
      <c r="EL1340" s="23"/>
      <c r="EM1340" s="23"/>
      <c r="EN1340" s="23"/>
      <c r="EO1340" s="23"/>
      <c r="EP1340" s="23"/>
      <c r="EQ1340" s="23"/>
      <c r="ER1340" s="23"/>
    </row>
    <row r="1341" spans="1:148" s="22" customFormat="1" x14ac:dyDescent="0.25">
      <c r="A1341" s="20"/>
      <c r="B1341" s="16"/>
      <c r="C1341" s="473"/>
      <c r="D1341" s="473"/>
      <c r="E1341" s="1164"/>
      <c r="F1341" s="473"/>
      <c r="G1341" s="473"/>
      <c r="H1341" s="1164"/>
      <c r="I1341" s="473"/>
      <c r="J1341" s="473"/>
      <c r="K1341" s="1164"/>
      <c r="L1341" s="473"/>
      <c r="M1341" s="473"/>
      <c r="N1341" s="1164"/>
      <c r="O1341" s="473"/>
      <c r="P1341" s="473"/>
      <c r="Q1341" s="1164"/>
      <c r="R1341" s="473"/>
      <c r="S1341" s="473"/>
      <c r="T1341" s="1164"/>
      <c r="U1341" s="1164"/>
      <c r="V1341" s="473"/>
      <c r="W1341" s="473"/>
      <c r="X1341" s="1164"/>
      <c r="Y1341" s="473"/>
      <c r="Z1341" s="473"/>
      <c r="AA1341" s="1164"/>
      <c r="AB1341" s="473"/>
      <c r="AC1341" s="1164"/>
      <c r="AD1341" s="473"/>
      <c r="AE1341" s="1164"/>
      <c r="AF1341" s="473"/>
      <c r="AG1341" s="1164"/>
      <c r="AH1341" s="473"/>
      <c r="AI1341" s="473"/>
      <c r="AJ1341" s="1164"/>
      <c r="AK1341" s="473"/>
      <c r="AL1341" s="473"/>
      <c r="AM1341" s="1164"/>
      <c r="AN1341" s="473"/>
      <c r="AO1341" s="473"/>
      <c r="AP1341" s="1164"/>
      <c r="AQ1341" s="473"/>
      <c r="AR1341" s="473"/>
      <c r="AS1341" s="1236"/>
      <c r="AT1341" s="473"/>
      <c r="AU1341" s="473"/>
      <c r="AV1341" s="1164"/>
      <c r="AW1341" s="1164"/>
      <c r="AX1341" s="1236"/>
      <c r="AY1341" s="473"/>
      <c r="AZ1341" s="1236"/>
      <c r="BA1341" s="473"/>
      <c r="BB1341" s="473"/>
      <c r="BC1341" s="1164"/>
      <c r="BD1341" s="20"/>
      <c r="BE1341" s="473"/>
      <c r="BF1341" s="610"/>
      <c r="BG1341" s="610"/>
      <c r="BH1341" s="610"/>
      <c r="BI1341" s="610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  <c r="CM1341" s="23"/>
      <c r="CN1341" s="23"/>
      <c r="CO1341" s="23"/>
      <c r="CP1341" s="23"/>
      <c r="CQ1341" s="23"/>
      <c r="CR1341" s="23"/>
      <c r="CS1341" s="23"/>
      <c r="CT1341" s="23"/>
      <c r="CU1341" s="23"/>
      <c r="CV1341" s="23"/>
      <c r="CW1341" s="23"/>
      <c r="CX1341" s="23"/>
      <c r="CY1341" s="23"/>
      <c r="CZ1341" s="23"/>
      <c r="DA1341" s="23"/>
      <c r="DB1341" s="23"/>
      <c r="DC1341" s="23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  <c r="DZ1341" s="23"/>
      <c r="EA1341" s="23"/>
      <c r="EB1341" s="23"/>
      <c r="EC1341" s="23"/>
      <c r="ED1341" s="23"/>
      <c r="EE1341" s="23"/>
      <c r="EF1341" s="23"/>
      <c r="EG1341" s="23"/>
      <c r="EH1341" s="23"/>
      <c r="EI1341" s="23"/>
      <c r="EJ1341" s="23"/>
      <c r="EK1341" s="23"/>
      <c r="EL1341" s="23"/>
      <c r="EM1341" s="23"/>
      <c r="EN1341" s="23"/>
      <c r="EO1341" s="23"/>
      <c r="EP1341" s="23"/>
      <c r="EQ1341" s="23"/>
      <c r="ER1341" s="23"/>
    </row>
    <row r="1342" spans="1:148" s="22" customFormat="1" x14ac:dyDescent="0.25">
      <c r="A1342" s="20"/>
      <c r="B1342" s="16"/>
      <c r="C1342" s="473"/>
      <c r="D1342" s="473"/>
      <c r="E1342" s="1164"/>
      <c r="F1342" s="473"/>
      <c r="G1342" s="473"/>
      <c r="H1342" s="1164"/>
      <c r="I1342" s="473"/>
      <c r="J1342" s="473"/>
      <c r="K1342" s="1164"/>
      <c r="L1342" s="473"/>
      <c r="M1342" s="473"/>
      <c r="N1342" s="1164"/>
      <c r="O1342" s="473"/>
      <c r="P1342" s="473"/>
      <c r="Q1342" s="1164"/>
      <c r="R1342" s="473"/>
      <c r="S1342" s="473"/>
      <c r="T1342" s="1164"/>
      <c r="U1342" s="1164"/>
      <c r="V1342" s="473"/>
      <c r="W1342" s="473"/>
      <c r="X1342" s="1164"/>
      <c r="Y1342" s="473"/>
      <c r="Z1342" s="473"/>
      <c r="AA1342" s="1164"/>
      <c r="AB1342" s="473"/>
      <c r="AC1342" s="1164"/>
      <c r="AD1342" s="473"/>
      <c r="AE1342" s="1164"/>
      <c r="AF1342" s="473"/>
      <c r="AG1342" s="1164"/>
      <c r="AH1342" s="473"/>
      <c r="AI1342" s="473"/>
      <c r="AJ1342" s="1164"/>
      <c r="AK1342" s="473"/>
      <c r="AL1342" s="473"/>
      <c r="AM1342" s="1164"/>
      <c r="AN1342" s="473"/>
      <c r="AO1342" s="473"/>
      <c r="AP1342" s="1164"/>
      <c r="AQ1342" s="473"/>
      <c r="AR1342" s="473"/>
      <c r="AS1342" s="1236"/>
      <c r="AT1342" s="473"/>
      <c r="AU1342" s="473"/>
      <c r="AV1342" s="1164"/>
      <c r="AW1342" s="1164"/>
      <c r="AX1342" s="1236"/>
      <c r="AY1342" s="473"/>
      <c r="AZ1342" s="1236"/>
      <c r="BA1342" s="473"/>
      <c r="BB1342" s="473"/>
      <c r="BC1342" s="1164"/>
      <c r="BD1342" s="20"/>
      <c r="BE1342" s="473"/>
      <c r="BF1342" s="610"/>
      <c r="BG1342" s="610"/>
      <c r="BH1342" s="610"/>
      <c r="BI1342" s="610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  <c r="CM1342" s="23"/>
      <c r="CN1342" s="23"/>
      <c r="CO1342" s="23"/>
      <c r="CP1342" s="23"/>
      <c r="CQ1342" s="23"/>
      <c r="CR1342" s="23"/>
      <c r="CS1342" s="23"/>
      <c r="CT1342" s="23"/>
      <c r="CU1342" s="23"/>
      <c r="CV1342" s="23"/>
      <c r="CW1342" s="23"/>
      <c r="CX1342" s="23"/>
      <c r="CY1342" s="23"/>
      <c r="CZ1342" s="23"/>
      <c r="DA1342" s="23"/>
      <c r="DB1342" s="23"/>
      <c r="DC1342" s="23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  <c r="DZ1342" s="23"/>
      <c r="EA1342" s="23"/>
      <c r="EB1342" s="23"/>
      <c r="EC1342" s="23"/>
      <c r="ED1342" s="23"/>
      <c r="EE1342" s="23"/>
      <c r="EF1342" s="23"/>
      <c r="EG1342" s="23"/>
      <c r="EH1342" s="23"/>
      <c r="EI1342" s="23"/>
      <c r="EJ1342" s="23"/>
      <c r="EK1342" s="23"/>
      <c r="EL1342" s="23"/>
      <c r="EM1342" s="23"/>
      <c r="EN1342" s="23"/>
      <c r="EO1342" s="23"/>
      <c r="EP1342" s="23"/>
      <c r="EQ1342" s="23"/>
      <c r="ER1342" s="23"/>
    </row>
    <row r="1343" spans="1:148" s="22" customFormat="1" x14ac:dyDescent="0.25">
      <c r="A1343" s="20"/>
      <c r="B1343" s="16"/>
      <c r="C1343" s="473"/>
      <c r="D1343" s="473"/>
      <c r="E1343" s="1164"/>
      <c r="F1343" s="473"/>
      <c r="G1343" s="473"/>
      <c r="H1343" s="1164"/>
      <c r="I1343" s="473"/>
      <c r="J1343" s="473"/>
      <c r="K1343" s="1164"/>
      <c r="L1343" s="473"/>
      <c r="M1343" s="473"/>
      <c r="N1343" s="1164"/>
      <c r="O1343" s="473"/>
      <c r="P1343" s="473"/>
      <c r="Q1343" s="1164"/>
      <c r="R1343" s="473"/>
      <c r="S1343" s="473"/>
      <c r="T1343" s="1164"/>
      <c r="U1343" s="1164"/>
      <c r="V1343" s="473"/>
      <c r="W1343" s="473"/>
      <c r="X1343" s="1164"/>
      <c r="Y1343" s="473"/>
      <c r="Z1343" s="473"/>
      <c r="AA1343" s="1164"/>
      <c r="AB1343" s="473"/>
      <c r="AC1343" s="1164"/>
      <c r="AD1343" s="473"/>
      <c r="AE1343" s="1164"/>
      <c r="AF1343" s="473"/>
      <c r="AG1343" s="1164"/>
      <c r="AH1343" s="473"/>
      <c r="AI1343" s="473"/>
      <c r="AJ1343" s="1164"/>
      <c r="AK1343" s="473"/>
      <c r="AL1343" s="473"/>
      <c r="AM1343" s="1164"/>
      <c r="AN1343" s="473"/>
      <c r="AO1343" s="473"/>
      <c r="AP1343" s="1164"/>
      <c r="AQ1343" s="473"/>
      <c r="AR1343" s="473"/>
      <c r="AS1343" s="1236"/>
      <c r="AT1343" s="473"/>
      <c r="AU1343" s="473"/>
      <c r="AV1343" s="1164"/>
      <c r="AW1343" s="1164"/>
      <c r="AX1343" s="1236"/>
      <c r="AY1343" s="473"/>
      <c r="AZ1343" s="1236"/>
      <c r="BA1343" s="473"/>
      <c r="BB1343" s="473"/>
      <c r="BC1343" s="1164"/>
      <c r="BD1343" s="20"/>
      <c r="BE1343" s="473"/>
      <c r="BF1343" s="610"/>
      <c r="BG1343" s="610"/>
      <c r="BH1343" s="610"/>
      <c r="BI1343" s="610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</row>
    <row r="1344" spans="1:148" s="22" customFormat="1" x14ac:dyDescent="0.25">
      <c r="A1344" s="20"/>
      <c r="B1344" s="16"/>
      <c r="C1344" s="473"/>
      <c r="D1344" s="473"/>
      <c r="E1344" s="1164"/>
      <c r="F1344" s="473"/>
      <c r="G1344" s="473"/>
      <c r="H1344" s="1164"/>
      <c r="I1344" s="473"/>
      <c r="J1344" s="473"/>
      <c r="K1344" s="1164"/>
      <c r="L1344" s="473"/>
      <c r="M1344" s="473"/>
      <c r="N1344" s="1164"/>
      <c r="O1344" s="473"/>
      <c r="P1344" s="473"/>
      <c r="Q1344" s="1164"/>
      <c r="R1344" s="473"/>
      <c r="S1344" s="473"/>
      <c r="T1344" s="1164"/>
      <c r="U1344" s="1164"/>
      <c r="V1344" s="473"/>
      <c r="W1344" s="473"/>
      <c r="X1344" s="1164"/>
      <c r="Y1344" s="473"/>
      <c r="Z1344" s="473"/>
      <c r="AA1344" s="1164"/>
      <c r="AB1344" s="473"/>
      <c r="AC1344" s="1164"/>
      <c r="AD1344" s="473"/>
      <c r="AE1344" s="1164"/>
      <c r="AF1344" s="473"/>
      <c r="AG1344" s="1164"/>
      <c r="AH1344" s="473"/>
      <c r="AI1344" s="473"/>
      <c r="AJ1344" s="1164"/>
      <c r="AK1344" s="473"/>
      <c r="AL1344" s="473"/>
      <c r="AM1344" s="1164"/>
      <c r="AN1344" s="473"/>
      <c r="AO1344" s="473"/>
      <c r="AP1344" s="1164"/>
      <c r="AQ1344" s="473"/>
      <c r="AR1344" s="473"/>
      <c r="AS1344" s="1236"/>
      <c r="AT1344" s="473"/>
      <c r="AU1344" s="473"/>
      <c r="AV1344" s="1164"/>
      <c r="AW1344" s="1164"/>
      <c r="AX1344" s="1236"/>
      <c r="AY1344" s="473"/>
      <c r="AZ1344" s="1236"/>
      <c r="BA1344" s="473"/>
      <c r="BB1344" s="473"/>
      <c r="BC1344" s="1164"/>
      <c r="BD1344" s="20"/>
      <c r="BE1344" s="473"/>
      <c r="BF1344" s="610"/>
      <c r="BG1344" s="610"/>
      <c r="BH1344" s="610"/>
      <c r="BI1344" s="610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  <c r="CM1344" s="23"/>
      <c r="CN1344" s="23"/>
      <c r="CO1344" s="23"/>
      <c r="CP1344" s="23"/>
      <c r="CQ1344" s="23"/>
      <c r="CR1344" s="23"/>
      <c r="CS1344" s="23"/>
      <c r="CT1344" s="23"/>
      <c r="CU1344" s="23"/>
      <c r="CV1344" s="23"/>
      <c r="CW1344" s="23"/>
      <c r="CX1344" s="23"/>
      <c r="CY1344" s="23"/>
      <c r="CZ1344" s="23"/>
      <c r="DA1344" s="23"/>
      <c r="DB1344" s="23"/>
      <c r="DC1344" s="23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  <c r="DZ1344" s="23"/>
      <c r="EA1344" s="23"/>
      <c r="EB1344" s="23"/>
      <c r="EC1344" s="23"/>
      <c r="ED1344" s="23"/>
      <c r="EE1344" s="23"/>
      <c r="EF1344" s="23"/>
      <c r="EG1344" s="23"/>
      <c r="EH1344" s="23"/>
      <c r="EI1344" s="23"/>
      <c r="EJ1344" s="23"/>
      <c r="EK1344" s="23"/>
      <c r="EL1344" s="23"/>
      <c r="EM1344" s="23"/>
      <c r="EN1344" s="23"/>
      <c r="EO1344" s="23"/>
      <c r="EP1344" s="23"/>
      <c r="EQ1344" s="23"/>
      <c r="ER1344" s="23"/>
    </row>
    <row r="1345" spans="1:148" s="22" customFormat="1" x14ac:dyDescent="0.25">
      <c r="A1345" s="20"/>
      <c r="B1345" s="16"/>
      <c r="C1345" s="473"/>
      <c r="D1345" s="473"/>
      <c r="E1345" s="1164"/>
      <c r="F1345" s="473"/>
      <c r="G1345" s="473"/>
      <c r="H1345" s="1164"/>
      <c r="I1345" s="473"/>
      <c r="J1345" s="473"/>
      <c r="K1345" s="1164"/>
      <c r="L1345" s="473"/>
      <c r="M1345" s="473"/>
      <c r="N1345" s="1164"/>
      <c r="O1345" s="473"/>
      <c r="P1345" s="473"/>
      <c r="Q1345" s="1164"/>
      <c r="R1345" s="473"/>
      <c r="S1345" s="473"/>
      <c r="T1345" s="1164"/>
      <c r="U1345" s="1164"/>
      <c r="V1345" s="473"/>
      <c r="W1345" s="473"/>
      <c r="X1345" s="1164"/>
      <c r="Y1345" s="473"/>
      <c r="Z1345" s="473"/>
      <c r="AA1345" s="1164"/>
      <c r="AB1345" s="473"/>
      <c r="AC1345" s="1164"/>
      <c r="AD1345" s="473"/>
      <c r="AE1345" s="1164"/>
      <c r="AF1345" s="473"/>
      <c r="AG1345" s="1164"/>
      <c r="AH1345" s="473"/>
      <c r="AI1345" s="473"/>
      <c r="AJ1345" s="1164"/>
      <c r="AK1345" s="473"/>
      <c r="AL1345" s="473"/>
      <c r="AM1345" s="1164"/>
      <c r="AN1345" s="473"/>
      <c r="AO1345" s="473"/>
      <c r="AP1345" s="1164"/>
      <c r="AQ1345" s="473"/>
      <c r="AR1345" s="473"/>
      <c r="AS1345" s="1236"/>
      <c r="AT1345" s="473"/>
      <c r="AU1345" s="473"/>
      <c r="AV1345" s="1164"/>
      <c r="AW1345" s="1164"/>
      <c r="AX1345" s="1236"/>
      <c r="AY1345" s="473"/>
      <c r="AZ1345" s="1236"/>
      <c r="BA1345" s="473"/>
      <c r="BB1345" s="473"/>
      <c r="BC1345" s="1164"/>
      <c r="BD1345" s="20"/>
      <c r="BE1345" s="473"/>
      <c r="BF1345" s="610"/>
      <c r="BG1345" s="610"/>
      <c r="BH1345" s="610"/>
      <c r="BI1345" s="610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  <c r="CM1345" s="23"/>
      <c r="CN1345" s="23"/>
      <c r="CO1345" s="23"/>
      <c r="CP1345" s="23"/>
      <c r="CQ1345" s="23"/>
      <c r="CR1345" s="23"/>
      <c r="CS1345" s="23"/>
      <c r="CT1345" s="23"/>
      <c r="CU1345" s="23"/>
      <c r="CV1345" s="23"/>
      <c r="CW1345" s="23"/>
      <c r="CX1345" s="23"/>
      <c r="CY1345" s="23"/>
      <c r="CZ1345" s="23"/>
      <c r="DA1345" s="23"/>
      <c r="DB1345" s="23"/>
      <c r="DC1345" s="23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  <c r="DZ1345" s="23"/>
      <c r="EA1345" s="23"/>
      <c r="EB1345" s="23"/>
      <c r="EC1345" s="23"/>
      <c r="ED1345" s="23"/>
      <c r="EE1345" s="23"/>
      <c r="EF1345" s="23"/>
      <c r="EG1345" s="23"/>
      <c r="EH1345" s="23"/>
      <c r="EI1345" s="23"/>
      <c r="EJ1345" s="23"/>
      <c r="EK1345" s="23"/>
      <c r="EL1345" s="23"/>
      <c r="EM1345" s="23"/>
      <c r="EN1345" s="23"/>
      <c r="EO1345" s="23"/>
      <c r="EP1345" s="23"/>
      <c r="EQ1345" s="23"/>
      <c r="ER1345" s="23"/>
    </row>
    <row r="1346" spans="1:148" s="22" customFormat="1" x14ac:dyDescent="0.25">
      <c r="A1346" s="20"/>
      <c r="B1346" s="16"/>
      <c r="C1346" s="473"/>
      <c r="D1346" s="473"/>
      <c r="E1346" s="1164"/>
      <c r="F1346" s="473"/>
      <c r="G1346" s="473"/>
      <c r="H1346" s="1164"/>
      <c r="I1346" s="473"/>
      <c r="J1346" s="473"/>
      <c r="K1346" s="1164"/>
      <c r="L1346" s="473"/>
      <c r="M1346" s="473"/>
      <c r="N1346" s="1164"/>
      <c r="O1346" s="473"/>
      <c r="P1346" s="473"/>
      <c r="Q1346" s="1164"/>
      <c r="R1346" s="473"/>
      <c r="S1346" s="473"/>
      <c r="T1346" s="1164"/>
      <c r="U1346" s="1164"/>
      <c r="V1346" s="473"/>
      <c r="W1346" s="473"/>
      <c r="X1346" s="1164"/>
      <c r="Y1346" s="473"/>
      <c r="Z1346" s="473"/>
      <c r="AA1346" s="1164"/>
      <c r="AB1346" s="473"/>
      <c r="AC1346" s="1164"/>
      <c r="AD1346" s="473"/>
      <c r="AE1346" s="1164"/>
      <c r="AF1346" s="473"/>
      <c r="AG1346" s="1164"/>
      <c r="AH1346" s="473"/>
      <c r="AI1346" s="473"/>
      <c r="AJ1346" s="1164"/>
      <c r="AK1346" s="473"/>
      <c r="AL1346" s="473"/>
      <c r="AM1346" s="1164"/>
      <c r="AN1346" s="473"/>
      <c r="AO1346" s="473"/>
      <c r="AP1346" s="1164"/>
      <c r="AQ1346" s="473"/>
      <c r="AR1346" s="473"/>
      <c r="AS1346" s="1236"/>
      <c r="AT1346" s="473"/>
      <c r="AU1346" s="473"/>
      <c r="AV1346" s="1164"/>
      <c r="AW1346" s="1164"/>
      <c r="AX1346" s="1236"/>
      <c r="AY1346" s="473"/>
      <c r="AZ1346" s="1236"/>
      <c r="BA1346" s="473"/>
      <c r="BB1346" s="473"/>
      <c r="BC1346" s="1164"/>
      <c r="BD1346" s="20"/>
      <c r="BE1346" s="473"/>
      <c r="BF1346" s="610"/>
      <c r="BG1346" s="610"/>
      <c r="BH1346" s="610"/>
      <c r="BI1346" s="610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  <c r="CM1346" s="23"/>
      <c r="CN1346" s="23"/>
      <c r="CO1346" s="23"/>
      <c r="CP1346" s="23"/>
      <c r="CQ1346" s="23"/>
      <c r="CR1346" s="23"/>
      <c r="CS1346" s="23"/>
      <c r="CT1346" s="23"/>
      <c r="CU1346" s="23"/>
      <c r="CV1346" s="23"/>
      <c r="CW1346" s="23"/>
      <c r="CX1346" s="23"/>
      <c r="CY1346" s="23"/>
      <c r="CZ1346" s="23"/>
      <c r="DA1346" s="23"/>
      <c r="DB1346" s="23"/>
      <c r="DC1346" s="23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  <c r="DZ1346" s="23"/>
      <c r="EA1346" s="23"/>
      <c r="EB1346" s="23"/>
      <c r="EC1346" s="23"/>
      <c r="ED1346" s="23"/>
      <c r="EE1346" s="23"/>
      <c r="EF1346" s="23"/>
      <c r="EG1346" s="23"/>
      <c r="EH1346" s="23"/>
      <c r="EI1346" s="23"/>
      <c r="EJ1346" s="23"/>
      <c r="EK1346" s="23"/>
      <c r="EL1346" s="23"/>
      <c r="EM1346" s="23"/>
      <c r="EN1346" s="23"/>
      <c r="EO1346" s="23"/>
      <c r="EP1346" s="23"/>
      <c r="EQ1346" s="23"/>
      <c r="ER1346" s="23"/>
    </row>
    <row r="1347" spans="1:148" s="22" customFormat="1" x14ac:dyDescent="0.25">
      <c r="A1347" s="20"/>
      <c r="B1347" s="16"/>
      <c r="C1347" s="473"/>
      <c r="D1347" s="473"/>
      <c r="E1347" s="1164"/>
      <c r="F1347" s="473"/>
      <c r="G1347" s="473"/>
      <c r="H1347" s="1164"/>
      <c r="I1347" s="473"/>
      <c r="J1347" s="473"/>
      <c r="K1347" s="1164"/>
      <c r="L1347" s="473"/>
      <c r="M1347" s="473"/>
      <c r="N1347" s="1164"/>
      <c r="O1347" s="473"/>
      <c r="P1347" s="473"/>
      <c r="Q1347" s="1164"/>
      <c r="R1347" s="473"/>
      <c r="S1347" s="473"/>
      <c r="T1347" s="1164"/>
      <c r="U1347" s="1164"/>
      <c r="V1347" s="473"/>
      <c r="W1347" s="473"/>
      <c r="X1347" s="1164"/>
      <c r="Y1347" s="473"/>
      <c r="Z1347" s="473"/>
      <c r="AA1347" s="1164"/>
      <c r="AB1347" s="473"/>
      <c r="AC1347" s="1164"/>
      <c r="AD1347" s="473"/>
      <c r="AE1347" s="1164"/>
      <c r="AF1347" s="473"/>
      <c r="AG1347" s="1164"/>
      <c r="AH1347" s="473"/>
      <c r="AI1347" s="473"/>
      <c r="AJ1347" s="1164"/>
      <c r="AK1347" s="473"/>
      <c r="AL1347" s="473"/>
      <c r="AM1347" s="1164"/>
      <c r="AN1347" s="473"/>
      <c r="AO1347" s="473"/>
      <c r="AP1347" s="1164"/>
      <c r="AQ1347" s="473"/>
      <c r="AR1347" s="473"/>
      <c r="AS1347" s="1236"/>
      <c r="AT1347" s="473"/>
      <c r="AU1347" s="473"/>
      <c r="AV1347" s="1164"/>
      <c r="AW1347" s="1164"/>
      <c r="AX1347" s="1236"/>
      <c r="AY1347" s="473"/>
      <c r="AZ1347" s="1236"/>
      <c r="BA1347" s="473"/>
      <c r="BB1347" s="473"/>
      <c r="BC1347" s="1164"/>
      <c r="BD1347" s="20"/>
      <c r="BE1347" s="473"/>
      <c r="BF1347" s="610"/>
      <c r="BG1347" s="610"/>
      <c r="BH1347" s="610"/>
      <c r="BI1347" s="610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  <c r="CM1347" s="23"/>
      <c r="CN1347" s="23"/>
      <c r="CO1347" s="23"/>
      <c r="CP1347" s="23"/>
      <c r="CQ1347" s="23"/>
      <c r="CR1347" s="23"/>
      <c r="CS1347" s="23"/>
      <c r="CT1347" s="23"/>
      <c r="CU1347" s="23"/>
      <c r="CV1347" s="23"/>
      <c r="CW1347" s="23"/>
      <c r="CX1347" s="23"/>
      <c r="CY1347" s="23"/>
      <c r="CZ1347" s="23"/>
      <c r="DA1347" s="23"/>
      <c r="DB1347" s="23"/>
      <c r="DC1347" s="23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  <c r="DZ1347" s="23"/>
      <c r="EA1347" s="23"/>
      <c r="EB1347" s="23"/>
      <c r="EC1347" s="23"/>
      <c r="ED1347" s="23"/>
      <c r="EE1347" s="23"/>
      <c r="EF1347" s="23"/>
      <c r="EG1347" s="23"/>
      <c r="EH1347" s="23"/>
      <c r="EI1347" s="23"/>
      <c r="EJ1347" s="23"/>
      <c r="EK1347" s="23"/>
      <c r="EL1347" s="23"/>
      <c r="EM1347" s="23"/>
      <c r="EN1347" s="23"/>
      <c r="EO1347" s="23"/>
      <c r="EP1347" s="23"/>
      <c r="EQ1347" s="23"/>
      <c r="ER1347" s="23"/>
    </row>
    <row r="1348" spans="1:148" s="22" customFormat="1" x14ac:dyDescent="0.25">
      <c r="A1348" s="20"/>
      <c r="B1348" s="16"/>
      <c r="C1348" s="473"/>
      <c r="D1348" s="473"/>
      <c r="E1348" s="1164"/>
      <c r="F1348" s="473"/>
      <c r="G1348" s="473"/>
      <c r="H1348" s="1164"/>
      <c r="I1348" s="473"/>
      <c r="J1348" s="473"/>
      <c r="K1348" s="1164"/>
      <c r="L1348" s="473"/>
      <c r="M1348" s="473"/>
      <c r="N1348" s="1164"/>
      <c r="O1348" s="473"/>
      <c r="P1348" s="473"/>
      <c r="Q1348" s="1164"/>
      <c r="R1348" s="473"/>
      <c r="S1348" s="473"/>
      <c r="T1348" s="1164"/>
      <c r="U1348" s="1164"/>
      <c r="V1348" s="473"/>
      <c r="W1348" s="473"/>
      <c r="X1348" s="1164"/>
      <c r="Y1348" s="473"/>
      <c r="Z1348" s="473"/>
      <c r="AA1348" s="1164"/>
      <c r="AB1348" s="473"/>
      <c r="AC1348" s="1164"/>
      <c r="AD1348" s="473"/>
      <c r="AE1348" s="1164"/>
      <c r="AF1348" s="473"/>
      <c r="AG1348" s="1164"/>
      <c r="AH1348" s="473"/>
      <c r="AI1348" s="473"/>
      <c r="AJ1348" s="1164"/>
      <c r="AK1348" s="473"/>
      <c r="AL1348" s="473"/>
      <c r="AM1348" s="1164"/>
      <c r="AN1348" s="473"/>
      <c r="AO1348" s="473"/>
      <c r="AP1348" s="1164"/>
      <c r="AQ1348" s="473"/>
      <c r="AR1348" s="473"/>
      <c r="AS1348" s="1236"/>
      <c r="AT1348" s="473"/>
      <c r="AU1348" s="473"/>
      <c r="AV1348" s="1164"/>
      <c r="AW1348" s="1164"/>
      <c r="AX1348" s="1236"/>
      <c r="AY1348" s="473"/>
      <c r="AZ1348" s="1236"/>
      <c r="BA1348" s="473"/>
      <c r="BB1348" s="473"/>
      <c r="BC1348" s="1164"/>
      <c r="BD1348" s="20"/>
      <c r="BE1348" s="473"/>
      <c r="BF1348" s="610"/>
      <c r="BG1348" s="610"/>
      <c r="BH1348" s="610"/>
      <c r="BI1348" s="610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  <c r="CM1348" s="23"/>
      <c r="CN1348" s="23"/>
      <c r="CO1348" s="23"/>
      <c r="CP1348" s="23"/>
      <c r="CQ1348" s="23"/>
      <c r="CR1348" s="23"/>
      <c r="CS1348" s="23"/>
      <c r="CT1348" s="23"/>
      <c r="CU1348" s="23"/>
      <c r="CV1348" s="23"/>
      <c r="CW1348" s="23"/>
      <c r="CX1348" s="23"/>
      <c r="CY1348" s="23"/>
      <c r="CZ1348" s="23"/>
      <c r="DA1348" s="23"/>
      <c r="DB1348" s="23"/>
      <c r="DC1348" s="23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  <c r="DZ1348" s="23"/>
      <c r="EA1348" s="23"/>
      <c r="EB1348" s="23"/>
      <c r="EC1348" s="23"/>
      <c r="ED1348" s="23"/>
      <c r="EE1348" s="23"/>
      <c r="EF1348" s="23"/>
      <c r="EG1348" s="23"/>
      <c r="EH1348" s="23"/>
      <c r="EI1348" s="23"/>
      <c r="EJ1348" s="23"/>
      <c r="EK1348" s="23"/>
      <c r="EL1348" s="23"/>
      <c r="EM1348" s="23"/>
      <c r="EN1348" s="23"/>
      <c r="EO1348" s="23"/>
      <c r="EP1348" s="23"/>
      <c r="EQ1348" s="23"/>
      <c r="ER1348" s="23"/>
    </row>
    <row r="1349" spans="1:148" s="22" customFormat="1" x14ac:dyDescent="0.25">
      <c r="A1349" s="20"/>
      <c r="B1349" s="16"/>
      <c r="C1349" s="473"/>
      <c r="D1349" s="473"/>
      <c r="E1349" s="1164"/>
      <c r="F1349" s="473"/>
      <c r="G1349" s="473"/>
      <c r="H1349" s="1164"/>
      <c r="I1349" s="473"/>
      <c r="J1349" s="473"/>
      <c r="K1349" s="1164"/>
      <c r="L1349" s="473"/>
      <c r="M1349" s="473"/>
      <c r="N1349" s="1164"/>
      <c r="O1349" s="473"/>
      <c r="P1349" s="473"/>
      <c r="Q1349" s="1164"/>
      <c r="R1349" s="473"/>
      <c r="S1349" s="473"/>
      <c r="T1349" s="1164"/>
      <c r="U1349" s="1164"/>
      <c r="V1349" s="473"/>
      <c r="W1349" s="473"/>
      <c r="X1349" s="1164"/>
      <c r="Y1349" s="473"/>
      <c r="Z1349" s="473"/>
      <c r="AA1349" s="1164"/>
      <c r="AB1349" s="473"/>
      <c r="AC1349" s="1164"/>
      <c r="AD1349" s="473"/>
      <c r="AE1349" s="1164"/>
      <c r="AF1349" s="473"/>
      <c r="AG1349" s="1164"/>
      <c r="AH1349" s="473"/>
      <c r="AI1349" s="473"/>
      <c r="AJ1349" s="1164"/>
      <c r="AK1349" s="473"/>
      <c r="AL1349" s="473"/>
      <c r="AM1349" s="1164"/>
      <c r="AN1349" s="473"/>
      <c r="AO1349" s="473"/>
      <c r="AP1349" s="1164"/>
      <c r="AQ1349" s="473"/>
      <c r="AR1349" s="473"/>
      <c r="AS1349" s="1236"/>
      <c r="AT1349" s="473"/>
      <c r="AU1349" s="473"/>
      <c r="AV1349" s="1164"/>
      <c r="AW1349" s="1164"/>
      <c r="AX1349" s="1236"/>
      <c r="AY1349" s="473"/>
      <c r="AZ1349" s="1236"/>
      <c r="BA1349" s="473"/>
      <c r="BB1349" s="473"/>
      <c r="BC1349" s="1164"/>
      <c r="BD1349" s="20"/>
      <c r="BE1349" s="473"/>
      <c r="BF1349" s="610"/>
      <c r="BG1349" s="610"/>
      <c r="BH1349" s="610"/>
      <c r="BI1349" s="610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  <c r="CM1349" s="23"/>
      <c r="CN1349" s="23"/>
      <c r="CO1349" s="23"/>
      <c r="CP1349" s="23"/>
      <c r="CQ1349" s="23"/>
      <c r="CR1349" s="23"/>
      <c r="CS1349" s="23"/>
      <c r="CT1349" s="23"/>
      <c r="CU1349" s="23"/>
      <c r="CV1349" s="23"/>
      <c r="CW1349" s="23"/>
      <c r="CX1349" s="23"/>
      <c r="CY1349" s="23"/>
      <c r="CZ1349" s="23"/>
      <c r="DA1349" s="23"/>
      <c r="DB1349" s="23"/>
      <c r="DC1349" s="23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  <c r="DZ1349" s="23"/>
      <c r="EA1349" s="23"/>
      <c r="EB1349" s="23"/>
      <c r="EC1349" s="23"/>
      <c r="ED1349" s="23"/>
      <c r="EE1349" s="23"/>
      <c r="EF1349" s="23"/>
      <c r="EG1349" s="23"/>
      <c r="EH1349" s="23"/>
      <c r="EI1349" s="23"/>
      <c r="EJ1349" s="23"/>
      <c r="EK1349" s="23"/>
      <c r="EL1349" s="23"/>
      <c r="EM1349" s="23"/>
      <c r="EN1349" s="23"/>
      <c r="EO1349" s="23"/>
      <c r="EP1349" s="23"/>
      <c r="EQ1349" s="23"/>
      <c r="ER1349" s="23"/>
    </row>
    <row r="1350" spans="1:148" s="22" customFormat="1" x14ac:dyDescent="0.25">
      <c r="A1350" s="20"/>
      <c r="B1350" s="16"/>
      <c r="C1350" s="473"/>
      <c r="D1350" s="473"/>
      <c r="E1350" s="1164"/>
      <c r="F1350" s="473"/>
      <c r="G1350" s="473"/>
      <c r="H1350" s="1164"/>
      <c r="I1350" s="473"/>
      <c r="J1350" s="473"/>
      <c r="K1350" s="1164"/>
      <c r="L1350" s="473"/>
      <c r="M1350" s="473"/>
      <c r="N1350" s="1164"/>
      <c r="O1350" s="473"/>
      <c r="P1350" s="473"/>
      <c r="Q1350" s="1164"/>
      <c r="R1350" s="473"/>
      <c r="S1350" s="473"/>
      <c r="T1350" s="1164"/>
      <c r="U1350" s="1164"/>
      <c r="V1350" s="473"/>
      <c r="W1350" s="473"/>
      <c r="X1350" s="1164"/>
      <c r="Y1350" s="473"/>
      <c r="Z1350" s="473"/>
      <c r="AA1350" s="1164"/>
      <c r="AB1350" s="473"/>
      <c r="AC1350" s="1164"/>
      <c r="AD1350" s="473"/>
      <c r="AE1350" s="1164"/>
      <c r="AF1350" s="473"/>
      <c r="AG1350" s="1164"/>
      <c r="AH1350" s="473"/>
      <c r="AI1350" s="473"/>
      <c r="AJ1350" s="1164"/>
      <c r="AK1350" s="473"/>
      <c r="AL1350" s="473"/>
      <c r="AM1350" s="1164"/>
      <c r="AN1350" s="473"/>
      <c r="AO1350" s="473"/>
      <c r="AP1350" s="1164"/>
      <c r="AQ1350" s="473"/>
      <c r="AR1350" s="473"/>
      <c r="AS1350" s="1236"/>
      <c r="AT1350" s="473"/>
      <c r="AU1350" s="473"/>
      <c r="AV1350" s="1164"/>
      <c r="AW1350" s="1164"/>
      <c r="AX1350" s="1236"/>
      <c r="AY1350" s="473"/>
      <c r="AZ1350" s="1236"/>
      <c r="BA1350" s="473"/>
      <c r="BB1350" s="473"/>
      <c r="BC1350" s="1164"/>
      <c r="BD1350" s="20"/>
      <c r="BE1350" s="473"/>
      <c r="BF1350" s="610"/>
      <c r="BG1350" s="610"/>
      <c r="BH1350" s="610"/>
      <c r="BI1350" s="610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3"/>
      <c r="CQ1350" s="23"/>
      <c r="CR1350" s="23"/>
      <c r="CS1350" s="23"/>
      <c r="CT1350" s="23"/>
      <c r="CU1350" s="23"/>
      <c r="CV1350" s="23"/>
      <c r="CW1350" s="23"/>
      <c r="CX1350" s="23"/>
      <c r="CY1350" s="23"/>
      <c r="CZ1350" s="23"/>
      <c r="DA1350" s="23"/>
      <c r="DB1350" s="23"/>
      <c r="DC1350" s="23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  <c r="DZ1350" s="23"/>
      <c r="EA1350" s="23"/>
      <c r="EB1350" s="23"/>
      <c r="EC1350" s="23"/>
      <c r="ED1350" s="23"/>
      <c r="EE1350" s="23"/>
      <c r="EF1350" s="23"/>
      <c r="EG1350" s="23"/>
      <c r="EH1350" s="23"/>
      <c r="EI1350" s="23"/>
      <c r="EJ1350" s="23"/>
      <c r="EK1350" s="23"/>
      <c r="EL1350" s="23"/>
      <c r="EM1350" s="23"/>
      <c r="EN1350" s="23"/>
      <c r="EO1350" s="23"/>
      <c r="EP1350" s="23"/>
      <c r="EQ1350" s="23"/>
      <c r="ER1350" s="23"/>
    </row>
    <row r="1351" spans="1:148" s="22" customFormat="1" x14ac:dyDescent="0.25">
      <c r="A1351" s="20"/>
      <c r="B1351" s="16"/>
      <c r="C1351" s="473"/>
      <c r="D1351" s="473"/>
      <c r="E1351" s="1164"/>
      <c r="F1351" s="473"/>
      <c r="G1351" s="473"/>
      <c r="H1351" s="1164"/>
      <c r="I1351" s="473"/>
      <c r="J1351" s="473"/>
      <c r="K1351" s="1164"/>
      <c r="L1351" s="473"/>
      <c r="M1351" s="473"/>
      <c r="N1351" s="1164"/>
      <c r="O1351" s="473"/>
      <c r="P1351" s="473"/>
      <c r="Q1351" s="1164"/>
      <c r="R1351" s="473"/>
      <c r="S1351" s="473"/>
      <c r="T1351" s="1164"/>
      <c r="U1351" s="1164"/>
      <c r="V1351" s="473"/>
      <c r="W1351" s="473"/>
      <c r="X1351" s="1164"/>
      <c r="Y1351" s="473"/>
      <c r="Z1351" s="473"/>
      <c r="AA1351" s="1164"/>
      <c r="AB1351" s="473"/>
      <c r="AC1351" s="1164"/>
      <c r="AD1351" s="473"/>
      <c r="AE1351" s="1164"/>
      <c r="AF1351" s="473"/>
      <c r="AG1351" s="1164"/>
      <c r="AH1351" s="473"/>
      <c r="AI1351" s="473"/>
      <c r="AJ1351" s="1164"/>
      <c r="AK1351" s="473"/>
      <c r="AL1351" s="473"/>
      <c r="AM1351" s="1164"/>
      <c r="AN1351" s="473"/>
      <c r="AO1351" s="473"/>
      <c r="AP1351" s="1164"/>
      <c r="AQ1351" s="473"/>
      <c r="AR1351" s="473"/>
      <c r="AS1351" s="1236"/>
      <c r="AT1351" s="473"/>
      <c r="AU1351" s="473"/>
      <c r="AV1351" s="1164"/>
      <c r="AW1351" s="1164"/>
      <c r="AX1351" s="1236"/>
      <c r="AY1351" s="473"/>
      <c r="AZ1351" s="1236"/>
      <c r="BA1351" s="473"/>
      <c r="BB1351" s="473"/>
      <c r="BC1351" s="1164"/>
      <c r="BD1351" s="20"/>
      <c r="BE1351" s="473"/>
      <c r="BF1351" s="610"/>
      <c r="BG1351" s="610"/>
      <c r="BH1351" s="610"/>
      <c r="BI1351" s="610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</row>
    <row r="1352" spans="1:148" s="22" customFormat="1" x14ac:dyDescent="0.25">
      <c r="A1352" s="20"/>
      <c r="B1352" s="16"/>
      <c r="C1352" s="473"/>
      <c r="D1352" s="473"/>
      <c r="E1352" s="1164"/>
      <c r="F1352" s="473"/>
      <c r="G1352" s="473"/>
      <c r="H1352" s="1164"/>
      <c r="I1352" s="473"/>
      <c r="J1352" s="473"/>
      <c r="K1352" s="1164"/>
      <c r="L1352" s="473"/>
      <c r="M1352" s="473"/>
      <c r="N1352" s="1164"/>
      <c r="O1352" s="473"/>
      <c r="P1352" s="473"/>
      <c r="Q1352" s="1164"/>
      <c r="R1352" s="473"/>
      <c r="S1352" s="473"/>
      <c r="T1352" s="1164"/>
      <c r="U1352" s="1164"/>
      <c r="V1352" s="473"/>
      <c r="W1352" s="473"/>
      <c r="X1352" s="1164"/>
      <c r="Y1352" s="473"/>
      <c r="Z1352" s="473"/>
      <c r="AA1352" s="1164"/>
      <c r="AB1352" s="473"/>
      <c r="AC1352" s="1164"/>
      <c r="AD1352" s="473"/>
      <c r="AE1352" s="1164"/>
      <c r="AF1352" s="473"/>
      <c r="AG1352" s="1164"/>
      <c r="AH1352" s="473"/>
      <c r="AI1352" s="473"/>
      <c r="AJ1352" s="1164"/>
      <c r="AK1352" s="473"/>
      <c r="AL1352" s="473"/>
      <c r="AM1352" s="1164"/>
      <c r="AN1352" s="473"/>
      <c r="AO1352" s="473"/>
      <c r="AP1352" s="1164"/>
      <c r="AQ1352" s="473"/>
      <c r="AR1352" s="473"/>
      <c r="AS1352" s="1236"/>
      <c r="AT1352" s="473"/>
      <c r="AU1352" s="473"/>
      <c r="AV1352" s="1164"/>
      <c r="AW1352" s="1164"/>
      <c r="AX1352" s="1236"/>
      <c r="AY1352" s="473"/>
      <c r="AZ1352" s="1236"/>
      <c r="BA1352" s="473"/>
      <c r="BB1352" s="473"/>
      <c r="BC1352" s="1164"/>
      <c r="BD1352" s="20"/>
      <c r="BE1352" s="473"/>
      <c r="BF1352" s="610"/>
      <c r="BG1352" s="610"/>
      <c r="BH1352" s="610"/>
      <c r="BI1352" s="610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  <c r="CM1352" s="23"/>
      <c r="CN1352" s="23"/>
      <c r="CO1352" s="23"/>
      <c r="CP1352" s="23"/>
      <c r="CQ1352" s="23"/>
      <c r="CR1352" s="23"/>
      <c r="CS1352" s="23"/>
      <c r="CT1352" s="23"/>
      <c r="CU1352" s="23"/>
      <c r="CV1352" s="23"/>
      <c r="CW1352" s="23"/>
      <c r="CX1352" s="23"/>
      <c r="CY1352" s="23"/>
      <c r="CZ1352" s="23"/>
      <c r="DA1352" s="23"/>
      <c r="DB1352" s="23"/>
      <c r="DC1352" s="23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  <c r="DZ1352" s="23"/>
      <c r="EA1352" s="23"/>
      <c r="EB1352" s="23"/>
      <c r="EC1352" s="23"/>
      <c r="ED1352" s="23"/>
      <c r="EE1352" s="23"/>
      <c r="EF1352" s="23"/>
      <c r="EG1352" s="23"/>
      <c r="EH1352" s="23"/>
      <c r="EI1352" s="23"/>
      <c r="EJ1352" s="23"/>
      <c r="EK1352" s="23"/>
      <c r="EL1352" s="23"/>
      <c r="EM1352" s="23"/>
      <c r="EN1352" s="23"/>
      <c r="EO1352" s="23"/>
      <c r="EP1352" s="23"/>
      <c r="EQ1352" s="23"/>
      <c r="ER1352" s="23"/>
    </row>
    <row r="1353" spans="1:148" s="22" customFormat="1" x14ac:dyDescent="0.25">
      <c r="A1353" s="20"/>
      <c r="B1353" s="16"/>
      <c r="C1353" s="473"/>
      <c r="D1353" s="473"/>
      <c r="E1353" s="1164"/>
      <c r="F1353" s="473"/>
      <c r="G1353" s="473"/>
      <c r="H1353" s="1164"/>
      <c r="I1353" s="473"/>
      <c r="J1353" s="473"/>
      <c r="K1353" s="1164"/>
      <c r="L1353" s="473"/>
      <c r="M1353" s="473"/>
      <c r="N1353" s="1164"/>
      <c r="O1353" s="473"/>
      <c r="P1353" s="473"/>
      <c r="Q1353" s="1164"/>
      <c r="R1353" s="473"/>
      <c r="S1353" s="473"/>
      <c r="T1353" s="1164"/>
      <c r="U1353" s="1164"/>
      <c r="V1353" s="473"/>
      <c r="W1353" s="473"/>
      <c r="X1353" s="1164"/>
      <c r="Y1353" s="473"/>
      <c r="Z1353" s="473"/>
      <c r="AA1353" s="1164"/>
      <c r="AB1353" s="473"/>
      <c r="AC1353" s="1164"/>
      <c r="AD1353" s="473"/>
      <c r="AE1353" s="1164"/>
      <c r="AF1353" s="473"/>
      <c r="AG1353" s="1164"/>
      <c r="AH1353" s="473"/>
      <c r="AI1353" s="473"/>
      <c r="AJ1353" s="1164"/>
      <c r="AK1353" s="473"/>
      <c r="AL1353" s="473"/>
      <c r="AM1353" s="1164"/>
      <c r="AN1353" s="473"/>
      <c r="AO1353" s="473"/>
      <c r="AP1353" s="1164"/>
      <c r="AQ1353" s="473"/>
      <c r="AR1353" s="473"/>
      <c r="AS1353" s="1236"/>
      <c r="AT1353" s="473"/>
      <c r="AU1353" s="473"/>
      <c r="AV1353" s="1164"/>
      <c r="AW1353" s="1164"/>
      <c r="AX1353" s="1236"/>
      <c r="AY1353" s="473"/>
      <c r="AZ1353" s="1236"/>
      <c r="BA1353" s="473"/>
      <c r="BB1353" s="473"/>
      <c r="BC1353" s="1164"/>
      <c r="BD1353" s="20"/>
      <c r="BE1353" s="473"/>
      <c r="BF1353" s="610"/>
      <c r="BG1353" s="610"/>
      <c r="BH1353" s="610"/>
      <c r="BI1353" s="610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  <c r="CM1353" s="23"/>
      <c r="CN1353" s="23"/>
      <c r="CO1353" s="23"/>
      <c r="CP1353" s="23"/>
      <c r="CQ1353" s="23"/>
      <c r="CR1353" s="23"/>
      <c r="CS1353" s="23"/>
      <c r="CT1353" s="23"/>
      <c r="CU1353" s="23"/>
      <c r="CV1353" s="23"/>
      <c r="CW1353" s="23"/>
      <c r="CX1353" s="23"/>
      <c r="CY1353" s="23"/>
      <c r="CZ1353" s="23"/>
      <c r="DA1353" s="23"/>
      <c r="DB1353" s="23"/>
      <c r="DC1353" s="23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  <c r="DZ1353" s="23"/>
      <c r="EA1353" s="23"/>
      <c r="EB1353" s="23"/>
      <c r="EC1353" s="23"/>
      <c r="ED1353" s="23"/>
      <c r="EE1353" s="23"/>
      <c r="EF1353" s="23"/>
      <c r="EG1353" s="23"/>
      <c r="EH1353" s="23"/>
      <c r="EI1353" s="23"/>
      <c r="EJ1353" s="23"/>
      <c r="EK1353" s="23"/>
      <c r="EL1353" s="23"/>
      <c r="EM1353" s="23"/>
      <c r="EN1353" s="23"/>
      <c r="EO1353" s="23"/>
      <c r="EP1353" s="23"/>
      <c r="EQ1353" s="23"/>
      <c r="ER1353" s="23"/>
    </row>
    <row r="1354" spans="1:148" s="22" customFormat="1" x14ac:dyDescent="0.25">
      <c r="A1354" s="20"/>
      <c r="B1354" s="16"/>
      <c r="C1354" s="473"/>
      <c r="D1354" s="473"/>
      <c r="E1354" s="1164"/>
      <c r="F1354" s="473"/>
      <c r="G1354" s="473"/>
      <c r="H1354" s="1164"/>
      <c r="I1354" s="473"/>
      <c r="J1354" s="473"/>
      <c r="K1354" s="1164"/>
      <c r="L1354" s="473"/>
      <c r="M1354" s="473"/>
      <c r="N1354" s="1164"/>
      <c r="O1354" s="473"/>
      <c r="P1354" s="473"/>
      <c r="Q1354" s="1164"/>
      <c r="R1354" s="473"/>
      <c r="S1354" s="473"/>
      <c r="T1354" s="1164"/>
      <c r="U1354" s="1164"/>
      <c r="V1354" s="473"/>
      <c r="W1354" s="473"/>
      <c r="X1354" s="1164"/>
      <c r="Y1354" s="473"/>
      <c r="Z1354" s="473"/>
      <c r="AA1354" s="1164"/>
      <c r="AB1354" s="473"/>
      <c r="AC1354" s="1164"/>
      <c r="AD1354" s="473"/>
      <c r="AE1354" s="1164"/>
      <c r="AF1354" s="473"/>
      <c r="AG1354" s="1164"/>
      <c r="AH1354" s="473"/>
      <c r="AI1354" s="473"/>
      <c r="AJ1354" s="1164"/>
      <c r="AK1354" s="473"/>
      <c r="AL1354" s="473"/>
      <c r="AM1354" s="1164"/>
      <c r="AN1354" s="473"/>
      <c r="AO1354" s="473"/>
      <c r="AP1354" s="1164"/>
      <c r="AQ1354" s="473"/>
      <c r="AR1354" s="473"/>
      <c r="AS1354" s="1236"/>
      <c r="AT1354" s="473"/>
      <c r="AU1354" s="473"/>
      <c r="AV1354" s="1164"/>
      <c r="AW1354" s="1164"/>
      <c r="AX1354" s="1236"/>
      <c r="AY1354" s="473"/>
      <c r="AZ1354" s="1236"/>
      <c r="BA1354" s="473"/>
      <c r="BB1354" s="473"/>
      <c r="BC1354" s="1164"/>
      <c r="BD1354" s="20"/>
      <c r="BE1354" s="473"/>
      <c r="BF1354" s="610"/>
      <c r="BG1354" s="610"/>
      <c r="BH1354" s="610"/>
      <c r="BI1354" s="610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  <c r="EF1354" s="23"/>
      <c r="EG1354" s="23"/>
      <c r="EH1354" s="23"/>
      <c r="EI1354" s="23"/>
      <c r="EJ1354" s="23"/>
      <c r="EK1354" s="23"/>
      <c r="EL1354" s="23"/>
      <c r="EM1354" s="23"/>
      <c r="EN1354" s="23"/>
      <c r="EO1354" s="23"/>
      <c r="EP1354" s="23"/>
      <c r="EQ1354" s="23"/>
      <c r="ER1354" s="23"/>
    </row>
    <row r="1355" spans="1:148" s="22" customFormat="1" x14ac:dyDescent="0.25">
      <c r="A1355" s="20"/>
      <c r="B1355" s="16"/>
      <c r="C1355" s="473"/>
      <c r="D1355" s="473"/>
      <c r="E1355" s="1164"/>
      <c r="F1355" s="473"/>
      <c r="G1355" s="473"/>
      <c r="H1355" s="1164"/>
      <c r="I1355" s="473"/>
      <c r="J1355" s="473"/>
      <c r="K1355" s="1164"/>
      <c r="L1355" s="473"/>
      <c r="M1355" s="473"/>
      <c r="N1355" s="1164"/>
      <c r="O1355" s="473"/>
      <c r="P1355" s="473"/>
      <c r="Q1355" s="1164"/>
      <c r="R1355" s="473"/>
      <c r="S1355" s="473"/>
      <c r="T1355" s="1164"/>
      <c r="U1355" s="1164"/>
      <c r="V1355" s="473"/>
      <c r="W1355" s="473"/>
      <c r="X1355" s="1164"/>
      <c r="Y1355" s="473"/>
      <c r="Z1355" s="473"/>
      <c r="AA1355" s="1164"/>
      <c r="AB1355" s="473"/>
      <c r="AC1355" s="1164"/>
      <c r="AD1355" s="473"/>
      <c r="AE1355" s="1164"/>
      <c r="AF1355" s="473"/>
      <c r="AG1355" s="1164"/>
      <c r="AH1355" s="473"/>
      <c r="AI1355" s="473"/>
      <c r="AJ1355" s="1164"/>
      <c r="AK1355" s="473"/>
      <c r="AL1355" s="473"/>
      <c r="AM1355" s="1164"/>
      <c r="AN1355" s="473"/>
      <c r="AO1355" s="473"/>
      <c r="AP1355" s="1164"/>
      <c r="AQ1355" s="473"/>
      <c r="AR1355" s="473"/>
      <c r="AS1355" s="1236"/>
      <c r="AT1355" s="473"/>
      <c r="AU1355" s="473"/>
      <c r="AV1355" s="1164"/>
      <c r="AW1355" s="1164"/>
      <c r="AX1355" s="1236"/>
      <c r="AY1355" s="473"/>
      <c r="AZ1355" s="1236"/>
      <c r="BA1355" s="473"/>
      <c r="BB1355" s="473"/>
      <c r="BC1355" s="1164"/>
      <c r="BD1355" s="20"/>
      <c r="BE1355" s="473"/>
      <c r="BF1355" s="610"/>
      <c r="BG1355" s="610"/>
      <c r="BH1355" s="610"/>
      <c r="BI1355" s="610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3"/>
      <c r="CQ1355" s="23"/>
      <c r="CR1355" s="23"/>
      <c r="CS1355" s="23"/>
      <c r="CT1355" s="23"/>
      <c r="CU1355" s="23"/>
      <c r="CV1355" s="23"/>
      <c r="CW1355" s="23"/>
      <c r="CX1355" s="23"/>
      <c r="CY1355" s="23"/>
      <c r="CZ1355" s="23"/>
      <c r="DA1355" s="23"/>
      <c r="DB1355" s="23"/>
      <c r="DC1355" s="23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  <c r="DZ1355" s="23"/>
      <c r="EA1355" s="23"/>
      <c r="EB1355" s="23"/>
      <c r="EC1355" s="23"/>
      <c r="ED1355" s="23"/>
      <c r="EE1355" s="23"/>
      <c r="EF1355" s="23"/>
      <c r="EG1355" s="23"/>
      <c r="EH1355" s="23"/>
      <c r="EI1355" s="23"/>
      <c r="EJ1355" s="23"/>
      <c r="EK1355" s="23"/>
      <c r="EL1355" s="23"/>
      <c r="EM1355" s="23"/>
      <c r="EN1355" s="23"/>
      <c r="EO1355" s="23"/>
      <c r="EP1355" s="23"/>
      <c r="EQ1355" s="23"/>
      <c r="ER1355" s="23"/>
    </row>
    <row r="1356" spans="1:148" s="22" customFormat="1" x14ac:dyDescent="0.25">
      <c r="A1356" s="20"/>
      <c r="B1356" s="16"/>
      <c r="C1356" s="473"/>
      <c r="D1356" s="473"/>
      <c r="E1356" s="1164"/>
      <c r="F1356" s="473"/>
      <c r="G1356" s="473"/>
      <c r="H1356" s="1164"/>
      <c r="I1356" s="473"/>
      <c r="J1356" s="473"/>
      <c r="K1356" s="1164"/>
      <c r="L1356" s="473"/>
      <c r="M1356" s="473"/>
      <c r="N1356" s="1164"/>
      <c r="O1356" s="473"/>
      <c r="P1356" s="473"/>
      <c r="Q1356" s="1164"/>
      <c r="R1356" s="473"/>
      <c r="S1356" s="473"/>
      <c r="T1356" s="1164"/>
      <c r="U1356" s="1164"/>
      <c r="V1356" s="473"/>
      <c r="W1356" s="473"/>
      <c r="X1356" s="1164"/>
      <c r="Y1356" s="473"/>
      <c r="Z1356" s="473"/>
      <c r="AA1356" s="1164"/>
      <c r="AB1356" s="473"/>
      <c r="AC1356" s="1164"/>
      <c r="AD1356" s="473"/>
      <c r="AE1356" s="1164"/>
      <c r="AF1356" s="473"/>
      <c r="AG1356" s="1164"/>
      <c r="AH1356" s="473"/>
      <c r="AI1356" s="473"/>
      <c r="AJ1356" s="1164"/>
      <c r="AK1356" s="473"/>
      <c r="AL1356" s="473"/>
      <c r="AM1356" s="1164"/>
      <c r="AN1356" s="473"/>
      <c r="AO1356" s="473"/>
      <c r="AP1356" s="1164"/>
      <c r="AQ1356" s="473"/>
      <c r="AR1356" s="473"/>
      <c r="AS1356" s="1236"/>
      <c r="AT1356" s="473"/>
      <c r="AU1356" s="473"/>
      <c r="AV1356" s="1164"/>
      <c r="AW1356" s="1164"/>
      <c r="AX1356" s="1236"/>
      <c r="AY1356" s="473"/>
      <c r="AZ1356" s="1236"/>
      <c r="BA1356" s="473"/>
      <c r="BB1356" s="473"/>
      <c r="BC1356" s="1164"/>
      <c r="BD1356" s="20"/>
      <c r="BE1356" s="473"/>
      <c r="BF1356" s="610"/>
      <c r="BG1356" s="610"/>
      <c r="BH1356" s="610"/>
      <c r="BI1356" s="610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3"/>
      <c r="CQ1356" s="23"/>
      <c r="CR1356" s="23"/>
      <c r="CS1356" s="23"/>
      <c r="CT1356" s="23"/>
      <c r="CU1356" s="23"/>
      <c r="CV1356" s="23"/>
      <c r="CW1356" s="23"/>
      <c r="CX1356" s="23"/>
      <c r="CY1356" s="23"/>
      <c r="CZ1356" s="23"/>
      <c r="DA1356" s="23"/>
      <c r="DB1356" s="23"/>
      <c r="DC1356" s="23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3"/>
      <c r="EA1356" s="23"/>
      <c r="EB1356" s="23"/>
      <c r="EC1356" s="23"/>
      <c r="ED1356" s="23"/>
      <c r="EE1356" s="23"/>
      <c r="EF1356" s="23"/>
      <c r="EG1356" s="23"/>
      <c r="EH1356" s="23"/>
      <c r="EI1356" s="23"/>
      <c r="EJ1356" s="23"/>
      <c r="EK1356" s="23"/>
      <c r="EL1356" s="23"/>
      <c r="EM1356" s="23"/>
      <c r="EN1356" s="23"/>
      <c r="EO1356" s="23"/>
      <c r="EP1356" s="23"/>
      <c r="EQ1356" s="23"/>
      <c r="ER1356" s="23"/>
    </row>
    <row r="1357" spans="1:148" s="22" customFormat="1" x14ac:dyDescent="0.25">
      <c r="A1357" s="20"/>
      <c r="B1357" s="16"/>
      <c r="C1357" s="473"/>
      <c r="D1357" s="473"/>
      <c r="E1357" s="1164"/>
      <c r="F1357" s="473"/>
      <c r="G1357" s="473"/>
      <c r="H1357" s="1164"/>
      <c r="I1357" s="473"/>
      <c r="J1357" s="473"/>
      <c r="K1357" s="1164"/>
      <c r="L1357" s="473"/>
      <c r="M1357" s="473"/>
      <c r="N1357" s="1164"/>
      <c r="O1357" s="473"/>
      <c r="P1357" s="473"/>
      <c r="Q1357" s="1164"/>
      <c r="R1357" s="473"/>
      <c r="S1357" s="473"/>
      <c r="T1357" s="1164"/>
      <c r="U1357" s="1164"/>
      <c r="V1357" s="473"/>
      <c r="W1357" s="473"/>
      <c r="X1357" s="1164"/>
      <c r="Y1357" s="473"/>
      <c r="Z1357" s="473"/>
      <c r="AA1357" s="1164"/>
      <c r="AB1357" s="473"/>
      <c r="AC1357" s="1164"/>
      <c r="AD1357" s="473"/>
      <c r="AE1357" s="1164"/>
      <c r="AF1357" s="473"/>
      <c r="AG1357" s="1164"/>
      <c r="AH1357" s="473"/>
      <c r="AI1357" s="473"/>
      <c r="AJ1357" s="1164"/>
      <c r="AK1357" s="473"/>
      <c r="AL1357" s="473"/>
      <c r="AM1357" s="1164"/>
      <c r="AN1357" s="473"/>
      <c r="AO1357" s="473"/>
      <c r="AP1357" s="1164"/>
      <c r="AQ1357" s="473"/>
      <c r="AR1357" s="473"/>
      <c r="AS1357" s="1236"/>
      <c r="AT1357" s="473"/>
      <c r="AU1357" s="473"/>
      <c r="AV1357" s="1164"/>
      <c r="AW1357" s="1164"/>
      <c r="AX1357" s="1236"/>
      <c r="AY1357" s="473"/>
      <c r="AZ1357" s="1236"/>
      <c r="BA1357" s="473"/>
      <c r="BB1357" s="473"/>
      <c r="BC1357" s="1164"/>
      <c r="BD1357" s="20"/>
      <c r="BE1357" s="473"/>
      <c r="BF1357" s="610"/>
      <c r="BG1357" s="610"/>
      <c r="BH1357" s="610"/>
      <c r="BI1357" s="610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3"/>
      <c r="CQ1357" s="23"/>
      <c r="CR1357" s="23"/>
      <c r="CS1357" s="23"/>
      <c r="CT1357" s="23"/>
      <c r="CU1357" s="23"/>
      <c r="CV1357" s="23"/>
      <c r="CW1357" s="23"/>
      <c r="CX1357" s="23"/>
      <c r="CY1357" s="23"/>
      <c r="CZ1357" s="23"/>
      <c r="DA1357" s="23"/>
      <c r="DB1357" s="23"/>
      <c r="DC1357" s="23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3"/>
      <c r="EA1357" s="23"/>
      <c r="EB1357" s="23"/>
      <c r="EC1357" s="23"/>
      <c r="ED1357" s="23"/>
      <c r="EE1357" s="23"/>
      <c r="EF1357" s="23"/>
      <c r="EG1357" s="23"/>
      <c r="EH1357" s="23"/>
      <c r="EI1357" s="23"/>
      <c r="EJ1357" s="23"/>
      <c r="EK1357" s="23"/>
      <c r="EL1357" s="23"/>
      <c r="EM1357" s="23"/>
      <c r="EN1357" s="23"/>
      <c r="EO1357" s="23"/>
      <c r="EP1357" s="23"/>
      <c r="EQ1357" s="23"/>
      <c r="ER1357" s="23"/>
    </row>
    <row r="1358" spans="1:148" s="22" customFormat="1" x14ac:dyDescent="0.25">
      <c r="A1358" s="20"/>
      <c r="B1358" s="16"/>
      <c r="C1358" s="473"/>
      <c r="D1358" s="473"/>
      <c r="E1358" s="1164"/>
      <c r="F1358" s="473"/>
      <c r="G1358" s="473"/>
      <c r="H1358" s="1164"/>
      <c r="I1358" s="473"/>
      <c r="J1358" s="473"/>
      <c r="K1358" s="1164"/>
      <c r="L1358" s="473"/>
      <c r="M1358" s="473"/>
      <c r="N1358" s="1164"/>
      <c r="O1358" s="473"/>
      <c r="P1358" s="473"/>
      <c r="Q1358" s="1164"/>
      <c r="R1358" s="473"/>
      <c r="S1358" s="473"/>
      <c r="T1358" s="1164"/>
      <c r="U1358" s="1164"/>
      <c r="V1358" s="473"/>
      <c r="W1358" s="473"/>
      <c r="X1358" s="1164"/>
      <c r="Y1358" s="473"/>
      <c r="Z1358" s="473"/>
      <c r="AA1358" s="1164"/>
      <c r="AB1358" s="473"/>
      <c r="AC1358" s="1164"/>
      <c r="AD1358" s="473"/>
      <c r="AE1358" s="1164"/>
      <c r="AF1358" s="473"/>
      <c r="AG1358" s="1164"/>
      <c r="AH1358" s="473"/>
      <c r="AI1358" s="473"/>
      <c r="AJ1358" s="1164"/>
      <c r="AK1358" s="473"/>
      <c r="AL1358" s="473"/>
      <c r="AM1358" s="1164"/>
      <c r="AN1358" s="473"/>
      <c r="AO1358" s="473"/>
      <c r="AP1358" s="1164"/>
      <c r="AQ1358" s="473"/>
      <c r="AR1358" s="473"/>
      <c r="AS1358" s="1236"/>
      <c r="AT1358" s="473"/>
      <c r="AU1358" s="473"/>
      <c r="AV1358" s="1164"/>
      <c r="AW1358" s="1164"/>
      <c r="AX1358" s="1236"/>
      <c r="AY1358" s="473"/>
      <c r="AZ1358" s="1236"/>
      <c r="BA1358" s="473"/>
      <c r="BB1358" s="473"/>
      <c r="BC1358" s="1164"/>
      <c r="BD1358" s="20"/>
      <c r="BE1358" s="473"/>
      <c r="BF1358" s="610"/>
      <c r="BG1358" s="610"/>
      <c r="BH1358" s="610"/>
      <c r="BI1358" s="610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  <c r="CM1358" s="23"/>
      <c r="CN1358" s="23"/>
      <c r="CO1358" s="23"/>
      <c r="CP1358" s="23"/>
      <c r="CQ1358" s="23"/>
      <c r="CR1358" s="23"/>
      <c r="CS1358" s="23"/>
      <c r="CT1358" s="23"/>
      <c r="CU1358" s="23"/>
      <c r="CV1358" s="23"/>
      <c r="CW1358" s="23"/>
      <c r="CX1358" s="23"/>
      <c r="CY1358" s="23"/>
      <c r="CZ1358" s="23"/>
      <c r="DA1358" s="23"/>
      <c r="DB1358" s="23"/>
      <c r="DC1358" s="23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  <c r="DZ1358" s="23"/>
      <c r="EA1358" s="23"/>
      <c r="EB1358" s="23"/>
      <c r="EC1358" s="23"/>
      <c r="ED1358" s="23"/>
      <c r="EE1358" s="23"/>
      <c r="EF1358" s="23"/>
      <c r="EG1358" s="23"/>
      <c r="EH1358" s="23"/>
      <c r="EI1358" s="23"/>
      <c r="EJ1358" s="23"/>
      <c r="EK1358" s="23"/>
      <c r="EL1358" s="23"/>
      <c r="EM1358" s="23"/>
      <c r="EN1358" s="23"/>
      <c r="EO1358" s="23"/>
      <c r="EP1358" s="23"/>
      <c r="EQ1358" s="23"/>
      <c r="ER1358" s="23"/>
    </row>
    <row r="1359" spans="1:148" s="22" customFormat="1" x14ac:dyDescent="0.25">
      <c r="A1359" s="20"/>
      <c r="B1359" s="16"/>
      <c r="C1359" s="473"/>
      <c r="D1359" s="473"/>
      <c r="E1359" s="1164"/>
      <c r="F1359" s="473"/>
      <c r="G1359" s="473"/>
      <c r="H1359" s="1164"/>
      <c r="I1359" s="473"/>
      <c r="J1359" s="473"/>
      <c r="K1359" s="1164"/>
      <c r="L1359" s="473"/>
      <c r="M1359" s="473"/>
      <c r="N1359" s="1164"/>
      <c r="O1359" s="473"/>
      <c r="P1359" s="473"/>
      <c r="Q1359" s="1164"/>
      <c r="R1359" s="473"/>
      <c r="S1359" s="473"/>
      <c r="T1359" s="1164"/>
      <c r="U1359" s="1164"/>
      <c r="V1359" s="473"/>
      <c r="W1359" s="473"/>
      <c r="X1359" s="1164"/>
      <c r="Y1359" s="473"/>
      <c r="Z1359" s="473"/>
      <c r="AA1359" s="1164"/>
      <c r="AB1359" s="473"/>
      <c r="AC1359" s="1164"/>
      <c r="AD1359" s="473"/>
      <c r="AE1359" s="1164"/>
      <c r="AF1359" s="473"/>
      <c r="AG1359" s="1164"/>
      <c r="AH1359" s="473"/>
      <c r="AI1359" s="473"/>
      <c r="AJ1359" s="1164"/>
      <c r="AK1359" s="473"/>
      <c r="AL1359" s="473"/>
      <c r="AM1359" s="1164"/>
      <c r="AN1359" s="473"/>
      <c r="AO1359" s="473"/>
      <c r="AP1359" s="1164"/>
      <c r="AQ1359" s="473"/>
      <c r="AR1359" s="473"/>
      <c r="AS1359" s="1236"/>
      <c r="AT1359" s="473"/>
      <c r="AU1359" s="473"/>
      <c r="AV1359" s="1164"/>
      <c r="AW1359" s="1164"/>
      <c r="AX1359" s="1236"/>
      <c r="AY1359" s="473"/>
      <c r="AZ1359" s="1236"/>
      <c r="BA1359" s="473"/>
      <c r="BB1359" s="473"/>
      <c r="BC1359" s="1164"/>
      <c r="BD1359" s="20"/>
      <c r="BE1359" s="473"/>
      <c r="BF1359" s="610"/>
      <c r="BG1359" s="610"/>
      <c r="BH1359" s="610"/>
      <c r="BI1359" s="610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  <c r="CM1359" s="23"/>
      <c r="CN1359" s="23"/>
      <c r="CO1359" s="23"/>
      <c r="CP1359" s="23"/>
      <c r="CQ1359" s="23"/>
      <c r="CR1359" s="23"/>
      <c r="CS1359" s="23"/>
      <c r="CT1359" s="23"/>
      <c r="CU1359" s="23"/>
      <c r="CV1359" s="23"/>
      <c r="CW1359" s="23"/>
      <c r="CX1359" s="23"/>
      <c r="CY1359" s="23"/>
      <c r="CZ1359" s="23"/>
      <c r="DA1359" s="23"/>
      <c r="DB1359" s="23"/>
      <c r="DC1359" s="23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  <c r="DZ1359" s="23"/>
      <c r="EA1359" s="23"/>
      <c r="EB1359" s="23"/>
      <c r="EC1359" s="23"/>
      <c r="ED1359" s="23"/>
      <c r="EE1359" s="23"/>
      <c r="EF1359" s="23"/>
      <c r="EG1359" s="23"/>
      <c r="EH1359" s="23"/>
      <c r="EI1359" s="23"/>
      <c r="EJ1359" s="23"/>
      <c r="EK1359" s="23"/>
      <c r="EL1359" s="23"/>
      <c r="EM1359" s="23"/>
      <c r="EN1359" s="23"/>
      <c r="EO1359" s="23"/>
      <c r="EP1359" s="23"/>
      <c r="EQ1359" s="23"/>
      <c r="ER1359" s="23"/>
    </row>
    <row r="1360" spans="1:148" s="22" customFormat="1" x14ac:dyDescent="0.25">
      <c r="A1360" s="20"/>
      <c r="B1360" s="16"/>
      <c r="C1360" s="473"/>
      <c r="D1360" s="473"/>
      <c r="E1360" s="1164"/>
      <c r="F1360" s="473"/>
      <c r="G1360" s="473"/>
      <c r="H1360" s="1164"/>
      <c r="I1360" s="473"/>
      <c r="J1360" s="473"/>
      <c r="K1360" s="1164"/>
      <c r="L1360" s="473"/>
      <c r="M1360" s="473"/>
      <c r="N1360" s="1164"/>
      <c r="O1360" s="473"/>
      <c r="P1360" s="473"/>
      <c r="Q1360" s="1164"/>
      <c r="R1360" s="473"/>
      <c r="S1360" s="473"/>
      <c r="T1360" s="1164"/>
      <c r="U1360" s="1164"/>
      <c r="V1360" s="473"/>
      <c r="W1360" s="473"/>
      <c r="X1360" s="1164"/>
      <c r="Y1360" s="473"/>
      <c r="Z1360" s="473"/>
      <c r="AA1360" s="1164"/>
      <c r="AB1360" s="473"/>
      <c r="AC1360" s="1164"/>
      <c r="AD1360" s="473"/>
      <c r="AE1360" s="1164"/>
      <c r="AF1360" s="473"/>
      <c r="AG1360" s="1164"/>
      <c r="AH1360" s="473"/>
      <c r="AI1360" s="473"/>
      <c r="AJ1360" s="1164"/>
      <c r="AK1360" s="473"/>
      <c r="AL1360" s="473"/>
      <c r="AM1360" s="1164"/>
      <c r="AN1360" s="473"/>
      <c r="AO1360" s="473"/>
      <c r="AP1360" s="1164"/>
      <c r="AQ1360" s="473"/>
      <c r="AR1360" s="473"/>
      <c r="AS1360" s="1236"/>
      <c r="AT1360" s="473"/>
      <c r="AU1360" s="473"/>
      <c r="AV1360" s="1164"/>
      <c r="AW1360" s="1164"/>
      <c r="AX1360" s="1236"/>
      <c r="AY1360" s="473"/>
      <c r="AZ1360" s="1236"/>
      <c r="BA1360" s="473"/>
      <c r="BB1360" s="473"/>
      <c r="BC1360" s="1164"/>
      <c r="BD1360" s="20"/>
      <c r="BE1360" s="473"/>
      <c r="BF1360" s="610"/>
      <c r="BG1360" s="610"/>
      <c r="BH1360" s="610"/>
      <c r="BI1360" s="610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  <c r="CM1360" s="23"/>
      <c r="CN1360" s="23"/>
      <c r="CO1360" s="23"/>
      <c r="CP1360" s="23"/>
      <c r="CQ1360" s="23"/>
      <c r="CR1360" s="23"/>
      <c r="CS1360" s="23"/>
      <c r="CT1360" s="23"/>
      <c r="CU1360" s="23"/>
      <c r="CV1360" s="23"/>
      <c r="CW1360" s="23"/>
      <c r="CX1360" s="23"/>
      <c r="CY1360" s="23"/>
      <c r="CZ1360" s="23"/>
      <c r="DA1360" s="23"/>
      <c r="DB1360" s="23"/>
      <c r="DC1360" s="23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  <c r="DZ1360" s="23"/>
      <c r="EA1360" s="23"/>
      <c r="EB1360" s="23"/>
      <c r="EC1360" s="23"/>
      <c r="ED1360" s="23"/>
      <c r="EE1360" s="23"/>
      <c r="EF1360" s="23"/>
      <c r="EG1360" s="23"/>
      <c r="EH1360" s="23"/>
      <c r="EI1360" s="23"/>
      <c r="EJ1360" s="23"/>
      <c r="EK1360" s="23"/>
      <c r="EL1360" s="23"/>
      <c r="EM1360" s="23"/>
      <c r="EN1360" s="23"/>
      <c r="EO1360" s="23"/>
      <c r="EP1360" s="23"/>
      <c r="EQ1360" s="23"/>
      <c r="ER1360" s="23"/>
    </row>
    <row r="1361" spans="1:148" s="22" customFormat="1" x14ac:dyDescent="0.25">
      <c r="A1361" s="20"/>
      <c r="B1361" s="16"/>
      <c r="C1361" s="473"/>
      <c r="D1361" s="473"/>
      <c r="E1361" s="1164"/>
      <c r="F1361" s="473"/>
      <c r="G1361" s="473"/>
      <c r="H1361" s="1164"/>
      <c r="I1361" s="473"/>
      <c r="J1361" s="473"/>
      <c r="K1361" s="1164"/>
      <c r="L1361" s="473"/>
      <c r="M1361" s="473"/>
      <c r="N1361" s="1164"/>
      <c r="O1361" s="473"/>
      <c r="P1361" s="473"/>
      <c r="Q1361" s="1164"/>
      <c r="R1361" s="473"/>
      <c r="S1361" s="473"/>
      <c r="T1361" s="1164"/>
      <c r="U1361" s="1164"/>
      <c r="V1361" s="473"/>
      <c r="W1361" s="473"/>
      <c r="X1361" s="1164"/>
      <c r="Y1361" s="473"/>
      <c r="Z1361" s="473"/>
      <c r="AA1361" s="1164"/>
      <c r="AB1361" s="473"/>
      <c r="AC1361" s="1164"/>
      <c r="AD1361" s="473"/>
      <c r="AE1361" s="1164"/>
      <c r="AF1361" s="473"/>
      <c r="AG1361" s="1164"/>
      <c r="AH1361" s="473"/>
      <c r="AI1361" s="473"/>
      <c r="AJ1361" s="1164"/>
      <c r="AK1361" s="473"/>
      <c r="AL1361" s="473"/>
      <c r="AM1361" s="1164"/>
      <c r="AN1361" s="473"/>
      <c r="AO1361" s="473"/>
      <c r="AP1361" s="1164"/>
      <c r="AQ1361" s="473"/>
      <c r="AR1361" s="473"/>
      <c r="AS1361" s="1236"/>
      <c r="AT1361" s="473"/>
      <c r="AU1361" s="473"/>
      <c r="AV1361" s="1164"/>
      <c r="AW1361" s="1164"/>
      <c r="AX1361" s="1236"/>
      <c r="AY1361" s="473"/>
      <c r="AZ1361" s="1236"/>
      <c r="BA1361" s="473"/>
      <c r="BB1361" s="473"/>
      <c r="BC1361" s="1164"/>
      <c r="BD1361" s="20"/>
      <c r="BE1361" s="473"/>
      <c r="BF1361" s="610"/>
      <c r="BG1361" s="610"/>
      <c r="BH1361" s="610"/>
      <c r="BI1361" s="610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  <c r="EF1361" s="23"/>
      <c r="EG1361" s="23"/>
      <c r="EH1361" s="23"/>
      <c r="EI1361" s="23"/>
      <c r="EJ1361" s="23"/>
      <c r="EK1361" s="23"/>
      <c r="EL1361" s="23"/>
      <c r="EM1361" s="23"/>
      <c r="EN1361" s="23"/>
      <c r="EO1361" s="23"/>
      <c r="EP1361" s="23"/>
      <c r="EQ1361" s="23"/>
      <c r="ER1361" s="23"/>
    </row>
    <row r="1362" spans="1:148" s="22" customFormat="1" x14ac:dyDescent="0.25">
      <c r="A1362" s="20"/>
      <c r="B1362" s="16"/>
      <c r="C1362" s="473"/>
      <c r="D1362" s="473"/>
      <c r="E1362" s="1164"/>
      <c r="F1362" s="473"/>
      <c r="G1362" s="473"/>
      <c r="H1362" s="1164"/>
      <c r="I1362" s="473"/>
      <c r="J1362" s="473"/>
      <c r="K1362" s="1164"/>
      <c r="L1362" s="473"/>
      <c r="M1362" s="473"/>
      <c r="N1362" s="1164"/>
      <c r="O1362" s="473"/>
      <c r="P1362" s="473"/>
      <c r="Q1362" s="1164"/>
      <c r="R1362" s="473"/>
      <c r="S1362" s="473"/>
      <c r="T1362" s="1164"/>
      <c r="U1362" s="1164"/>
      <c r="V1362" s="473"/>
      <c r="W1362" s="473"/>
      <c r="X1362" s="1164"/>
      <c r="Y1362" s="473"/>
      <c r="Z1362" s="473"/>
      <c r="AA1362" s="1164"/>
      <c r="AB1362" s="473"/>
      <c r="AC1362" s="1164"/>
      <c r="AD1362" s="473"/>
      <c r="AE1362" s="1164"/>
      <c r="AF1362" s="473"/>
      <c r="AG1362" s="1164"/>
      <c r="AH1362" s="473"/>
      <c r="AI1362" s="473"/>
      <c r="AJ1362" s="1164"/>
      <c r="AK1362" s="473"/>
      <c r="AL1362" s="473"/>
      <c r="AM1362" s="1164"/>
      <c r="AN1362" s="473"/>
      <c r="AO1362" s="473"/>
      <c r="AP1362" s="1164"/>
      <c r="AQ1362" s="473"/>
      <c r="AR1362" s="473"/>
      <c r="AS1362" s="1236"/>
      <c r="AT1362" s="473"/>
      <c r="AU1362" s="473"/>
      <c r="AV1362" s="1164"/>
      <c r="AW1362" s="1164"/>
      <c r="AX1362" s="1236"/>
      <c r="AY1362" s="473"/>
      <c r="AZ1362" s="1236"/>
      <c r="BA1362" s="473"/>
      <c r="BB1362" s="473"/>
      <c r="BC1362" s="1164"/>
      <c r="BD1362" s="20"/>
      <c r="BE1362" s="473"/>
      <c r="BF1362" s="610"/>
      <c r="BG1362" s="610"/>
      <c r="BH1362" s="610"/>
      <c r="BI1362" s="610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3"/>
      <c r="CQ1362" s="23"/>
      <c r="CR1362" s="23"/>
      <c r="CS1362" s="23"/>
      <c r="CT1362" s="23"/>
      <c r="CU1362" s="23"/>
      <c r="CV1362" s="23"/>
      <c r="CW1362" s="23"/>
      <c r="CX1362" s="23"/>
      <c r="CY1362" s="23"/>
      <c r="CZ1362" s="23"/>
      <c r="DA1362" s="23"/>
      <c r="DB1362" s="23"/>
      <c r="DC1362" s="23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3"/>
      <c r="EA1362" s="23"/>
      <c r="EB1362" s="23"/>
      <c r="EC1362" s="23"/>
      <c r="ED1362" s="23"/>
      <c r="EE1362" s="23"/>
      <c r="EF1362" s="23"/>
      <c r="EG1362" s="23"/>
      <c r="EH1362" s="23"/>
      <c r="EI1362" s="23"/>
      <c r="EJ1362" s="23"/>
      <c r="EK1362" s="23"/>
      <c r="EL1362" s="23"/>
      <c r="EM1362" s="23"/>
      <c r="EN1362" s="23"/>
      <c r="EO1362" s="23"/>
      <c r="EP1362" s="23"/>
      <c r="EQ1362" s="23"/>
      <c r="ER1362" s="23"/>
    </row>
    <row r="1363" spans="1:148" s="22" customFormat="1" x14ac:dyDescent="0.25">
      <c r="A1363" s="20"/>
      <c r="B1363" s="16"/>
      <c r="C1363" s="473"/>
      <c r="D1363" s="473"/>
      <c r="E1363" s="1164"/>
      <c r="F1363" s="473"/>
      <c r="G1363" s="473"/>
      <c r="H1363" s="1164"/>
      <c r="I1363" s="473"/>
      <c r="J1363" s="473"/>
      <c r="K1363" s="1164"/>
      <c r="L1363" s="473"/>
      <c r="M1363" s="473"/>
      <c r="N1363" s="1164"/>
      <c r="O1363" s="473"/>
      <c r="P1363" s="473"/>
      <c r="Q1363" s="1164"/>
      <c r="R1363" s="473"/>
      <c r="S1363" s="473"/>
      <c r="T1363" s="1164"/>
      <c r="U1363" s="1164"/>
      <c r="V1363" s="473"/>
      <c r="W1363" s="473"/>
      <c r="X1363" s="1164"/>
      <c r="Y1363" s="473"/>
      <c r="Z1363" s="473"/>
      <c r="AA1363" s="1164"/>
      <c r="AB1363" s="473"/>
      <c r="AC1363" s="1164"/>
      <c r="AD1363" s="473"/>
      <c r="AE1363" s="1164"/>
      <c r="AF1363" s="473"/>
      <c r="AG1363" s="1164"/>
      <c r="AH1363" s="473"/>
      <c r="AI1363" s="473"/>
      <c r="AJ1363" s="1164"/>
      <c r="AK1363" s="473"/>
      <c r="AL1363" s="473"/>
      <c r="AM1363" s="1164"/>
      <c r="AN1363" s="473"/>
      <c r="AO1363" s="473"/>
      <c r="AP1363" s="1164"/>
      <c r="AQ1363" s="473"/>
      <c r="AR1363" s="473"/>
      <c r="AS1363" s="1236"/>
      <c r="AT1363" s="473"/>
      <c r="AU1363" s="473"/>
      <c r="AV1363" s="1164"/>
      <c r="AW1363" s="1164"/>
      <c r="AX1363" s="1236"/>
      <c r="AY1363" s="473"/>
      <c r="AZ1363" s="1236"/>
      <c r="BA1363" s="473"/>
      <c r="BB1363" s="473"/>
      <c r="BC1363" s="1164"/>
      <c r="BD1363" s="20"/>
      <c r="BE1363" s="473"/>
      <c r="BF1363" s="610"/>
      <c r="BG1363" s="610"/>
      <c r="BH1363" s="610"/>
      <c r="BI1363" s="610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  <c r="EF1363" s="23"/>
      <c r="EG1363" s="23"/>
      <c r="EH1363" s="23"/>
      <c r="EI1363" s="23"/>
      <c r="EJ1363" s="23"/>
      <c r="EK1363" s="23"/>
      <c r="EL1363" s="23"/>
      <c r="EM1363" s="23"/>
      <c r="EN1363" s="23"/>
      <c r="EO1363" s="23"/>
      <c r="EP1363" s="23"/>
      <c r="EQ1363" s="23"/>
      <c r="ER1363" s="23"/>
    </row>
    <row r="1364" spans="1:148" s="22" customFormat="1" x14ac:dyDescent="0.25">
      <c r="A1364" s="20"/>
      <c r="B1364" s="16"/>
      <c r="C1364" s="473"/>
      <c r="D1364" s="473"/>
      <c r="E1364" s="1164"/>
      <c r="F1364" s="473"/>
      <c r="G1364" s="473"/>
      <c r="H1364" s="1164"/>
      <c r="I1364" s="473"/>
      <c r="J1364" s="473"/>
      <c r="K1364" s="1164"/>
      <c r="L1364" s="473"/>
      <c r="M1364" s="473"/>
      <c r="N1364" s="1164"/>
      <c r="O1364" s="473"/>
      <c r="P1364" s="473"/>
      <c r="Q1364" s="1164"/>
      <c r="R1364" s="473"/>
      <c r="S1364" s="473"/>
      <c r="T1364" s="1164"/>
      <c r="U1364" s="1164"/>
      <c r="V1364" s="473"/>
      <c r="W1364" s="473"/>
      <c r="X1364" s="1164"/>
      <c r="Y1364" s="473"/>
      <c r="Z1364" s="473"/>
      <c r="AA1364" s="1164"/>
      <c r="AB1364" s="473"/>
      <c r="AC1364" s="1164"/>
      <c r="AD1364" s="473"/>
      <c r="AE1364" s="1164"/>
      <c r="AF1364" s="473"/>
      <c r="AG1364" s="1164"/>
      <c r="AH1364" s="473"/>
      <c r="AI1364" s="473"/>
      <c r="AJ1364" s="1164"/>
      <c r="AK1364" s="473"/>
      <c r="AL1364" s="473"/>
      <c r="AM1364" s="1164"/>
      <c r="AN1364" s="473"/>
      <c r="AO1364" s="473"/>
      <c r="AP1364" s="1164"/>
      <c r="AQ1364" s="473"/>
      <c r="AR1364" s="473"/>
      <c r="AS1364" s="1236"/>
      <c r="AT1364" s="473"/>
      <c r="AU1364" s="473"/>
      <c r="AV1364" s="1164"/>
      <c r="AW1364" s="1164"/>
      <c r="AX1364" s="1236"/>
      <c r="AY1364" s="473"/>
      <c r="AZ1364" s="1236"/>
      <c r="BA1364" s="473"/>
      <c r="BB1364" s="473"/>
      <c r="BC1364" s="1164"/>
      <c r="BD1364" s="20"/>
      <c r="BE1364" s="473"/>
      <c r="BF1364" s="610"/>
      <c r="BG1364" s="610"/>
      <c r="BH1364" s="610"/>
      <c r="BI1364" s="610"/>
      <c r="BJ1364" s="23"/>
      <c r="BK1364" s="23"/>
      <c r="BL1364" s="23"/>
      <c r="BM1364" s="23"/>
      <c r="BN1364" s="23"/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3"/>
      <c r="CG1364" s="23"/>
      <c r="CH1364" s="23"/>
      <c r="CI1364" s="23"/>
      <c r="CJ1364" s="23"/>
      <c r="CK1364" s="23"/>
      <c r="CL1364" s="23"/>
      <c r="CM1364" s="23"/>
      <c r="CN1364" s="23"/>
      <c r="CO1364" s="23"/>
      <c r="CP1364" s="23"/>
      <c r="CQ1364" s="23"/>
      <c r="CR1364" s="23"/>
      <c r="CS1364" s="23"/>
      <c r="CT1364" s="23"/>
      <c r="CU1364" s="23"/>
      <c r="CV1364" s="23"/>
      <c r="CW1364" s="23"/>
      <c r="CX1364" s="23"/>
      <c r="CY1364" s="23"/>
      <c r="CZ1364" s="23"/>
      <c r="DA1364" s="23"/>
      <c r="DB1364" s="23"/>
      <c r="DC1364" s="23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  <c r="DZ1364" s="23"/>
      <c r="EA1364" s="23"/>
      <c r="EB1364" s="23"/>
      <c r="EC1364" s="23"/>
      <c r="ED1364" s="23"/>
      <c r="EE1364" s="23"/>
      <c r="EF1364" s="23"/>
      <c r="EG1364" s="23"/>
      <c r="EH1364" s="23"/>
      <c r="EI1364" s="23"/>
      <c r="EJ1364" s="23"/>
      <c r="EK1364" s="23"/>
      <c r="EL1364" s="23"/>
      <c r="EM1364" s="23"/>
      <c r="EN1364" s="23"/>
      <c r="EO1364" s="23"/>
      <c r="EP1364" s="23"/>
      <c r="EQ1364" s="23"/>
      <c r="ER1364" s="23"/>
    </row>
    <row r="1365" spans="1:148" s="22" customFormat="1" x14ac:dyDescent="0.25">
      <c r="A1365" s="20"/>
      <c r="B1365" s="16"/>
      <c r="C1365" s="473"/>
      <c r="D1365" s="473"/>
      <c r="E1365" s="1164"/>
      <c r="F1365" s="473"/>
      <c r="G1365" s="473"/>
      <c r="H1365" s="1164"/>
      <c r="I1365" s="473"/>
      <c r="J1365" s="473"/>
      <c r="K1365" s="1164"/>
      <c r="L1365" s="473"/>
      <c r="M1365" s="473"/>
      <c r="N1365" s="1164"/>
      <c r="O1365" s="473"/>
      <c r="P1365" s="473"/>
      <c r="Q1365" s="1164"/>
      <c r="R1365" s="473"/>
      <c r="S1365" s="473"/>
      <c r="T1365" s="1164"/>
      <c r="U1365" s="1164"/>
      <c r="V1365" s="473"/>
      <c r="W1365" s="473"/>
      <c r="X1365" s="1164"/>
      <c r="Y1365" s="473"/>
      <c r="Z1365" s="473"/>
      <c r="AA1365" s="1164"/>
      <c r="AB1365" s="473"/>
      <c r="AC1365" s="1164"/>
      <c r="AD1365" s="473"/>
      <c r="AE1365" s="1164"/>
      <c r="AF1365" s="473"/>
      <c r="AG1365" s="1164"/>
      <c r="AH1365" s="473"/>
      <c r="AI1365" s="473"/>
      <c r="AJ1365" s="1164"/>
      <c r="AK1365" s="473"/>
      <c r="AL1365" s="473"/>
      <c r="AM1365" s="1164"/>
      <c r="AN1365" s="473"/>
      <c r="AO1365" s="473"/>
      <c r="AP1365" s="1164"/>
      <c r="AQ1365" s="473"/>
      <c r="AR1365" s="473"/>
      <c r="AS1365" s="1236"/>
      <c r="AT1365" s="473"/>
      <c r="AU1365" s="473"/>
      <c r="AV1365" s="1164"/>
      <c r="AW1365" s="1164"/>
      <c r="AX1365" s="1236"/>
      <c r="AY1365" s="473"/>
      <c r="AZ1365" s="1236"/>
      <c r="BA1365" s="473"/>
      <c r="BB1365" s="473"/>
      <c r="BC1365" s="1164"/>
      <c r="BD1365" s="20"/>
      <c r="BE1365" s="473"/>
      <c r="BF1365" s="610"/>
      <c r="BG1365" s="610"/>
      <c r="BH1365" s="610"/>
      <c r="BI1365" s="610"/>
      <c r="BJ1365" s="23"/>
      <c r="BK1365" s="23"/>
      <c r="BL1365" s="23"/>
      <c r="BM1365" s="23"/>
      <c r="BN1365" s="23"/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3"/>
      <c r="CG1365" s="23"/>
      <c r="CH1365" s="23"/>
      <c r="CI1365" s="23"/>
      <c r="CJ1365" s="23"/>
      <c r="CK1365" s="23"/>
      <c r="CL1365" s="23"/>
      <c r="CM1365" s="23"/>
      <c r="CN1365" s="23"/>
      <c r="CO1365" s="23"/>
      <c r="CP1365" s="23"/>
      <c r="CQ1365" s="23"/>
      <c r="CR1365" s="23"/>
      <c r="CS1365" s="23"/>
      <c r="CT1365" s="23"/>
      <c r="CU1365" s="23"/>
      <c r="CV1365" s="23"/>
      <c r="CW1365" s="23"/>
      <c r="CX1365" s="23"/>
      <c r="CY1365" s="23"/>
      <c r="CZ1365" s="23"/>
      <c r="DA1365" s="23"/>
      <c r="DB1365" s="23"/>
      <c r="DC1365" s="23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  <c r="DZ1365" s="23"/>
      <c r="EA1365" s="23"/>
      <c r="EB1365" s="23"/>
      <c r="EC1365" s="23"/>
      <c r="ED1365" s="23"/>
      <c r="EE1365" s="23"/>
      <c r="EF1365" s="23"/>
      <c r="EG1365" s="23"/>
      <c r="EH1365" s="23"/>
      <c r="EI1365" s="23"/>
      <c r="EJ1365" s="23"/>
      <c r="EK1365" s="23"/>
      <c r="EL1365" s="23"/>
      <c r="EM1365" s="23"/>
      <c r="EN1365" s="23"/>
      <c r="EO1365" s="23"/>
      <c r="EP1365" s="23"/>
      <c r="EQ1365" s="23"/>
      <c r="ER1365" s="23"/>
    </row>
    <row r="1366" spans="1:148" s="22" customFormat="1" x14ac:dyDescent="0.25">
      <c r="A1366" s="20"/>
      <c r="B1366" s="16"/>
      <c r="C1366" s="473"/>
      <c r="D1366" s="473"/>
      <c r="E1366" s="1164"/>
      <c r="F1366" s="473"/>
      <c r="G1366" s="473"/>
      <c r="H1366" s="1164"/>
      <c r="I1366" s="473"/>
      <c r="J1366" s="473"/>
      <c r="K1366" s="1164"/>
      <c r="L1366" s="473"/>
      <c r="M1366" s="473"/>
      <c r="N1366" s="1164"/>
      <c r="O1366" s="473"/>
      <c r="P1366" s="473"/>
      <c r="Q1366" s="1164"/>
      <c r="R1366" s="473"/>
      <c r="S1366" s="473"/>
      <c r="T1366" s="1164"/>
      <c r="U1366" s="1164"/>
      <c r="V1366" s="473"/>
      <c r="W1366" s="473"/>
      <c r="X1366" s="1164"/>
      <c r="Y1366" s="473"/>
      <c r="Z1366" s="473"/>
      <c r="AA1366" s="1164"/>
      <c r="AB1366" s="473"/>
      <c r="AC1366" s="1164"/>
      <c r="AD1366" s="473"/>
      <c r="AE1366" s="1164"/>
      <c r="AF1366" s="473"/>
      <c r="AG1366" s="1164"/>
      <c r="AH1366" s="473"/>
      <c r="AI1366" s="473"/>
      <c r="AJ1366" s="1164"/>
      <c r="AK1366" s="473"/>
      <c r="AL1366" s="473"/>
      <c r="AM1366" s="1164"/>
      <c r="AN1366" s="473"/>
      <c r="AO1366" s="473"/>
      <c r="AP1366" s="1164"/>
      <c r="AQ1366" s="473"/>
      <c r="AR1366" s="473"/>
      <c r="AS1366" s="1236"/>
      <c r="AT1366" s="473"/>
      <c r="AU1366" s="473"/>
      <c r="AV1366" s="1164"/>
      <c r="AW1366" s="1164"/>
      <c r="AX1366" s="1236"/>
      <c r="AY1366" s="473"/>
      <c r="AZ1366" s="1236"/>
      <c r="BA1366" s="473"/>
      <c r="BB1366" s="473"/>
      <c r="BC1366" s="1164"/>
      <c r="BD1366" s="20"/>
      <c r="BE1366" s="473"/>
      <c r="BF1366" s="610"/>
      <c r="BG1366" s="610"/>
      <c r="BH1366" s="610"/>
      <c r="BI1366" s="610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3"/>
      <c r="CQ1366" s="23"/>
      <c r="CR1366" s="23"/>
      <c r="CS1366" s="23"/>
      <c r="CT1366" s="23"/>
      <c r="CU1366" s="23"/>
      <c r="CV1366" s="23"/>
      <c r="CW1366" s="23"/>
      <c r="CX1366" s="23"/>
      <c r="CY1366" s="23"/>
      <c r="CZ1366" s="23"/>
      <c r="DA1366" s="23"/>
      <c r="DB1366" s="23"/>
      <c r="DC1366" s="23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  <c r="DZ1366" s="23"/>
      <c r="EA1366" s="23"/>
      <c r="EB1366" s="23"/>
      <c r="EC1366" s="23"/>
      <c r="ED1366" s="23"/>
      <c r="EE1366" s="23"/>
      <c r="EF1366" s="23"/>
      <c r="EG1366" s="23"/>
      <c r="EH1366" s="23"/>
      <c r="EI1366" s="23"/>
      <c r="EJ1366" s="23"/>
      <c r="EK1366" s="23"/>
      <c r="EL1366" s="23"/>
      <c r="EM1366" s="23"/>
      <c r="EN1366" s="23"/>
      <c r="EO1366" s="23"/>
      <c r="EP1366" s="23"/>
      <c r="EQ1366" s="23"/>
      <c r="ER1366" s="23"/>
    </row>
    <row r="1367" spans="1:148" s="22" customFormat="1" x14ac:dyDescent="0.25">
      <c r="A1367" s="20"/>
      <c r="B1367" s="16"/>
      <c r="C1367" s="473"/>
      <c r="D1367" s="473"/>
      <c r="E1367" s="1164"/>
      <c r="F1367" s="473"/>
      <c r="G1367" s="473"/>
      <c r="H1367" s="1164"/>
      <c r="I1367" s="473"/>
      <c r="J1367" s="473"/>
      <c r="K1367" s="1164"/>
      <c r="L1367" s="473"/>
      <c r="M1367" s="473"/>
      <c r="N1367" s="1164"/>
      <c r="O1367" s="473"/>
      <c r="P1367" s="473"/>
      <c r="Q1367" s="1164"/>
      <c r="R1367" s="473"/>
      <c r="S1367" s="473"/>
      <c r="T1367" s="1164"/>
      <c r="U1367" s="1164"/>
      <c r="V1367" s="473"/>
      <c r="W1367" s="473"/>
      <c r="X1367" s="1164"/>
      <c r="Y1367" s="473"/>
      <c r="Z1367" s="473"/>
      <c r="AA1367" s="1164"/>
      <c r="AB1367" s="473"/>
      <c r="AC1367" s="1164"/>
      <c r="AD1367" s="473"/>
      <c r="AE1367" s="1164"/>
      <c r="AF1367" s="473"/>
      <c r="AG1367" s="1164"/>
      <c r="AH1367" s="473"/>
      <c r="AI1367" s="473"/>
      <c r="AJ1367" s="1164"/>
      <c r="AK1367" s="473"/>
      <c r="AL1367" s="473"/>
      <c r="AM1367" s="1164"/>
      <c r="AN1367" s="473"/>
      <c r="AO1367" s="473"/>
      <c r="AP1367" s="1164"/>
      <c r="AQ1367" s="473"/>
      <c r="AR1367" s="473"/>
      <c r="AS1367" s="1236"/>
      <c r="AT1367" s="473"/>
      <c r="AU1367" s="473"/>
      <c r="AV1367" s="1164"/>
      <c r="AW1367" s="1164"/>
      <c r="AX1367" s="1236"/>
      <c r="AY1367" s="473"/>
      <c r="AZ1367" s="1236"/>
      <c r="BA1367" s="473"/>
      <c r="BB1367" s="473"/>
      <c r="BC1367" s="1164"/>
      <c r="BD1367" s="20"/>
      <c r="BE1367" s="473"/>
      <c r="BF1367" s="610"/>
      <c r="BG1367" s="610"/>
      <c r="BH1367" s="610"/>
      <c r="BI1367" s="610"/>
      <c r="BJ1367" s="23"/>
      <c r="BK1367" s="23"/>
      <c r="BL1367" s="2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3"/>
      <c r="CQ1367" s="23"/>
      <c r="CR1367" s="23"/>
      <c r="CS1367" s="23"/>
      <c r="CT1367" s="23"/>
      <c r="CU1367" s="23"/>
      <c r="CV1367" s="23"/>
      <c r="CW1367" s="23"/>
      <c r="CX1367" s="23"/>
      <c r="CY1367" s="23"/>
      <c r="CZ1367" s="23"/>
      <c r="DA1367" s="23"/>
      <c r="DB1367" s="23"/>
      <c r="DC1367" s="23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3"/>
      <c r="EA1367" s="23"/>
      <c r="EB1367" s="23"/>
      <c r="EC1367" s="23"/>
      <c r="ED1367" s="23"/>
      <c r="EE1367" s="23"/>
      <c r="EF1367" s="23"/>
      <c r="EG1367" s="23"/>
      <c r="EH1367" s="23"/>
      <c r="EI1367" s="23"/>
      <c r="EJ1367" s="23"/>
      <c r="EK1367" s="23"/>
      <c r="EL1367" s="23"/>
      <c r="EM1367" s="23"/>
      <c r="EN1367" s="23"/>
      <c r="EO1367" s="23"/>
      <c r="EP1367" s="23"/>
      <c r="EQ1367" s="23"/>
      <c r="ER1367" s="23"/>
    </row>
    <row r="1368" spans="1:148" s="22" customFormat="1" x14ac:dyDescent="0.25">
      <c r="A1368" s="20"/>
      <c r="B1368" s="16"/>
      <c r="C1368" s="473"/>
      <c r="D1368" s="473"/>
      <c r="E1368" s="1164"/>
      <c r="F1368" s="473"/>
      <c r="G1368" s="473"/>
      <c r="H1368" s="1164"/>
      <c r="I1368" s="473"/>
      <c r="J1368" s="473"/>
      <c r="K1368" s="1164"/>
      <c r="L1368" s="473"/>
      <c r="M1368" s="473"/>
      <c r="N1368" s="1164"/>
      <c r="O1368" s="473"/>
      <c r="P1368" s="473"/>
      <c r="Q1368" s="1164"/>
      <c r="R1368" s="473"/>
      <c r="S1368" s="473"/>
      <c r="T1368" s="1164"/>
      <c r="U1368" s="1164"/>
      <c r="V1368" s="473"/>
      <c r="W1368" s="473"/>
      <c r="X1368" s="1164"/>
      <c r="Y1368" s="473"/>
      <c r="Z1368" s="473"/>
      <c r="AA1368" s="1164"/>
      <c r="AB1368" s="473"/>
      <c r="AC1368" s="1164"/>
      <c r="AD1368" s="473"/>
      <c r="AE1368" s="1164"/>
      <c r="AF1368" s="473"/>
      <c r="AG1368" s="1164"/>
      <c r="AH1368" s="473"/>
      <c r="AI1368" s="473"/>
      <c r="AJ1368" s="1164"/>
      <c r="AK1368" s="473"/>
      <c r="AL1368" s="473"/>
      <c r="AM1368" s="1164"/>
      <c r="AN1368" s="473"/>
      <c r="AO1368" s="473"/>
      <c r="AP1368" s="1164"/>
      <c r="AQ1368" s="473"/>
      <c r="AR1368" s="473"/>
      <c r="AS1368" s="1236"/>
      <c r="AT1368" s="473"/>
      <c r="AU1368" s="473"/>
      <c r="AV1368" s="1164"/>
      <c r="AW1368" s="1164"/>
      <c r="AX1368" s="1236"/>
      <c r="AY1368" s="473"/>
      <c r="AZ1368" s="1236"/>
      <c r="BA1368" s="473"/>
      <c r="BB1368" s="473"/>
      <c r="BC1368" s="1164"/>
      <c r="BD1368" s="20"/>
      <c r="BE1368" s="473"/>
      <c r="BF1368" s="610"/>
      <c r="BG1368" s="610"/>
      <c r="BH1368" s="610"/>
      <c r="BI1368" s="610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3"/>
      <c r="CQ1368" s="23"/>
      <c r="CR1368" s="23"/>
      <c r="CS1368" s="23"/>
      <c r="CT1368" s="23"/>
      <c r="CU1368" s="23"/>
      <c r="CV1368" s="23"/>
      <c r="CW1368" s="23"/>
      <c r="CX1368" s="23"/>
      <c r="CY1368" s="23"/>
      <c r="CZ1368" s="23"/>
      <c r="DA1368" s="23"/>
      <c r="DB1368" s="23"/>
      <c r="DC1368" s="23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3"/>
      <c r="EA1368" s="23"/>
      <c r="EB1368" s="23"/>
      <c r="EC1368" s="23"/>
      <c r="ED1368" s="23"/>
      <c r="EE1368" s="23"/>
      <c r="EF1368" s="23"/>
      <c r="EG1368" s="23"/>
      <c r="EH1368" s="23"/>
      <c r="EI1368" s="23"/>
      <c r="EJ1368" s="23"/>
      <c r="EK1368" s="23"/>
      <c r="EL1368" s="23"/>
      <c r="EM1368" s="23"/>
      <c r="EN1368" s="23"/>
      <c r="EO1368" s="23"/>
      <c r="EP1368" s="23"/>
      <c r="EQ1368" s="23"/>
      <c r="ER1368" s="23"/>
    </row>
    <row r="1369" spans="1:148" s="22" customFormat="1" x14ac:dyDescent="0.25">
      <c r="A1369" s="20"/>
      <c r="B1369" s="16"/>
      <c r="C1369" s="473"/>
      <c r="D1369" s="473"/>
      <c r="E1369" s="1164"/>
      <c r="F1369" s="473"/>
      <c r="G1369" s="473"/>
      <c r="H1369" s="1164"/>
      <c r="I1369" s="473"/>
      <c r="J1369" s="473"/>
      <c r="K1369" s="1164"/>
      <c r="L1369" s="473"/>
      <c r="M1369" s="473"/>
      <c r="N1369" s="1164"/>
      <c r="O1369" s="473"/>
      <c r="P1369" s="473"/>
      <c r="Q1369" s="1164"/>
      <c r="R1369" s="473"/>
      <c r="S1369" s="473"/>
      <c r="T1369" s="1164"/>
      <c r="U1369" s="1164"/>
      <c r="V1369" s="473"/>
      <c r="W1369" s="473"/>
      <c r="X1369" s="1164"/>
      <c r="Y1369" s="473"/>
      <c r="Z1369" s="473"/>
      <c r="AA1369" s="1164"/>
      <c r="AB1369" s="473"/>
      <c r="AC1369" s="1164"/>
      <c r="AD1369" s="473"/>
      <c r="AE1369" s="1164"/>
      <c r="AF1369" s="473"/>
      <c r="AG1369" s="1164"/>
      <c r="AH1369" s="473"/>
      <c r="AI1369" s="473"/>
      <c r="AJ1369" s="1164"/>
      <c r="AK1369" s="473"/>
      <c r="AL1369" s="473"/>
      <c r="AM1369" s="1164"/>
      <c r="AN1369" s="473"/>
      <c r="AO1369" s="473"/>
      <c r="AP1369" s="1164"/>
      <c r="AQ1369" s="473"/>
      <c r="AR1369" s="473"/>
      <c r="AS1369" s="1236"/>
      <c r="AT1369" s="473"/>
      <c r="AU1369" s="473"/>
      <c r="AV1369" s="1164"/>
      <c r="AW1369" s="1164"/>
      <c r="AX1369" s="1236"/>
      <c r="AY1369" s="473"/>
      <c r="AZ1369" s="1236"/>
      <c r="BA1369" s="473"/>
      <c r="BB1369" s="473"/>
      <c r="BC1369" s="1164"/>
      <c r="BD1369" s="20"/>
      <c r="BE1369" s="473"/>
      <c r="BF1369" s="610"/>
      <c r="BG1369" s="610"/>
      <c r="BH1369" s="610"/>
      <c r="BI1369" s="610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  <c r="CM1369" s="23"/>
      <c r="CN1369" s="23"/>
      <c r="CO1369" s="23"/>
      <c r="CP1369" s="23"/>
      <c r="CQ1369" s="23"/>
      <c r="CR1369" s="23"/>
      <c r="CS1369" s="23"/>
      <c r="CT1369" s="23"/>
      <c r="CU1369" s="23"/>
      <c r="CV1369" s="23"/>
      <c r="CW1369" s="23"/>
      <c r="CX1369" s="23"/>
      <c r="CY1369" s="23"/>
      <c r="CZ1369" s="23"/>
      <c r="DA1369" s="23"/>
      <c r="DB1369" s="23"/>
      <c r="DC1369" s="23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  <c r="DZ1369" s="23"/>
      <c r="EA1369" s="23"/>
      <c r="EB1369" s="23"/>
      <c r="EC1369" s="23"/>
      <c r="ED1369" s="23"/>
      <c r="EE1369" s="23"/>
      <c r="EF1369" s="23"/>
      <c r="EG1369" s="23"/>
      <c r="EH1369" s="23"/>
      <c r="EI1369" s="23"/>
      <c r="EJ1369" s="23"/>
      <c r="EK1369" s="23"/>
      <c r="EL1369" s="23"/>
      <c r="EM1369" s="23"/>
      <c r="EN1369" s="23"/>
      <c r="EO1369" s="23"/>
      <c r="EP1369" s="23"/>
      <c r="EQ1369" s="23"/>
      <c r="ER1369" s="23"/>
    </row>
    <row r="1370" spans="1:148" s="22" customFormat="1" x14ac:dyDescent="0.25">
      <c r="A1370" s="20"/>
      <c r="B1370" s="16"/>
      <c r="C1370" s="473"/>
      <c r="D1370" s="473"/>
      <c r="E1370" s="1164"/>
      <c r="F1370" s="473"/>
      <c r="G1370" s="473"/>
      <c r="H1370" s="1164"/>
      <c r="I1370" s="473"/>
      <c r="J1370" s="473"/>
      <c r="K1370" s="1164"/>
      <c r="L1370" s="473"/>
      <c r="M1370" s="473"/>
      <c r="N1370" s="1164"/>
      <c r="O1370" s="473"/>
      <c r="P1370" s="473"/>
      <c r="Q1370" s="1164"/>
      <c r="R1370" s="473"/>
      <c r="S1370" s="473"/>
      <c r="T1370" s="1164"/>
      <c r="U1370" s="1164"/>
      <c r="V1370" s="473"/>
      <c r="W1370" s="473"/>
      <c r="X1370" s="1164"/>
      <c r="Y1370" s="473"/>
      <c r="Z1370" s="473"/>
      <c r="AA1370" s="1164"/>
      <c r="AB1370" s="473"/>
      <c r="AC1370" s="1164"/>
      <c r="AD1370" s="473"/>
      <c r="AE1370" s="1164"/>
      <c r="AF1370" s="473"/>
      <c r="AG1370" s="1164"/>
      <c r="AH1370" s="473"/>
      <c r="AI1370" s="473"/>
      <c r="AJ1370" s="1164"/>
      <c r="AK1370" s="473"/>
      <c r="AL1370" s="473"/>
      <c r="AM1370" s="1164"/>
      <c r="AN1370" s="473"/>
      <c r="AO1370" s="473"/>
      <c r="AP1370" s="1164"/>
      <c r="AQ1370" s="473"/>
      <c r="AR1370" s="473"/>
      <c r="AS1370" s="1236"/>
      <c r="AT1370" s="473"/>
      <c r="AU1370" s="473"/>
      <c r="AV1370" s="1164"/>
      <c r="AW1370" s="1164"/>
      <c r="AX1370" s="1236"/>
      <c r="AY1370" s="473"/>
      <c r="AZ1370" s="1236"/>
      <c r="BA1370" s="473"/>
      <c r="BB1370" s="473"/>
      <c r="BC1370" s="1164"/>
      <c r="BD1370" s="20"/>
      <c r="BE1370" s="473"/>
      <c r="BF1370" s="610"/>
      <c r="BG1370" s="610"/>
      <c r="BH1370" s="610"/>
      <c r="BI1370" s="610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  <c r="CM1370" s="23"/>
      <c r="CN1370" s="23"/>
      <c r="CO1370" s="23"/>
      <c r="CP1370" s="23"/>
      <c r="CQ1370" s="23"/>
      <c r="CR1370" s="23"/>
      <c r="CS1370" s="23"/>
      <c r="CT1370" s="23"/>
      <c r="CU1370" s="23"/>
      <c r="CV1370" s="23"/>
      <c r="CW1370" s="23"/>
      <c r="CX1370" s="23"/>
      <c r="CY1370" s="23"/>
      <c r="CZ1370" s="23"/>
      <c r="DA1370" s="23"/>
      <c r="DB1370" s="23"/>
      <c r="DC1370" s="23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  <c r="DZ1370" s="23"/>
      <c r="EA1370" s="23"/>
      <c r="EB1370" s="23"/>
      <c r="EC1370" s="23"/>
      <c r="ED1370" s="23"/>
      <c r="EE1370" s="23"/>
      <c r="EF1370" s="23"/>
      <c r="EG1370" s="23"/>
      <c r="EH1370" s="23"/>
      <c r="EI1370" s="23"/>
      <c r="EJ1370" s="23"/>
      <c r="EK1370" s="23"/>
      <c r="EL1370" s="23"/>
      <c r="EM1370" s="23"/>
      <c r="EN1370" s="23"/>
      <c r="EO1370" s="23"/>
      <c r="EP1370" s="23"/>
      <c r="EQ1370" s="23"/>
      <c r="ER1370" s="23"/>
    </row>
    <row r="1371" spans="1:148" s="22" customFormat="1" x14ac:dyDescent="0.25">
      <c r="A1371" s="20"/>
      <c r="B1371" s="16"/>
      <c r="C1371" s="473"/>
      <c r="D1371" s="473"/>
      <c r="E1371" s="1164"/>
      <c r="F1371" s="473"/>
      <c r="G1371" s="473"/>
      <c r="H1371" s="1164"/>
      <c r="I1371" s="473"/>
      <c r="J1371" s="473"/>
      <c r="K1371" s="1164"/>
      <c r="L1371" s="473"/>
      <c r="M1371" s="473"/>
      <c r="N1371" s="1164"/>
      <c r="O1371" s="473"/>
      <c r="P1371" s="473"/>
      <c r="Q1371" s="1164"/>
      <c r="R1371" s="473"/>
      <c r="S1371" s="473"/>
      <c r="T1371" s="1164"/>
      <c r="U1371" s="1164"/>
      <c r="V1371" s="473"/>
      <c r="W1371" s="473"/>
      <c r="X1371" s="1164"/>
      <c r="Y1371" s="473"/>
      <c r="Z1371" s="473"/>
      <c r="AA1371" s="1164"/>
      <c r="AB1371" s="473"/>
      <c r="AC1371" s="1164"/>
      <c r="AD1371" s="473"/>
      <c r="AE1371" s="1164"/>
      <c r="AF1371" s="473"/>
      <c r="AG1371" s="1164"/>
      <c r="AH1371" s="473"/>
      <c r="AI1371" s="473"/>
      <c r="AJ1371" s="1164"/>
      <c r="AK1371" s="473"/>
      <c r="AL1371" s="473"/>
      <c r="AM1371" s="1164"/>
      <c r="AN1371" s="473"/>
      <c r="AO1371" s="473"/>
      <c r="AP1371" s="1164"/>
      <c r="AQ1371" s="473"/>
      <c r="AR1371" s="473"/>
      <c r="AS1371" s="1236"/>
      <c r="AT1371" s="473"/>
      <c r="AU1371" s="473"/>
      <c r="AV1371" s="1164"/>
      <c r="AW1371" s="1164"/>
      <c r="AX1371" s="1236"/>
      <c r="AY1371" s="473"/>
      <c r="AZ1371" s="1236"/>
      <c r="BA1371" s="473"/>
      <c r="BB1371" s="473"/>
      <c r="BC1371" s="1164"/>
      <c r="BD1371" s="20"/>
      <c r="BE1371" s="473"/>
      <c r="BF1371" s="610"/>
      <c r="BG1371" s="610"/>
      <c r="BH1371" s="610"/>
      <c r="BI1371" s="610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  <c r="CM1371" s="23"/>
      <c r="CN1371" s="23"/>
      <c r="CO1371" s="23"/>
      <c r="CP1371" s="23"/>
      <c r="CQ1371" s="23"/>
      <c r="CR1371" s="23"/>
      <c r="CS1371" s="23"/>
      <c r="CT1371" s="23"/>
      <c r="CU1371" s="23"/>
      <c r="CV1371" s="23"/>
      <c r="CW1371" s="23"/>
      <c r="CX1371" s="23"/>
      <c r="CY1371" s="23"/>
      <c r="CZ1371" s="23"/>
      <c r="DA1371" s="23"/>
      <c r="DB1371" s="23"/>
      <c r="DC1371" s="23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  <c r="DZ1371" s="23"/>
      <c r="EA1371" s="23"/>
      <c r="EB1371" s="23"/>
      <c r="EC1371" s="23"/>
      <c r="ED1371" s="23"/>
      <c r="EE1371" s="23"/>
      <c r="EF1371" s="23"/>
      <c r="EG1371" s="23"/>
      <c r="EH1371" s="23"/>
      <c r="EI1371" s="23"/>
      <c r="EJ1371" s="23"/>
      <c r="EK1371" s="23"/>
      <c r="EL1371" s="23"/>
      <c r="EM1371" s="23"/>
      <c r="EN1371" s="23"/>
      <c r="EO1371" s="23"/>
      <c r="EP1371" s="23"/>
      <c r="EQ1371" s="23"/>
      <c r="ER1371" s="23"/>
    </row>
    <row r="1372" spans="1:148" s="22" customFormat="1" x14ac:dyDescent="0.25">
      <c r="A1372" s="20"/>
      <c r="B1372" s="16"/>
      <c r="C1372" s="473"/>
      <c r="D1372" s="473"/>
      <c r="E1372" s="1164"/>
      <c r="F1372" s="473"/>
      <c r="G1372" s="473"/>
      <c r="H1372" s="1164"/>
      <c r="I1372" s="473"/>
      <c r="J1372" s="473"/>
      <c r="K1372" s="1164"/>
      <c r="L1372" s="473"/>
      <c r="M1372" s="473"/>
      <c r="N1372" s="1164"/>
      <c r="O1372" s="473"/>
      <c r="P1372" s="473"/>
      <c r="Q1372" s="1164"/>
      <c r="R1372" s="473"/>
      <c r="S1372" s="473"/>
      <c r="T1372" s="1164"/>
      <c r="U1372" s="1164"/>
      <c r="V1372" s="473"/>
      <c r="W1372" s="473"/>
      <c r="X1372" s="1164"/>
      <c r="Y1372" s="473"/>
      <c r="Z1372" s="473"/>
      <c r="AA1372" s="1164"/>
      <c r="AB1372" s="473"/>
      <c r="AC1372" s="1164"/>
      <c r="AD1372" s="473"/>
      <c r="AE1372" s="1164"/>
      <c r="AF1372" s="473"/>
      <c r="AG1372" s="1164"/>
      <c r="AH1372" s="473"/>
      <c r="AI1372" s="473"/>
      <c r="AJ1372" s="1164"/>
      <c r="AK1372" s="473"/>
      <c r="AL1372" s="473"/>
      <c r="AM1372" s="1164"/>
      <c r="AN1372" s="473"/>
      <c r="AO1372" s="473"/>
      <c r="AP1372" s="1164"/>
      <c r="AQ1372" s="473"/>
      <c r="AR1372" s="473"/>
      <c r="AS1372" s="1236"/>
      <c r="AT1372" s="473"/>
      <c r="AU1372" s="473"/>
      <c r="AV1372" s="1164"/>
      <c r="AW1372" s="1164"/>
      <c r="AX1372" s="1236"/>
      <c r="AY1372" s="473"/>
      <c r="AZ1372" s="1236"/>
      <c r="BA1372" s="473"/>
      <c r="BB1372" s="473"/>
      <c r="BC1372" s="1164"/>
      <c r="BD1372" s="20"/>
      <c r="BE1372" s="473"/>
      <c r="BF1372" s="610"/>
      <c r="BG1372" s="610"/>
      <c r="BH1372" s="610"/>
      <c r="BI1372" s="610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  <c r="CM1372" s="23"/>
      <c r="CN1372" s="23"/>
      <c r="CO1372" s="23"/>
      <c r="CP1372" s="23"/>
      <c r="CQ1372" s="23"/>
      <c r="CR1372" s="23"/>
      <c r="CS1372" s="23"/>
      <c r="CT1372" s="23"/>
      <c r="CU1372" s="23"/>
      <c r="CV1372" s="23"/>
      <c r="CW1372" s="23"/>
      <c r="CX1372" s="23"/>
      <c r="CY1372" s="23"/>
      <c r="CZ1372" s="23"/>
      <c r="DA1372" s="23"/>
      <c r="DB1372" s="23"/>
      <c r="DC1372" s="23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  <c r="DZ1372" s="23"/>
      <c r="EA1372" s="23"/>
      <c r="EB1372" s="23"/>
      <c r="EC1372" s="23"/>
      <c r="ED1372" s="23"/>
      <c r="EE1372" s="23"/>
      <c r="EF1372" s="23"/>
      <c r="EG1372" s="23"/>
      <c r="EH1372" s="23"/>
      <c r="EI1372" s="23"/>
      <c r="EJ1372" s="23"/>
      <c r="EK1372" s="23"/>
      <c r="EL1372" s="23"/>
      <c r="EM1372" s="23"/>
      <c r="EN1372" s="23"/>
      <c r="EO1372" s="23"/>
      <c r="EP1372" s="23"/>
      <c r="EQ1372" s="23"/>
      <c r="ER1372" s="23"/>
    </row>
    <row r="1373" spans="1:148" s="22" customFormat="1" x14ac:dyDescent="0.25">
      <c r="A1373" s="20"/>
      <c r="B1373" s="16"/>
      <c r="C1373" s="473"/>
      <c r="D1373" s="473"/>
      <c r="E1373" s="1164"/>
      <c r="F1373" s="473"/>
      <c r="G1373" s="473"/>
      <c r="H1373" s="1164"/>
      <c r="I1373" s="473"/>
      <c r="J1373" s="473"/>
      <c r="K1373" s="1164"/>
      <c r="L1373" s="473"/>
      <c r="M1373" s="473"/>
      <c r="N1373" s="1164"/>
      <c r="O1373" s="473"/>
      <c r="P1373" s="473"/>
      <c r="Q1373" s="1164"/>
      <c r="R1373" s="473"/>
      <c r="S1373" s="473"/>
      <c r="T1373" s="1164"/>
      <c r="U1373" s="1164"/>
      <c r="V1373" s="473"/>
      <c r="W1373" s="473"/>
      <c r="X1373" s="1164"/>
      <c r="Y1373" s="473"/>
      <c r="Z1373" s="473"/>
      <c r="AA1373" s="1164"/>
      <c r="AB1373" s="473"/>
      <c r="AC1373" s="1164"/>
      <c r="AD1373" s="473"/>
      <c r="AE1373" s="1164"/>
      <c r="AF1373" s="473"/>
      <c r="AG1373" s="1164"/>
      <c r="AH1373" s="473"/>
      <c r="AI1373" s="473"/>
      <c r="AJ1373" s="1164"/>
      <c r="AK1373" s="473"/>
      <c r="AL1373" s="473"/>
      <c r="AM1373" s="1164"/>
      <c r="AN1373" s="473"/>
      <c r="AO1373" s="473"/>
      <c r="AP1373" s="1164"/>
      <c r="AQ1373" s="473"/>
      <c r="AR1373" s="473"/>
      <c r="AS1373" s="1236"/>
      <c r="AT1373" s="473"/>
      <c r="AU1373" s="473"/>
      <c r="AV1373" s="1164"/>
      <c r="AW1373" s="1164"/>
      <c r="AX1373" s="1236"/>
      <c r="AY1373" s="473"/>
      <c r="AZ1373" s="1236"/>
      <c r="BA1373" s="473"/>
      <c r="BB1373" s="473"/>
      <c r="BC1373" s="1164"/>
      <c r="BD1373" s="20"/>
      <c r="BE1373" s="473"/>
      <c r="BF1373" s="610"/>
      <c r="BG1373" s="610"/>
      <c r="BH1373" s="610"/>
      <c r="BI1373" s="610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  <c r="EE1373" s="23"/>
      <c r="EF1373" s="23"/>
      <c r="EG1373" s="23"/>
      <c r="EH1373" s="23"/>
      <c r="EI1373" s="23"/>
      <c r="EJ1373" s="23"/>
      <c r="EK1373" s="23"/>
      <c r="EL1373" s="23"/>
      <c r="EM1373" s="23"/>
      <c r="EN1373" s="23"/>
      <c r="EO1373" s="23"/>
      <c r="EP1373" s="23"/>
      <c r="EQ1373" s="23"/>
      <c r="ER1373" s="23"/>
    </row>
    <row r="1374" spans="1:148" s="22" customFormat="1" x14ac:dyDescent="0.25">
      <c r="A1374" s="20"/>
      <c r="B1374" s="16"/>
      <c r="C1374" s="473"/>
      <c r="D1374" s="473"/>
      <c r="E1374" s="1164"/>
      <c r="F1374" s="473"/>
      <c r="G1374" s="473"/>
      <c r="H1374" s="1164"/>
      <c r="I1374" s="473"/>
      <c r="J1374" s="473"/>
      <c r="K1374" s="1164"/>
      <c r="L1374" s="473"/>
      <c r="M1374" s="473"/>
      <c r="N1374" s="1164"/>
      <c r="O1374" s="473"/>
      <c r="P1374" s="473"/>
      <c r="Q1374" s="1164"/>
      <c r="R1374" s="473"/>
      <c r="S1374" s="473"/>
      <c r="T1374" s="1164"/>
      <c r="U1374" s="1164"/>
      <c r="V1374" s="473"/>
      <c r="W1374" s="473"/>
      <c r="X1374" s="1164"/>
      <c r="Y1374" s="473"/>
      <c r="Z1374" s="473"/>
      <c r="AA1374" s="1164"/>
      <c r="AB1374" s="473"/>
      <c r="AC1374" s="1164"/>
      <c r="AD1374" s="473"/>
      <c r="AE1374" s="1164"/>
      <c r="AF1374" s="473"/>
      <c r="AG1374" s="1164"/>
      <c r="AH1374" s="473"/>
      <c r="AI1374" s="473"/>
      <c r="AJ1374" s="1164"/>
      <c r="AK1374" s="473"/>
      <c r="AL1374" s="473"/>
      <c r="AM1374" s="1164"/>
      <c r="AN1374" s="473"/>
      <c r="AO1374" s="473"/>
      <c r="AP1374" s="1164"/>
      <c r="AQ1374" s="473"/>
      <c r="AR1374" s="473"/>
      <c r="AS1374" s="1236"/>
      <c r="AT1374" s="473"/>
      <c r="AU1374" s="473"/>
      <c r="AV1374" s="1164"/>
      <c r="AW1374" s="1164"/>
      <c r="AX1374" s="1236"/>
      <c r="AY1374" s="473"/>
      <c r="AZ1374" s="1236"/>
      <c r="BA1374" s="473"/>
      <c r="BB1374" s="473"/>
      <c r="BC1374" s="1164"/>
      <c r="BD1374" s="20"/>
      <c r="BE1374" s="473"/>
      <c r="BF1374" s="610"/>
      <c r="BG1374" s="610"/>
      <c r="BH1374" s="610"/>
      <c r="BI1374" s="610"/>
      <c r="BJ1374" s="23"/>
      <c r="BK1374" s="23"/>
      <c r="BL1374" s="23"/>
      <c r="BM1374" s="23"/>
      <c r="BN1374" s="23"/>
      <c r="BO1374" s="23"/>
      <c r="BP1374" s="23"/>
      <c r="BQ1374" s="23"/>
      <c r="BR1374" s="23"/>
      <c r="BS1374" s="23"/>
      <c r="BT1374" s="23"/>
      <c r="BU1374" s="23"/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3"/>
      <c r="CG1374" s="23"/>
      <c r="CH1374" s="23"/>
      <c r="CI1374" s="23"/>
      <c r="CJ1374" s="23"/>
      <c r="CK1374" s="23"/>
      <c r="CL1374" s="23"/>
      <c r="CM1374" s="23"/>
      <c r="CN1374" s="23"/>
      <c r="CO1374" s="23"/>
      <c r="CP1374" s="23"/>
      <c r="CQ1374" s="23"/>
      <c r="CR1374" s="23"/>
      <c r="CS1374" s="23"/>
      <c r="CT1374" s="23"/>
      <c r="CU1374" s="23"/>
      <c r="CV1374" s="23"/>
      <c r="CW1374" s="23"/>
      <c r="CX1374" s="23"/>
      <c r="CY1374" s="23"/>
      <c r="CZ1374" s="23"/>
      <c r="DA1374" s="23"/>
      <c r="DB1374" s="23"/>
      <c r="DC1374" s="23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  <c r="DZ1374" s="23"/>
      <c r="EA1374" s="23"/>
      <c r="EB1374" s="23"/>
      <c r="EC1374" s="23"/>
      <c r="ED1374" s="23"/>
      <c r="EE1374" s="23"/>
      <c r="EF1374" s="23"/>
      <c r="EG1374" s="23"/>
      <c r="EH1374" s="23"/>
      <c r="EI1374" s="23"/>
      <c r="EJ1374" s="23"/>
      <c r="EK1374" s="23"/>
      <c r="EL1374" s="23"/>
      <c r="EM1374" s="23"/>
      <c r="EN1374" s="23"/>
      <c r="EO1374" s="23"/>
      <c r="EP1374" s="23"/>
      <c r="EQ1374" s="23"/>
      <c r="ER1374" s="23"/>
    </row>
    <row r="1375" spans="1:148" s="22" customFormat="1" x14ac:dyDescent="0.25">
      <c r="A1375" s="20"/>
      <c r="B1375" s="16"/>
      <c r="C1375" s="473"/>
      <c r="D1375" s="473"/>
      <c r="E1375" s="1164"/>
      <c r="F1375" s="473"/>
      <c r="G1375" s="473"/>
      <c r="H1375" s="1164"/>
      <c r="I1375" s="473"/>
      <c r="J1375" s="473"/>
      <c r="K1375" s="1164"/>
      <c r="L1375" s="473"/>
      <c r="M1375" s="473"/>
      <c r="N1375" s="1164"/>
      <c r="O1375" s="473"/>
      <c r="P1375" s="473"/>
      <c r="Q1375" s="1164"/>
      <c r="R1375" s="473"/>
      <c r="S1375" s="473"/>
      <c r="T1375" s="1164"/>
      <c r="U1375" s="1164"/>
      <c r="V1375" s="473"/>
      <c r="W1375" s="473"/>
      <c r="X1375" s="1164"/>
      <c r="Y1375" s="473"/>
      <c r="Z1375" s="473"/>
      <c r="AA1375" s="1164"/>
      <c r="AB1375" s="473"/>
      <c r="AC1375" s="1164"/>
      <c r="AD1375" s="473"/>
      <c r="AE1375" s="1164"/>
      <c r="AF1375" s="473"/>
      <c r="AG1375" s="1164"/>
      <c r="AH1375" s="473"/>
      <c r="AI1375" s="473"/>
      <c r="AJ1375" s="1164"/>
      <c r="AK1375" s="473"/>
      <c r="AL1375" s="473"/>
      <c r="AM1375" s="1164"/>
      <c r="AN1375" s="473"/>
      <c r="AO1375" s="473"/>
      <c r="AP1375" s="1164"/>
      <c r="AQ1375" s="473"/>
      <c r="AR1375" s="473"/>
      <c r="AS1375" s="1236"/>
      <c r="AT1375" s="473"/>
      <c r="AU1375" s="473"/>
      <c r="AV1375" s="1164"/>
      <c r="AW1375" s="1164"/>
      <c r="AX1375" s="1236"/>
      <c r="AY1375" s="473"/>
      <c r="AZ1375" s="1236"/>
      <c r="BA1375" s="473"/>
      <c r="BB1375" s="473"/>
      <c r="BC1375" s="1164"/>
      <c r="BD1375" s="20"/>
      <c r="BE1375" s="473"/>
      <c r="BF1375" s="610"/>
      <c r="BG1375" s="610"/>
      <c r="BH1375" s="610"/>
      <c r="BI1375" s="610"/>
      <c r="BJ1375" s="23"/>
      <c r="BK1375" s="23"/>
      <c r="BL1375" s="23"/>
      <c r="BM1375" s="23"/>
      <c r="BN1375" s="23"/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3"/>
      <c r="CG1375" s="23"/>
      <c r="CH1375" s="23"/>
      <c r="CI1375" s="23"/>
      <c r="CJ1375" s="23"/>
      <c r="CK1375" s="23"/>
      <c r="CL1375" s="23"/>
      <c r="CM1375" s="23"/>
      <c r="CN1375" s="23"/>
      <c r="CO1375" s="23"/>
      <c r="CP1375" s="23"/>
      <c r="CQ1375" s="23"/>
      <c r="CR1375" s="23"/>
      <c r="CS1375" s="23"/>
      <c r="CT1375" s="23"/>
      <c r="CU1375" s="23"/>
      <c r="CV1375" s="23"/>
      <c r="CW1375" s="23"/>
      <c r="CX1375" s="23"/>
      <c r="CY1375" s="23"/>
      <c r="CZ1375" s="23"/>
      <c r="DA1375" s="23"/>
      <c r="DB1375" s="23"/>
      <c r="DC1375" s="23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  <c r="DZ1375" s="23"/>
      <c r="EA1375" s="23"/>
      <c r="EB1375" s="23"/>
      <c r="EC1375" s="23"/>
      <c r="ED1375" s="23"/>
      <c r="EE1375" s="23"/>
      <c r="EF1375" s="23"/>
      <c r="EG1375" s="23"/>
      <c r="EH1375" s="23"/>
      <c r="EI1375" s="23"/>
      <c r="EJ1375" s="23"/>
      <c r="EK1375" s="23"/>
      <c r="EL1375" s="23"/>
      <c r="EM1375" s="23"/>
      <c r="EN1375" s="23"/>
      <c r="EO1375" s="23"/>
      <c r="EP1375" s="23"/>
      <c r="EQ1375" s="23"/>
      <c r="ER1375" s="23"/>
    </row>
    <row r="1376" spans="1:148" s="22" customFormat="1" x14ac:dyDescent="0.25">
      <c r="A1376" s="20"/>
      <c r="B1376" s="16"/>
      <c r="C1376" s="473"/>
      <c r="D1376" s="473"/>
      <c r="E1376" s="1164"/>
      <c r="F1376" s="473"/>
      <c r="G1376" s="473"/>
      <c r="H1376" s="1164"/>
      <c r="I1376" s="473"/>
      <c r="J1376" s="473"/>
      <c r="K1376" s="1164"/>
      <c r="L1376" s="473"/>
      <c r="M1376" s="473"/>
      <c r="N1376" s="1164"/>
      <c r="O1376" s="473"/>
      <c r="P1376" s="473"/>
      <c r="Q1376" s="1164"/>
      <c r="R1376" s="473"/>
      <c r="S1376" s="473"/>
      <c r="T1376" s="1164"/>
      <c r="U1376" s="1164"/>
      <c r="V1376" s="473"/>
      <c r="W1376" s="473"/>
      <c r="X1376" s="1164"/>
      <c r="Y1376" s="473"/>
      <c r="Z1376" s="473"/>
      <c r="AA1376" s="1164"/>
      <c r="AB1376" s="473"/>
      <c r="AC1376" s="1164"/>
      <c r="AD1376" s="473"/>
      <c r="AE1376" s="1164"/>
      <c r="AF1376" s="473"/>
      <c r="AG1376" s="1164"/>
      <c r="AH1376" s="473"/>
      <c r="AI1376" s="473"/>
      <c r="AJ1376" s="1164"/>
      <c r="AK1376" s="473"/>
      <c r="AL1376" s="473"/>
      <c r="AM1376" s="1164"/>
      <c r="AN1376" s="473"/>
      <c r="AO1376" s="473"/>
      <c r="AP1376" s="1164"/>
      <c r="AQ1376" s="473"/>
      <c r="AR1376" s="473"/>
      <c r="AS1376" s="1236"/>
      <c r="AT1376" s="473"/>
      <c r="AU1376" s="473"/>
      <c r="AV1376" s="1164"/>
      <c r="AW1376" s="1164"/>
      <c r="AX1376" s="1236"/>
      <c r="AY1376" s="473"/>
      <c r="AZ1376" s="1236"/>
      <c r="BA1376" s="473"/>
      <c r="BB1376" s="473"/>
      <c r="BC1376" s="1164"/>
      <c r="BD1376" s="20"/>
      <c r="BE1376" s="473"/>
      <c r="BF1376" s="610"/>
      <c r="BG1376" s="610"/>
      <c r="BH1376" s="610"/>
      <c r="BI1376" s="610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  <c r="EF1376" s="23"/>
      <c r="EG1376" s="23"/>
      <c r="EH1376" s="23"/>
      <c r="EI1376" s="23"/>
      <c r="EJ1376" s="23"/>
      <c r="EK1376" s="23"/>
      <c r="EL1376" s="23"/>
      <c r="EM1376" s="23"/>
      <c r="EN1376" s="23"/>
      <c r="EO1376" s="23"/>
      <c r="EP1376" s="23"/>
      <c r="EQ1376" s="23"/>
      <c r="ER1376" s="23"/>
    </row>
    <row r="1377" spans="1:148" s="22" customFormat="1" x14ac:dyDescent="0.25">
      <c r="A1377" s="20"/>
      <c r="B1377" s="16"/>
      <c r="C1377" s="473"/>
      <c r="D1377" s="473"/>
      <c r="E1377" s="1164"/>
      <c r="F1377" s="473"/>
      <c r="G1377" s="473"/>
      <c r="H1377" s="1164"/>
      <c r="I1377" s="473"/>
      <c r="J1377" s="473"/>
      <c r="K1377" s="1164"/>
      <c r="L1377" s="473"/>
      <c r="M1377" s="473"/>
      <c r="N1377" s="1164"/>
      <c r="O1377" s="473"/>
      <c r="P1377" s="473"/>
      <c r="Q1377" s="1164"/>
      <c r="R1377" s="473"/>
      <c r="S1377" s="473"/>
      <c r="T1377" s="1164"/>
      <c r="U1377" s="1164"/>
      <c r="V1377" s="473"/>
      <c r="W1377" s="473"/>
      <c r="X1377" s="1164"/>
      <c r="Y1377" s="473"/>
      <c r="Z1377" s="473"/>
      <c r="AA1377" s="1164"/>
      <c r="AB1377" s="473"/>
      <c r="AC1377" s="1164"/>
      <c r="AD1377" s="473"/>
      <c r="AE1377" s="1164"/>
      <c r="AF1377" s="473"/>
      <c r="AG1377" s="1164"/>
      <c r="AH1377" s="473"/>
      <c r="AI1377" s="473"/>
      <c r="AJ1377" s="1164"/>
      <c r="AK1377" s="473"/>
      <c r="AL1377" s="473"/>
      <c r="AM1377" s="1164"/>
      <c r="AN1377" s="473"/>
      <c r="AO1377" s="473"/>
      <c r="AP1377" s="1164"/>
      <c r="AQ1377" s="473"/>
      <c r="AR1377" s="473"/>
      <c r="AS1377" s="1236"/>
      <c r="AT1377" s="473"/>
      <c r="AU1377" s="473"/>
      <c r="AV1377" s="1164"/>
      <c r="AW1377" s="1164"/>
      <c r="AX1377" s="1236"/>
      <c r="AY1377" s="473"/>
      <c r="AZ1377" s="1236"/>
      <c r="BA1377" s="473"/>
      <c r="BB1377" s="473"/>
      <c r="BC1377" s="1164"/>
      <c r="BD1377" s="20"/>
      <c r="BE1377" s="473"/>
      <c r="BF1377" s="610"/>
      <c r="BG1377" s="610"/>
      <c r="BH1377" s="610"/>
      <c r="BI1377" s="610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  <c r="EF1377" s="23"/>
      <c r="EG1377" s="23"/>
      <c r="EH1377" s="23"/>
      <c r="EI1377" s="23"/>
      <c r="EJ1377" s="23"/>
      <c r="EK1377" s="23"/>
      <c r="EL1377" s="23"/>
      <c r="EM1377" s="23"/>
      <c r="EN1377" s="23"/>
      <c r="EO1377" s="23"/>
      <c r="EP1377" s="23"/>
      <c r="EQ1377" s="23"/>
      <c r="ER1377" s="23"/>
    </row>
    <row r="1378" spans="1:148" s="22" customFormat="1" x14ac:dyDescent="0.25">
      <c r="A1378" s="20"/>
      <c r="B1378" s="16"/>
      <c r="C1378" s="473"/>
      <c r="D1378" s="473"/>
      <c r="E1378" s="1164"/>
      <c r="F1378" s="473"/>
      <c r="G1378" s="473"/>
      <c r="H1378" s="1164"/>
      <c r="I1378" s="473"/>
      <c r="J1378" s="473"/>
      <c r="K1378" s="1164"/>
      <c r="L1378" s="473"/>
      <c r="M1378" s="473"/>
      <c r="N1378" s="1164"/>
      <c r="O1378" s="473"/>
      <c r="P1378" s="473"/>
      <c r="Q1378" s="1164"/>
      <c r="R1378" s="473"/>
      <c r="S1378" s="473"/>
      <c r="T1378" s="1164"/>
      <c r="U1378" s="1164"/>
      <c r="V1378" s="473"/>
      <c r="W1378" s="473"/>
      <c r="X1378" s="1164"/>
      <c r="Y1378" s="473"/>
      <c r="Z1378" s="473"/>
      <c r="AA1378" s="1164"/>
      <c r="AB1378" s="473"/>
      <c r="AC1378" s="1164"/>
      <c r="AD1378" s="473"/>
      <c r="AE1378" s="1164"/>
      <c r="AF1378" s="473"/>
      <c r="AG1378" s="1164"/>
      <c r="AH1378" s="473"/>
      <c r="AI1378" s="473"/>
      <c r="AJ1378" s="1164"/>
      <c r="AK1378" s="473"/>
      <c r="AL1378" s="473"/>
      <c r="AM1378" s="1164"/>
      <c r="AN1378" s="473"/>
      <c r="AO1378" s="473"/>
      <c r="AP1378" s="1164"/>
      <c r="AQ1378" s="473"/>
      <c r="AR1378" s="473"/>
      <c r="AS1378" s="1236"/>
      <c r="AT1378" s="473"/>
      <c r="AU1378" s="473"/>
      <c r="AV1378" s="1164"/>
      <c r="AW1378" s="1164"/>
      <c r="AX1378" s="1236"/>
      <c r="AY1378" s="473"/>
      <c r="AZ1378" s="1236"/>
      <c r="BA1378" s="473"/>
      <c r="BB1378" s="473"/>
      <c r="BC1378" s="1164"/>
      <c r="BD1378" s="20"/>
      <c r="BE1378" s="473"/>
      <c r="BF1378" s="610"/>
      <c r="BG1378" s="610"/>
      <c r="BH1378" s="610"/>
      <c r="BI1378" s="610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  <c r="EF1378" s="23"/>
      <c r="EG1378" s="23"/>
      <c r="EH1378" s="23"/>
      <c r="EI1378" s="23"/>
      <c r="EJ1378" s="23"/>
      <c r="EK1378" s="23"/>
      <c r="EL1378" s="23"/>
      <c r="EM1378" s="23"/>
      <c r="EN1378" s="23"/>
      <c r="EO1378" s="23"/>
      <c r="EP1378" s="23"/>
      <c r="EQ1378" s="23"/>
      <c r="ER1378" s="23"/>
    </row>
    <row r="1379" spans="1:148" s="22" customFormat="1" x14ac:dyDescent="0.25">
      <c r="A1379" s="20"/>
      <c r="B1379" s="16"/>
      <c r="C1379" s="473"/>
      <c r="D1379" s="473"/>
      <c r="E1379" s="1164"/>
      <c r="F1379" s="473"/>
      <c r="G1379" s="473"/>
      <c r="H1379" s="1164"/>
      <c r="I1379" s="473"/>
      <c r="J1379" s="473"/>
      <c r="K1379" s="1164"/>
      <c r="L1379" s="473"/>
      <c r="M1379" s="473"/>
      <c r="N1379" s="1164"/>
      <c r="O1379" s="473"/>
      <c r="P1379" s="473"/>
      <c r="Q1379" s="1164"/>
      <c r="R1379" s="473"/>
      <c r="S1379" s="473"/>
      <c r="T1379" s="1164"/>
      <c r="U1379" s="1164"/>
      <c r="V1379" s="473"/>
      <c r="W1379" s="473"/>
      <c r="X1379" s="1164"/>
      <c r="Y1379" s="473"/>
      <c r="Z1379" s="473"/>
      <c r="AA1379" s="1164"/>
      <c r="AB1379" s="473"/>
      <c r="AC1379" s="1164"/>
      <c r="AD1379" s="473"/>
      <c r="AE1379" s="1164"/>
      <c r="AF1379" s="473"/>
      <c r="AG1379" s="1164"/>
      <c r="AH1379" s="473"/>
      <c r="AI1379" s="473"/>
      <c r="AJ1379" s="1164"/>
      <c r="AK1379" s="473"/>
      <c r="AL1379" s="473"/>
      <c r="AM1379" s="1164"/>
      <c r="AN1379" s="473"/>
      <c r="AO1379" s="473"/>
      <c r="AP1379" s="1164"/>
      <c r="AQ1379" s="473"/>
      <c r="AR1379" s="473"/>
      <c r="AS1379" s="1236"/>
      <c r="AT1379" s="473"/>
      <c r="AU1379" s="473"/>
      <c r="AV1379" s="1164"/>
      <c r="AW1379" s="1164"/>
      <c r="AX1379" s="1236"/>
      <c r="AY1379" s="473"/>
      <c r="AZ1379" s="1236"/>
      <c r="BA1379" s="473"/>
      <c r="BB1379" s="473"/>
      <c r="BC1379" s="1164"/>
      <c r="BD1379" s="20"/>
      <c r="BE1379" s="473"/>
      <c r="BF1379" s="610"/>
      <c r="BG1379" s="610"/>
      <c r="BH1379" s="610"/>
      <c r="BI1379" s="610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</row>
    <row r="1380" spans="1:148" s="22" customFormat="1" x14ac:dyDescent="0.25">
      <c r="A1380" s="20"/>
      <c r="B1380" s="16"/>
      <c r="C1380" s="473"/>
      <c r="D1380" s="473"/>
      <c r="E1380" s="1164"/>
      <c r="F1380" s="473"/>
      <c r="G1380" s="473"/>
      <c r="H1380" s="1164"/>
      <c r="I1380" s="473"/>
      <c r="J1380" s="473"/>
      <c r="K1380" s="1164"/>
      <c r="L1380" s="473"/>
      <c r="M1380" s="473"/>
      <c r="N1380" s="1164"/>
      <c r="O1380" s="473"/>
      <c r="P1380" s="473"/>
      <c r="Q1380" s="1164"/>
      <c r="R1380" s="473"/>
      <c r="S1380" s="473"/>
      <c r="T1380" s="1164"/>
      <c r="U1380" s="1164"/>
      <c r="V1380" s="473"/>
      <c r="W1380" s="473"/>
      <c r="X1380" s="1164"/>
      <c r="Y1380" s="473"/>
      <c r="Z1380" s="473"/>
      <c r="AA1380" s="1164"/>
      <c r="AB1380" s="473"/>
      <c r="AC1380" s="1164"/>
      <c r="AD1380" s="473"/>
      <c r="AE1380" s="1164"/>
      <c r="AF1380" s="473"/>
      <c r="AG1380" s="1164"/>
      <c r="AH1380" s="473"/>
      <c r="AI1380" s="473"/>
      <c r="AJ1380" s="1164"/>
      <c r="AK1380" s="473"/>
      <c r="AL1380" s="473"/>
      <c r="AM1380" s="1164"/>
      <c r="AN1380" s="473"/>
      <c r="AO1380" s="473"/>
      <c r="AP1380" s="1164"/>
      <c r="AQ1380" s="473"/>
      <c r="AR1380" s="473"/>
      <c r="AS1380" s="1236"/>
      <c r="AT1380" s="473"/>
      <c r="AU1380" s="473"/>
      <c r="AV1380" s="1164"/>
      <c r="AW1380" s="1164"/>
      <c r="AX1380" s="1236"/>
      <c r="AY1380" s="473"/>
      <c r="AZ1380" s="1236"/>
      <c r="BA1380" s="473"/>
      <c r="BB1380" s="473"/>
      <c r="BC1380" s="1164"/>
      <c r="BD1380" s="20"/>
      <c r="BE1380" s="473"/>
      <c r="BF1380" s="610"/>
      <c r="BG1380" s="610"/>
      <c r="BH1380" s="610"/>
      <c r="BI1380" s="610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  <c r="EF1380" s="23"/>
      <c r="EG1380" s="23"/>
      <c r="EH1380" s="23"/>
      <c r="EI1380" s="23"/>
      <c r="EJ1380" s="23"/>
      <c r="EK1380" s="23"/>
      <c r="EL1380" s="23"/>
      <c r="EM1380" s="23"/>
      <c r="EN1380" s="23"/>
      <c r="EO1380" s="23"/>
      <c r="EP1380" s="23"/>
      <c r="EQ1380" s="23"/>
      <c r="ER1380" s="23"/>
    </row>
    <row r="1381" spans="1:148" s="22" customFormat="1" x14ac:dyDescent="0.25">
      <c r="A1381" s="20"/>
      <c r="B1381" s="16"/>
      <c r="C1381" s="473"/>
      <c r="D1381" s="473"/>
      <c r="E1381" s="1164"/>
      <c r="F1381" s="473"/>
      <c r="G1381" s="473"/>
      <c r="H1381" s="1164"/>
      <c r="I1381" s="473"/>
      <c r="J1381" s="473"/>
      <c r="K1381" s="1164"/>
      <c r="L1381" s="473"/>
      <c r="M1381" s="473"/>
      <c r="N1381" s="1164"/>
      <c r="O1381" s="473"/>
      <c r="P1381" s="473"/>
      <c r="Q1381" s="1164"/>
      <c r="R1381" s="473"/>
      <c r="S1381" s="473"/>
      <c r="T1381" s="1164"/>
      <c r="U1381" s="1164"/>
      <c r="V1381" s="473"/>
      <c r="W1381" s="473"/>
      <c r="X1381" s="1164"/>
      <c r="Y1381" s="473"/>
      <c r="Z1381" s="473"/>
      <c r="AA1381" s="1164"/>
      <c r="AB1381" s="473"/>
      <c r="AC1381" s="1164"/>
      <c r="AD1381" s="473"/>
      <c r="AE1381" s="1164"/>
      <c r="AF1381" s="473"/>
      <c r="AG1381" s="1164"/>
      <c r="AH1381" s="473"/>
      <c r="AI1381" s="473"/>
      <c r="AJ1381" s="1164"/>
      <c r="AK1381" s="473"/>
      <c r="AL1381" s="473"/>
      <c r="AM1381" s="1164"/>
      <c r="AN1381" s="473"/>
      <c r="AO1381" s="473"/>
      <c r="AP1381" s="1164"/>
      <c r="AQ1381" s="473"/>
      <c r="AR1381" s="473"/>
      <c r="AS1381" s="1236"/>
      <c r="AT1381" s="473"/>
      <c r="AU1381" s="473"/>
      <c r="AV1381" s="1164"/>
      <c r="AW1381" s="1164"/>
      <c r="AX1381" s="1236"/>
      <c r="AY1381" s="473"/>
      <c r="AZ1381" s="1236"/>
      <c r="BA1381" s="473"/>
      <c r="BB1381" s="473"/>
      <c r="BC1381" s="1164"/>
      <c r="BD1381" s="20"/>
      <c r="BE1381" s="473"/>
      <c r="BF1381" s="610"/>
      <c r="BG1381" s="610"/>
      <c r="BH1381" s="610"/>
      <c r="BI1381" s="610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  <c r="EF1381" s="23"/>
      <c r="EG1381" s="23"/>
      <c r="EH1381" s="23"/>
      <c r="EI1381" s="23"/>
      <c r="EJ1381" s="23"/>
      <c r="EK1381" s="23"/>
      <c r="EL1381" s="23"/>
      <c r="EM1381" s="23"/>
      <c r="EN1381" s="23"/>
      <c r="EO1381" s="23"/>
      <c r="EP1381" s="23"/>
      <c r="EQ1381" s="23"/>
      <c r="ER1381" s="23"/>
    </row>
    <row r="1382" spans="1:148" s="22" customFormat="1" x14ac:dyDescent="0.25">
      <c r="A1382" s="20"/>
      <c r="B1382" s="16"/>
      <c r="C1382" s="473"/>
      <c r="D1382" s="473"/>
      <c r="E1382" s="1164"/>
      <c r="F1382" s="473"/>
      <c r="G1382" s="473"/>
      <c r="H1382" s="1164"/>
      <c r="I1382" s="473"/>
      <c r="J1382" s="473"/>
      <c r="K1382" s="1164"/>
      <c r="L1382" s="473"/>
      <c r="M1382" s="473"/>
      <c r="N1382" s="1164"/>
      <c r="O1382" s="473"/>
      <c r="P1382" s="473"/>
      <c r="Q1382" s="1164"/>
      <c r="R1382" s="473"/>
      <c r="S1382" s="473"/>
      <c r="T1382" s="1164"/>
      <c r="U1382" s="1164"/>
      <c r="V1382" s="473"/>
      <c r="W1382" s="473"/>
      <c r="X1382" s="1164"/>
      <c r="Y1382" s="473"/>
      <c r="Z1382" s="473"/>
      <c r="AA1382" s="1164"/>
      <c r="AB1382" s="473"/>
      <c r="AC1382" s="1164"/>
      <c r="AD1382" s="473"/>
      <c r="AE1382" s="1164"/>
      <c r="AF1382" s="473"/>
      <c r="AG1382" s="1164"/>
      <c r="AH1382" s="473"/>
      <c r="AI1382" s="473"/>
      <c r="AJ1382" s="1164"/>
      <c r="AK1382" s="473"/>
      <c r="AL1382" s="473"/>
      <c r="AM1382" s="1164"/>
      <c r="AN1382" s="473"/>
      <c r="AO1382" s="473"/>
      <c r="AP1382" s="1164"/>
      <c r="AQ1382" s="473"/>
      <c r="AR1382" s="473"/>
      <c r="AS1382" s="1236"/>
      <c r="AT1382" s="473"/>
      <c r="AU1382" s="473"/>
      <c r="AV1382" s="1164"/>
      <c r="AW1382" s="1164"/>
      <c r="AX1382" s="1236"/>
      <c r="AY1382" s="473"/>
      <c r="AZ1382" s="1236"/>
      <c r="BA1382" s="473"/>
      <c r="BB1382" s="473"/>
      <c r="BC1382" s="1164"/>
      <c r="BD1382" s="20"/>
      <c r="BE1382" s="473"/>
      <c r="BF1382" s="610"/>
      <c r="BG1382" s="610"/>
      <c r="BH1382" s="610"/>
      <c r="BI1382" s="610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</row>
    <row r="1383" spans="1:148" s="22" customFormat="1" x14ac:dyDescent="0.25">
      <c r="A1383" s="20"/>
      <c r="B1383" s="16"/>
      <c r="C1383" s="473"/>
      <c r="D1383" s="473"/>
      <c r="E1383" s="1164"/>
      <c r="F1383" s="473"/>
      <c r="G1383" s="473"/>
      <c r="H1383" s="1164"/>
      <c r="I1383" s="473"/>
      <c r="J1383" s="473"/>
      <c r="K1383" s="1164"/>
      <c r="L1383" s="473"/>
      <c r="M1383" s="473"/>
      <c r="N1383" s="1164"/>
      <c r="O1383" s="473"/>
      <c r="P1383" s="473"/>
      <c r="Q1383" s="1164"/>
      <c r="R1383" s="473"/>
      <c r="S1383" s="473"/>
      <c r="T1383" s="1164"/>
      <c r="U1383" s="1164"/>
      <c r="V1383" s="473"/>
      <c r="W1383" s="473"/>
      <c r="X1383" s="1164"/>
      <c r="Y1383" s="473"/>
      <c r="Z1383" s="473"/>
      <c r="AA1383" s="1164"/>
      <c r="AB1383" s="473"/>
      <c r="AC1383" s="1164"/>
      <c r="AD1383" s="473"/>
      <c r="AE1383" s="1164"/>
      <c r="AF1383" s="473"/>
      <c r="AG1383" s="1164"/>
      <c r="AH1383" s="473"/>
      <c r="AI1383" s="473"/>
      <c r="AJ1383" s="1164"/>
      <c r="AK1383" s="473"/>
      <c r="AL1383" s="473"/>
      <c r="AM1383" s="1164"/>
      <c r="AN1383" s="473"/>
      <c r="AO1383" s="473"/>
      <c r="AP1383" s="1164"/>
      <c r="AQ1383" s="473"/>
      <c r="AR1383" s="473"/>
      <c r="AS1383" s="1236"/>
      <c r="AT1383" s="473"/>
      <c r="AU1383" s="473"/>
      <c r="AV1383" s="1164"/>
      <c r="AW1383" s="1164"/>
      <c r="AX1383" s="1236"/>
      <c r="AY1383" s="473"/>
      <c r="AZ1383" s="1236"/>
      <c r="BA1383" s="473"/>
      <c r="BB1383" s="473"/>
      <c r="BC1383" s="1164"/>
      <c r="BD1383" s="20"/>
      <c r="BE1383" s="473"/>
      <c r="BF1383" s="610"/>
      <c r="BG1383" s="610"/>
      <c r="BH1383" s="610"/>
      <c r="BI1383" s="610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  <c r="EF1383" s="23"/>
      <c r="EG1383" s="23"/>
      <c r="EH1383" s="23"/>
      <c r="EI1383" s="23"/>
      <c r="EJ1383" s="23"/>
      <c r="EK1383" s="23"/>
      <c r="EL1383" s="23"/>
      <c r="EM1383" s="23"/>
      <c r="EN1383" s="23"/>
      <c r="EO1383" s="23"/>
      <c r="EP1383" s="23"/>
      <c r="EQ1383" s="23"/>
      <c r="ER1383" s="23"/>
    </row>
    <row r="1384" spans="1:148" s="22" customFormat="1" x14ac:dyDescent="0.25">
      <c r="A1384" s="20"/>
      <c r="B1384" s="16"/>
      <c r="C1384" s="473"/>
      <c r="D1384" s="473"/>
      <c r="E1384" s="1164"/>
      <c r="F1384" s="473"/>
      <c r="G1384" s="473"/>
      <c r="H1384" s="1164"/>
      <c r="I1384" s="473"/>
      <c r="J1384" s="473"/>
      <c r="K1384" s="1164"/>
      <c r="L1384" s="473"/>
      <c r="M1384" s="473"/>
      <c r="N1384" s="1164"/>
      <c r="O1384" s="473"/>
      <c r="P1384" s="473"/>
      <c r="Q1384" s="1164"/>
      <c r="R1384" s="473"/>
      <c r="S1384" s="473"/>
      <c r="T1384" s="1164"/>
      <c r="U1384" s="1164"/>
      <c r="V1384" s="473"/>
      <c r="W1384" s="473"/>
      <c r="X1384" s="1164"/>
      <c r="Y1384" s="473"/>
      <c r="Z1384" s="473"/>
      <c r="AA1384" s="1164"/>
      <c r="AB1384" s="473"/>
      <c r="AC1384" s="1164"/>
      <c r="AD1384" s="473"/>
      <c r="AE1384" s="1164"/>
      <c r="AF1384" s="473"/>
      <c r="AG1384" s="1164"/>
      <c r="AH1384" s="473"/>
      <c r="AI1384" s="473"/>
      <c r="AJ1384" s="1164"/>
      <c r="AK1384" s="473"/>
      <c r="AL1384" s="473"/>
      <c r="AM1384" s="1164"/>
      <c r="AN1384" s="473"/>
      <c r="AO1384" s="473"/>
      <c r="AP1384" s="1164"/>
      <c r="AQ1384" s="473"/>
      <c r="AR1384" s="473"/>
      <c r="AS1384" s="1236"/>
      <c r="AT1384" s="473"/>
      <c r="AU1384" s="473"/>
      <c r="AV1384" s="1164"/>
      <c r="AW1384" s="1164"/>
      <c r="AX1384" s="1236"/>
      <c r="AY1384" s="473"/>
      <c r="AZ1384" s="1236"/>
      <c r="BA1384" s="473"/>
      <c r="BB1384" s="473"/>
      <c r="BC1384" s="1164"/>
      <c r="BD1384" s="20"/>
      <c r="BE1384" s="473"/>
      <c r="BF1384" s="610"/>
      <c r="BG1384" s="610"/>
      <c r="BH1384" s="610"/>
      <c r="BI1384" s="610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  <c r="EF1384" s="23"/>
      <c r="EG1384" s="23"/>
      <c r="EH1384" s="23"/>
      <c r="EI1384" s="23"/>
      <c r="EJ1384" s="23"/>
      <c r="EK1384" s="23"/>
      <c r="EL1384" s="23"/>
      <c r="EM1384" s="23"/>
      <c r="EN1384" s="23"/>
      <c r="EO1384" s="23"/>
      <c r="EP1384" s="23"/>
      <c r="EQ1384" s="23"/>
      <c r="ER1384" s="23"/>
    </row>
    <row r="1385" spans="1:148" s="22" customFormat="1" x14ac:dyDescent="0.25">
      <c r="A1385" s="20"/>
      <c r="B1385" s="16"/>
      <c r="C1385" s="473"/>
      <c r="D1385" s="473"/>
      <c r="E1385" s="1164"/>
      <c r="F1385" s="473"/>
      <c r="G1385" s="473"/>
      <c r="H1385" s="1164"/>
      <c r="I1385" s="473"/>
      <c r="J1385" s="473"/>
      <c r="K1385" s="1164"/>
      <c r="L1385" s="473"/>
      <c r="M1385" s="473"/>
      <c r="N1385" s="1164"/>
      <c r="O1385" s="473"/>
      <c r="P1385" s="473"/>
      <c r="Q1385" s="1164"/>
      <c r="R1385" s="473"/>
      <c r="S1385" s="473"/>
      <c r="T1385" s="1164"/>
      <c r="U1385" s="1164"/>
      <c r="V1385" s="473"/>
      <c r="W1385" s="473"/>
      <c r="X1385" s="1164"/>
      <c r="Y1385" s="473"/>
      <c r="Z1385" s="473"/>
      <c r="AA1385" s="1164"/>
      <c r="AB1385" s="473"/>
      <c r="AC1385" s="1164"/>
      <c r="AD1385" s="473"/>
      <c r="AE1385" s="1164"/>
      <c r="AF1385" s="473"/>
      <c r="AG1385" s="1164"/>
      <c r="AH1385" s="473"/>
      <c r="AI1385" s="473"/>
      <c r="AJ1385" s="1164"/>
      <c r="AK1385" s="473"/>
      <c r="AL1385" s="473"/>
      <c r="AM1385" s="1164"/>
      <c r="AN1385" s="473"/>
      <c r="AO1385" s="473"/>
      <c r="AP1385" s="1164"/>
      <c r="AQ1385" s="473"/>
      <c r="AR1385" s="473"/>
      <c r="AS1385" s="1236"/>
      <c r="AT1385" s="473"/>
      <c r="AU1385" s="473"/>
      <c r="AV1385" s="1164"/>
      <c r="AW1385" s="1164"/>
      <c r="AX1385" s="1236"/>
      <c r="AY1385" s="473"/>
      <c r="AZ1385" s="1236"/>
      <c r="BA1385" s="473"/>
      <c r="BB1385" s="473"/>
      <c r="BC1385" s="1164"/>
      <c r="BD1385" s="20"/>
      <c r="BE1385" s="473"/>
      <c r="BF1385" s="610"/>
      <c r="BG1385" s="610"/>
      <c r="BH1385" s="610"/>
      <c r="BI1385" s="610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  <c r="EF1385" s="23"/>
      <c r="EG1385" s="23"/>
      <c r="EH1385" s="23"/>
      <c r="EI1385" s="23"/>
      <c r="EJ1385" s="23"/>
      <c r="EK1385" s="23"/>
      <c r="EL1385" s="23"/>
      <c r="EM1385" s="23"/>
      <c r="EN1385" s="23"/>
      <c r="EO1385" s="23"/>
      <c r="EP1385" s="23"/>
      <c r="EQ1385" s="23"/>
      <c r="ER1385" s="23"/>
    </row>
    <row r="1386" spans="1:148" s="22" customFormat="1" x14ac:dyDescent="0.25">
      <c r="A1386" s="20"/>
      <c r="B1386" s="16"/>
      <c r="C1386" s="473"/>
      <c r="D1386" s="473"/>
      <c r="E1386" s="1164"/>
      <c r="F1386" s="473"/>
      <c r="G1386" s="473"/>
      <c r="H1386" s="1164"/>
      <c r="I1386" s="473"/>
      <c r="J1386" s="473"/>
      <c r="K1386" s="1164"/>
      <c r="L1386" s="473"/>
      <c r="M1386" s="473"/>
      <c r="N1386" s="1164"/>
      <c r="O1386" s="473"/>
      <c r="P1386" s="473"/>
      <c r="Q1386" s="1164"/>
      <c r="R1386" s="473"/>
      <c r="S1386" s="473"/>
      <c r="T1386" s="1164"/>
      <c r="U1386" s="1164"/>
      <c r="V1386" s="473"/>
      <c r="W1386" s="473"/>
      <c r="X1386" s="1164"/>
      <c r="Y1386" s="473"/>
      <c r="Z1386" s="473"/>
      <c r="AA1386" s="1164"/>
      <c r="AB1386" s="473"/>
      <c r="AC1386" s="1164"/>
      <c r="AD1386" s="473"/>
      <c r="AE1386" s="1164"/>
      <c r="AF1386" s="473"/>
      <c r="AG1386" s="1164"/>
      <c r="AH1386" s="473"/>
      <c r="AI1386" s="473"/>
      <c r="AJ1386" s="1164"/>
      <c r="AK1386" s="473"/>
      <c r="AL1386" s="473"/>
      <c r="AM1386" s="1164"/>
      <c r="AN1386" s="473"/>
      <c r="AO1386" s="473"/>
      <c r="AP1386" s="1164"/>
      <c r="AQ1386" s="473"/>
      <c r="AR1386" s="473"/>
      <c r="AS1386" s="1236"/>
      <c r="AT1386" s="473"/>
      <c r="AU1386" s="473"/>
      <c r="AV1386" s="1164"/>
      <c r="AW1386" s="1164"/>
      <c r="AX1386" s="1236"/>
      <c r="AY1386" s="473"/>
      <c r="AZ1386" s="1236"/>
      <c r="BA1386" s="473"/>
      <c r="BB1386" s="473"/>
      <c r="BC1386" s="1164"/>
      <c r="BD1386" s="20"/>
      <c r="BE1386" s="473"/>
      <c r="BF1386" s="610"/>
      <c r="BG1386" s="610"/>
      <c r="BH1386" s="610"/>
      <c r="BI1386" s="610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  <c r="EF1386" s="23"/>
      <c r="EG1386" s="23"/>
      <c r="EH1386" s="23"/>
      <c r="EI1386" s="23"/>
      <c r="EJ1386" s="23"/>
      <c r="EK1386" s="23"/>
      <c r="EL1386" s="23"/>
      <c r="EM1386" s="23"/>
      <c r="EN1386" s="23"/>
      <c r="EO1386" s="23"/>
      <c r="EP1386" s="23"/>
      <c r="EQ1386" s="23"/>
      <c r="ER1386" s="23"/>
    </row>
    <row r="1387" spans="1:148" s="22" customFormat="1" x14ac:dyDescent="0.25">
      <c r="A1387" s="20"/>
      <c r="B1387" s="16"/>
      <c r="C1387" s="473"/>
      <c r="D1387" s="473"/>
      <c r="E1387" s="1164"/>
      <c r="F1387" s="473"/>
      <c r="G1387" s="473"/>
      <c r="H1387" s="1164"/>
      <c r="I1387" s="473"/>
      <c r="J1387" s="473"/>
      <c r="K1387" s="1164"/>
      <c r="L1387" s="473"/>
      <c r="M1387" s="473"/>
      <c r="N1387" s="1164"/>
      <c r="O1387" s="473"/>
      <c r="P1387" s="473"/>
      <c r="Q1387" s="1164"/>
      <c r="R1387" s="473"/>
      <c r="S1387" s="473"/>
      <c r="T1387" s="1164"/>
      <c r="U1387" s="1164"/>
      <c r="V1387" s="473"/>
      <c r="W1387" s="473"/>
      <c r="X1387" s="1164"/>
      <c r="Y1387" s="473"/>
      <c r="Z1387" s="473"/>
      <c r="AA1387" s="1164"/>
      <c r="AB1387" s="473"/>
      <c r="AC1387" s="1164"/>
      <c r="AD1387" s="473"/>
      <c r="AE1387" s="1164"/>
      <c r="AF1387" s="473"/>
      <c r="AG1387" s="1164"/>
      <c r="AH1387" s="473"/>
      <c r="AI1387" s="473"/>
      <c r="AJ1387" s="1164"/>
      <c r="AK1387" s="473"/>
      <c r="AL1387" s="473"/>
      <c r="AM1387" s="1164"/>
      <c r="AN1387" s="473"/>
      <c r="AO1387" s="473"/>
      <c r="AP1387" s="1164"/>
      <c r="AQ1387" s="473"/>
      <c r="AR1387" s="473"/>
      <c r="AS1387" s="1236"/>
      <c r="AT1387" s="473"/>
      <c r="AU1387" s="473"/>
      <c r="AV1387" s="1164"/>
      <c r="AW1387" s="1164"/>
      <c r="AX1387" s="1236"/>
      <c r="AY1387" s="473"/>
      <c r="AZ1387" s="1236"/>
      <c r="BA1387" s="473"/>
      <c r="BB1387" s="473"/>
      <c r="BC1387" s="1164"/>
      <c r="BD1387" s="20"/>
      <c r="BE1387" s="473"/>
      <c r="BF1387" s="610"/>
      <c r="BG1387" s="610"/>
      <c r="BH1387" s="610"/>
      <c r="BI1387" s="610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  <c r="CM1387" s="23"/>
      <c r="CN1387" s="23"/>
      <c r="CO1387" s="23"/>
      <c r="CP1387" s="23"/>
      <c r="CQ1387" s="23"/>
      <c r="CR1387" s="23"/>
      <c r="CS1387" s="23"/>
      <c r="CT1387" s="23"/>
      <c r="CU1387" s="23"/>
      <c r="CV1387" s="23"/>
      <c r="CW1387" s="23"/>
      <c r="CX1387" s="23"/>
      <c r="CY1387" s="23"/>
      <c r="CZ1387" s="23"/>
      <c r="DA1387" s="23"/>
      <c r="DB1387" s="23"/>
      <c r="DC1387" s="23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  <c r="DZ1387" s="23"/>
      <c r="EA1387" s="23"/>
      <c r="EB1387" s="23"/>
      <c r="EC1387" s="23"/>
      <c r="ED1387" s="23"/>
      <c r="EE1387" s="23"/>
      <c r="EF1387" s="23"/>
      <c r="EG1387" s="23"/>
      <c r="EH1387" s="23"/>
      <c r="EI1387" s="23"/>
      <c r="EJ1387" s="23"/>
      <c r="EK1387" s="23"/>
      <c r="EL1387" s="23"/>
      <c r="EM1387" s="23"/>
      <c r="EN1387" s="23"/>
      <c r="EO1387" s="23"/>
      <c r="EP1387" s="23"/>
      <c r="EQ1387" s="23"/>
      <c r="ER1387" s="23"/>
    </row>
    <row r="1388" spans="1:148" s="22" customFormat="1" x14ac:dyDescent="0.25">
      <c r="A1388" s="20"/>
      <c r="B1388" s="16"/>
      <c r="C1388" s="473"/>
      <c r="D1388" s="473"/>
      <c r="E1388" s="1164"/>
      <c r="F1388" s="473"/>
      <c r="G1388" s="473"/>
      <c r="H1388" s="1164"/>
      <c r="I1388" s="473"/>
      <c r="J1388" s="473"/>
      <c r="K1388" s="1164"/>
      <c r="L1388" s="473"/>
      <c r="M1388" s="473"/>
      <c r="N1388" s="1164"/>
      <c r="O1388" s="473"/>
      <c r="P1388" s="473"/>
      <c r="Q1388" s="1164"/>
      <c r="R1388" s="473"/>
      <c r="S1388" s="473"/>
      <c r="T1388" s="1164"/>
      <c r="U1388" s="1164"/>
      <c r="V1388" s="473"/>
      <c r="W1388" s="473"/>
      <c r="X1388" s="1164"/>
      <c r="Y1388" s="473"/>
      <c r="Z1388" s="473"/>
      <c r="AA1388" s="1164"/>
      <c r="AB1388" s="473"/>
      <c r="AC1388" s="1164"/>
      <c r="AD1388" s="473"/>
      <c r="AE1388" s="1164"/>
      <c r="AF1388" s="473"/>
      <c r="AG1388" s="1164"/>
      <c r="AH1388" s="473"/>
      <c r="AI1388" s="473"/>
      <c r="AJ1388" s="1164"/>
      <c r="AK1388" s="473"/>
      <c r="AL1388" s="473"/>
      <c r="AM1388" s="1164"/>
      <c r="AN1388" s="473"/>
      <c r="AO1388" s="473"/>
      <c r="AP1388" s="1164"/>
      <c r="AQ1388" s="473"/>
      <c r="AR1388" s="473"/>
      <c r="AS1388" s="1236"/>
      <c r="AT1388" s="473"/>
      <c r="AU1388" s="473"/>
      <c r="AV1388" s="1164"/>
      <c r="AW1388" s="1164"/>
      <c r="AX1388" s="1236"/>
      <c r="AY1388" s="473"/>
      <c r="AZ1388" s="1236"/>
      <c r="BA1388" s="473"/>
      <c r="BB1388" s="473"/>
      <c r="BC1388" s="1164"/>
      <c r="BD1388" s="20"/>
      <c r="BE1388" s="473"/>
      <c r="BF1388" s="610"/>
      <c r="BG1388" s="610"/>
      <c r="BH1388" s="610"/>
      <c r="BI1388" s="610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3"/>
      <c r="CQ1388" s="23"/>
      <c r="CR1388" s="23"/>
      <c r="CS1388" s="23"/>
      <c r="CT1388" s="23"/>
      <c r="CU1388" s="23"/>
      <c r="CV1388" s="23"/>
      <c r="CW1388" s="23"/>
      <c r="CX1388" s="23"/>
      <c r="CY1388" s="23"/>
      <c r="CZ1388" s="23"/>
      <c r="DA1388" s="23"/>
      <c r="DB1388" s="23"/>
      <c r="DC1388" s="23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  <c r="DZ1388" s="23"/>
      <c r="EA1388" s="23"/>
      <c r="EB1388" s="23"/>
      <c r="EC1388" s="23"/>
      <c r="ED1388" s="23"/>
      <c r="EE1388" s="23"/>
      <c r="EF1388" s="23"/>
      <c r="EG1388" s="23"/>
      <c r="EH1388" s="23"/>
      <c r="EI1388" s="23"/>
      <c r="EJ1388" s="23"/>
      <c r="EK1388" s="23"/>
      <c r="EL1388" s="23"/>
      <c r="EM1388" s="23"/>
      <c r="EN1388" s="23"/>
      <c r="EO1388" s="23"/>
      <c r="EP1388" s="23"/>
      <c r="EQ1388" s="23"/>
      <c r="ER1388" s="23"/>
    </row>
    <row r="1389" spans="1:148" s="22" customFormat="1" x14ac:dyDescent="0.25">
      <c r="A1389" s="20"/>
      <c r="B1389" s="16"/>
      <c r="C1389" s="473"/>
      <c r="D1389" s="473"/>
      <c r="E1389" s="1164"/>
      <c r="F1389" s="473"/>
      <c r="G1389" s="473"/>
      <c r="H1389" s="1164"/>
      <c r="I1389" s="473"/>
      <c r="J1389" s="473"/>
      <c r="K1389" s="1164"/>
      <c r="L1389" s="473"/>
      <c r="M1389" s="473"/>
      <c r="N1389" s="1164"/>
      <c r="O1389" s="473"/>
      <c r="P1389" s="473"/>
      <c r="Q1389" s="1164"/>
      <c r="R1389" s="473"/>
      <c r="S1389" s="473"/>
      <c r="T1389" s="1164"/>
      <c r="U1389" s="1164"/>
      <c r="V1389" s="473"/>
      <c r="W1389" s="473"/>
      <c r="X1389" s="1164"/>
      <c r="Y1389" s="473"/>
      <c r="Z1389" s="473"/>
      <c r="AA1389" s="1164"/>
      <c r="AB1389" s="473"/>
      <c r="AC1389" s="1164"/>
      <c r="AD1389" s="473"/>
      <c r="AE1389" s="1164"/>
      <c r="AF1389" s="473"/>
      <c r="AG1389" s="1164"/>
      <c r="AH1389" s="473"/>
      <c r="AI1389" s="473"/>
      <c r="AJ1389" s="1164"/>
      <c r="AK1389" s="473"/>
      <c r="AL1389" s="473"/>
      <c r="AM1389" s="1164"/>
      <c r="AN1389" s="473"/>
      <c r="AO1389" s="473"/>
      <c r="AP1389" s="1164"/>
      <c r="AQ1389" s="473"/>
      <c r="AR1389" s="473"/>
      <c r="AS1389" s="1236"/>
      <c r="AT1389" s="473"/>
      <c r="AU1389" s="473"/>
      <c r="AV1389" s="1164"/>
      <c r="AW1389" s="1164"/>
      <c r="AX1389" s="1236"/>
      <c r="AY1389" s="473"/>
      <c r="AZ1389" s="1236"/>
      <c r="BA1389" s="473"/>
      <c r="BB1389" s="473"/>
      <c r="BC1389" s="1164"/>
      <c r="BD1389" s="20"/>
      <c r="BE1389" s="473"/>
      <c r="BF1389" s="610"/>
      <c r="BG1389" s="610"/>
      <c r="BH1389" s="610"/>
      <c r="BI1389" s="610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  <c r="EF1389" s="23"/>
      <c r="EG1389" s="23"/>
      <c r="EH1389" s="23"/>
      <c r="EI1389" s="23"/>
      <c r="EJ1389" s="23"/>
      <c r="EK1389" s="23"/>
      <c r="EL1389" s="23"/>
      <c r="EM1389" s="23"/>
      <c r="EN1389" s="23"/>
      <c r="EO1389" s="23"/>
      <c r="EP1389" s="23"/>
      <c r="EQ1389" s="23"/>
      <c r="ER1389" s="23"/>
    </row>
    <row r="1390" spans="1:148" s="22" customFormat="1" x14ac:dyDescent="0.25">
      <c r="A1390" s="20"/>
      <c r="B1390" s="16"/>
      <c r="C1390" s="473"/>
      <c r="D1390" s="473"/>
      <c r="E1390" s="1164"/>
      <c r="F1390" s="473"/>
      <c r="G1390" s="473"/>
      <c r="H1390" s="1164"/>
      <c r="I1390" s="473"/>
      <c r="J1390" s="473"/>
      <c r="K1390" s="1164"/>
      <c r="L1390" s="473"/>
      <c r="M1390" s="473"/>
      <c r="N1390" s="1164"/>
      <c r="O1390" s="473"/>
      <c r="P1390" s="473"/>
      <c r="Q1390" s="1164"/>
      <c r="R1390" s="473"/>
      <c r="S1390" s="473"/>
      <c r="T1390" s="1164"/>
      <c r="U1390" s="1164"/>
      <c r="V1390" s="473"/>
      <c r="W1390" s="473"/>
      <c r="X1390" s="1164"/>
      <c r="Y1390" s="473"/>
      <c r="Z1390" s="473"/>
      <c r="AA1390" s="1164"/>
      <c r="AB1390" s="473"/>
      <c r="AC1390" s="1164"/>
      <c r="AD1390" s="473"/>
      <c r="AE1390" s="1164"/>
      <c r="AF1390" s="473"/>
      <c r="AG1390" s="1164"/>
      <c r="AH1390" s="473"/>
      <c r="AI1390" s="473"/>
      <c r="AJ1390" s="1164"/>
      <c r="AK1390" s="473"/>
      <c r="AL1390" s="473"/>
      <c r="AM1390" s="1164"/>
      <c r="AN1390" s="473"/>
      <c r="AO1390" s="473"/>
      <c r="AP1390" s="1164"/>
      <c r="AQ1390" s="473"/>
      <c r="AR1390" s="473"/>
      <c r="AS1390" s="1236"/>
      <c r="AT1390" s="473"/>
      <c r="AU1390" s="473"/>
      <c r="AV1390" s="1164"/>
      <c r="AW1390" s="1164"/>
      <c r="AX1390" s="1236"/>
      <c r="AY1390" s="473"/>
      <c r="AZ1390" s="1236"/>
      <c r="BA1390" s="473"/>
      <c r="BB1390" s="473"/>
      <c r="BC1390" s="1164"/>
      <c r="BD1390" s="20"/>
      <c r="BE1390" s="473"/>
      <c r="BF1390" s="610"/>
      <c r="BG1390" s="610"/>
      <c r="BH1390" s="610"/>
      <c r="BI1390" s="610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  <c r="EF1390" s="23"/>
      <c r="EG1390" s="23"/>
      <c r="EH1390" s="23"/>
      <c r="EI1390" s="23"/>
      <c r="EJ1390" s="23"/>
      <c r="EK1390" s="23"/>
      <c r="EL1390" s="23"/>
      <c r="EM1390" s="23"/>
      <c r="EN1390" s="23"/>
      <c r="EO1390" s="23"/>
      <c r="EP1390" s="23"/>
      <c r="EQ1390" s="23"/>
      <c r="ER1390" s="23"/>
    </row>
    <row r="1391" spans="1:148" s="22" customFormat="1" x14ac:dyDescent="0.25">
      <c r="A1391" s="20"/>
      <c r="B1391" s="16"/>
      <c r="C1391" s="473"/>
      <c r="D1391" s="473"/>
      <c r="E1391" s="1164"/>
      <c r="F1391" s="473"/>
      <c r="G1391" s="473"/>
      <c r="H1391" s="1164"/>
      <c r="I1391" s="473"/>
      <c r="J1391" s="473"/>
      <c r="K1391" s="1164"/>
      <c r="L1391" s="473"/>
      <c r="M1391" s="473"/>
      <c r="N1391" s="1164"/>
      <c r="O1391" s="473"/>
      <c r="P1391" s="473"/>
      <c r="Q1391" s="1164"/>
      <c r="R1391" s="473"/>
      <c r="S1391" s="473"/>
      <c r="T1391" s="1164"/>
      <c r="U1391" s="1164"/>
      <c r="V1391" s="473"/>
      <c r="W1391" s="473"/>
      <c r="X1391" s="1164"/>
      <c r="Y1391" s="473"/>
      <c r="Z1391" s="473"/>
      <c r="AA1391" s="1164"/>
      <c r="AB1391" s="473"/>
      <c r="AC1391" s="1164"/>
      <c r="AD1391" s="473"/>
      <c r="AE1391" s="1164"/>
      <c r="AF1391" s="473"/>
      <c r="AG1391" s="1164"/>
      <c r="AH1391" s="473"/>
      <c r="AI1391" s="473"/>
      <c r="AJ1391" s="1164"/>
      <c r="AK1391" s="473"/>
      <c r="AL1391" s="473"/>
      <c r="AM1391" s="1164"/>
      <c r="AN1391" s="473"/>
      <c r="AO1391" s="473"/>
      <c r="AP1391" s="1164"/>
      <c r="AQ1391" s="473"/>
      <c r="AR1391" s="473"/>
      <c r="AS1391" s="1236"/>
      <c r="AT1391" s="473"/>
      <c r="AU1391" s="473"/>
      <c r="AV1391" s="1164"/>
      <c r="AW1391" s="1164"/>
      <c r="AX1391" s="1236"/>
      <c r="AY1391" s="473"/>
      <c r="AZ1391" s="1236"/>
      <c r="BA1391" s="473"/>
      <c r="BB1391" s="473"/>
      <c r="BC1391" s="1164"/>
      <c r="BD1391" s="20"/>
      <c r="BE1391" s="473"/>
      <c r="BF1391" s="610"/>
      <c r="BG1391" s="610"/>
      <c r="BH1391" s="610"/>
      <c r="BI1391" s="610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  <c r="EF1391" s="23"/>
      <c r="EG1391" s="23"/>
      <c r="EH1391" s="23"/>
      <c r="EI1391" s="23"/>
      <c r="EJ1391" s="23"/>
      <c r="EK1391" s="23"/>
      <c r="EL1391" s="23"/>
      <c r="EM1391" s="23"/>
      <c r="EN1391" s="23"/>
      <c r="EO1391" s="23"/>
      <c r="EP1391" s="23"/>
      <c r="EQ1391" s="23"/>
      <c r="ER1391" s="23"/>
    </row>
    <row r="1392" spans="1:148" s="22" customFormat="1" x14ac:dyDescent="0.25">
      <c r="A1392" s="20"/>
      <c r="B1392" s="16"/>
      <c r="C1392" s="473"/>
      <c r="D1392" s="473"/>
      <c r="E1392" s="1164"/>
      <c r="F1392" s="473"/>
      <c r="G1392" s="473"/>
      <c r="H1392" s="1164"/>
      <c r="I1392" s="473"/>
      <c r="J1392" s="473"/>
      <c r="K1392" s="1164"/>
      <c r="L1392" s="473"/>
      <c r="M1392" s="473"/>
      <c r="N1392" s="1164"/>
      <c r="O1392" s="473"/>
      <c r="P1392" s="473"/>
      <c r="Q1392" s="1164"/>
      <c r="R1392" s="473"/>
      <c r="S1392" s="473"/>
      <c r="T1392" s="1164"/>
      <c r="U1392" s="1164"/>
      <c r="V1392" s="473"/>
      <c r="W1392" s="473"/>
      <c r="X1392" s="1164"/>
      <c r="Y1392" s="473"/>
      <c r="Z1392" s="473"/>
      <c r="AA1392" s="1164"/>
      <c r="AB1392" s="473"/>
      <c r="AC1392" s="1164"/>
      <c r="AD1392" s="473"/>
      <c r="AE1392" s="1164"/>
      <c r="AF1392" s="473"/>
      <c r="AG1392" s="1164"/>
      <c r="AH1392" s="473"/>
      <c r="AI1392" s="473"/>
      <c r="AJ1392" s="1164"/>
      <c r="AK1392" s="473"/>
      <c r="AL1392" s="473"/>
      <c r="AM1392" s="1164"/>
      <c r="AN1392" s="473"/>
      <c r="AO1392" s="473"/>
      <c r="AP1392" s="1164"/>
      <c r="AQ1392" s="473"/>
      <c r="AR1392" s="473"/>
      <c r="AS1392" s="1236"/>
      <c r="AT1392" s="473"/>
      <c r="AU1392" s="473"/>
      <c r="AV1392" s="1164"/>
      <c r="AW1392" s="1164"/>
      <c r="AX1392" s="1236"/>
      <c r="AY1392" s="473"/>
      <c r="AZ1392" s="1236"/>
      <c r="BA1392" s="473"/>
      <c r="BB1392" s="473"/>
      <c r="BC1392" s="1164"/>
      <c r="BD1392" s="20"/>
      <c r="BE1392" s="473"/>
      <c r="BF1392" s="610"/>
      <c r="BG1392" s="610"/>
      <c r="BH1392" s="610"/>
      <c r="BI1392" s="610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  <c r="EF1392" s="23"/>
      <c r="EG1392" s="23"/>
      <c r="EH1392" s="23"/>
      <c r="EI1392" s="23"/>
      <c r="EJ1392" s="23"/>
      <c r="EK1392" s="23"/>
      <c r="EL1392" s="23"/>
      <c r="EM1392" s="23"/>
      <c r="EN1392" s="23"/>
      <c r="EO1392" s="23"/>
      <c r="EP1392" s="23"/>
      <c r="EQ1392" s="23"/>
      <c r="ER1392" s="23"/>
    </row>
    <row r="1393" spans="1:148" s="22" customFormat="1" x14ac:dyDescent="0.25">
      <c r="A1393" s="20"/>
      <c r="B1393" s="16"/>
      <c r="C1393" s="473"/>
      <c r="D1393" s="473"/>
      <c r="E1393" s="1164"/>
      <c r="F1393" s="473"/>
      <c r="G1393" s="473"/>
      <c r="H1393" s="1164"/>
      <c r="I1393" s="473"/>
      <c r="J1393" s="473"/>
      <c r="K1393" s="1164"/>
      <c r="L1393" s="473"/>
      <c r="M1393" s="473"/>
      <c r="N1393" s="1164"/>
      <c r="O1393" s="473"/>
      <c r="P1393" s="473"/>
      <c r="Q1393" s="1164"/>
      <c r="R1393" s="473"/>
      <c r="S1393" s="473"/>
      <c r="T1393" s="1164"/>
      <c r="U1393" s="1164"/>
      <c r="V1393" s="473"/>
      <c r="W1393" s="473"/>
      <c r="X1393" s="1164"/>
      <c r="Y1393" s="473"/>
      <c r="Z1393" s="473"/>
      <c r="AA1393" s="1164"/>
      <c r="AB1393" s="473"/>
      <c r="AC1393" s="1164"/>
      <c r="AD1393" s="473"/>
      <c r="AE1393" s="1164"/>
      <c r="AF1393" s="473"/>
      <c r="AG1393" s="1164"/>
      <c r="AH1393" s="473"/>
      <c r="AI1393" s="473"/>
      <c r="AJ1393" s="1164"/>
      <c r="AK1393" s="473"/>
      <c r="AL1393" s="473"/>
      <c r="AM1393" s="1164"/>
      <c r="AN1393" s="473"/>
      <c r="AO1393" s="473"/>
      <c r="AP1393" s="1164"/>
      <c r="AQ1393" s="473"/>
      <c r="AR1393" s="473"/>
      <c r="AS1393" s="1236"/>
      <c r="AT1393" s="473"/>
      <c r="AU1393" s="473"/>
      <c r="AV1393" s="1164"/>
      <c r="AW1393" s="1164"/>
      <c r="AX1393" s="1236"/>
      <c r="AY1393" s="473"/>
      <c r="AZ1393" s="1236"/>
      <c r="BA1393" s="473"/>
      <c r="BB1393" s="473"/>
      <c r="BC1393" s="1164"/>
      <c r="BD1393" s="20"/>
      <c r="BE1393" s="473"/>
      <c r="BF1393" s="610"/>
      <c r="BG1393" s="610"/>
      <c r="BH1393" s="610"/>
      <c r="BI1393" s="610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  <c r="EF1393" s="23"/>
      <c r="EG1393" s="23"/>
      <c r="EH1393" s="23"/>
      <c r="EI1393" s="23"/>
      <c r="EJ1393" s="23"/>
      <c r="EK1393" s="23"/>
      <c r="EL1393" s="23"/>
      <c r="EM1393" s="23"/>
      <c r="EN1393" s="23"/>
      <c r="EO1393" s="23"/>
      <c r="EP1393" s="23"/>
      <c r="EQ1393" s="23"/>
      <c r="ER1393" s="23"/>
    </row>
    <row r="1394" spans="1:148" s="22" customFormat="1" x14ac:dyDescent="0.25">
      <c r="A1394" s="20"/>
      <c r="B1394" s="16"/>
      <c r="C1394" s="473"/>
      <c r="D1394" s="473"/>
      <c r="E1394" s="1164"/>
      <c r="F1394" s="473"/>
      <c r="G1394" s="473"/>
      <c r="H1394" s="1164"/>
      <c r="I1394" s="473"/>
      <c r="J1394" s="473"/>
      <c r="K1394" s="1164"/>
      <c r="L1394" s="473"/>
      <c r="M1394" s="473"/>
      <c r="N1394" s="1164"/>
      <c r="O1394" s="473"/>
      <c r="P1394" s="473"/>
      <c r="Q1394" s="1164"/>
      <c r="R1394" s="473"/>
      <c r="S1394" s="473"/>
      <c r="T1394" s="1164"/>
      <c r="U1394" s="1164"/>
      <c r="V1394" s="473"/>
      <c r="W1394" s="473"/>
      <c r="X1394" s="1164"/>
      <c r="Y1394" s="473"/>
      <c r="Z1394" s="473"/>
      <c r="AA1394" s="1164"/>
      <c r="AB1394" s="473"/>
      <c r="AC1394" s="1164"/>
      <c r="AD1394" s="473"/>
      <c r="AE1394" s="1164"/>
      <c r="AF1394" s="473"/>
      <c r="AG1394" s="1164"/>
      <c r="AH1394" s="473"/>
      <c r="AI1394" s="473"/>
      <c r="AJ1394" s="1164"/>
      <c r="AK1394" s="473"/>
      <c r="AL1394" s="473"/>
      <c r="AM1394" s="1164"/>
      <c r="AN1394" s="473"/>
      <c r="AO1394" s="473"/>
      <c r="AP1394" s="1164"/>
      <c r="AQ1394" s="473"/>
      <c r="AR1394" s="473"/>
      <c r="AS1394" s="1236"/>
      <c r="AT1394" s="473"/>
      <c r="AU1394" s="473"/>
      <c r="AV1394" s="1164"/>
      <c r="AW1394" s="1164"/>
      <c r="AX1394" s="1236"/>
      <c r="AY1394" s="473"/>
      <c r="AZ1394" s="1236"/>
      <c r="BA1394" s="473"/>
      <c r="BB1394" s="473"/>
      <c r="BC1394" s="1164"/>
      <c r="BD1394" s="20"/>
      <c r="BE1394" s="473"/>
      <c r="BF1394" s="610"/>
      <c r="BG1394" s="610"/>
      <c r="BH1394" s="610"/>
      <c r="BI1394" s="610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  <c r="EF1394" s="23"/>
      <c r="EG1394" s="23"/>
      <c r="EH1394" s="23"/>
      <c r="EI1394" s="23"/>
      <c r="EJ1394" s="23"/>
      <c r="EK1394" s="23"/>
      <c r="EL1394" s="23"/>
      <c r="EM1394" s="23"/>
      <c r="EN1394" s="23"/>
      <c r="EO1394" s="23"/>
      <c r="EP1394" s="23"/>
      <c r="EQ1394" s="23"/>
      <c r="ER1394" s="23"/>
    </row>
    <row r="1395" spans="1:148" s="22" customFormat="1" x14ac:dyDescent="0.25">
      <c r="A1395" s="20"/>
      <c r="B1395" s="16"/>
      <c r="C1395" s="473"/>
      <c r="D1395" s="473"/>
      <c r="E1395" s="1164"/>
      <c r="F1395" s="473"/>
      <c r="G1395" s="473"/>
      <c r="H1395" s="1164"/>
      <c r="I1395" s="473"/>
      <c r="J1395" s="473"/>
      <c r="K1395" s="1164"/>
      <c r="L1395" s="473"/>
      <c r="M1395" s="473"/>
      <c r="N1395" s="1164"/>
      <c r="O1395" s="473"/>
      <c r="P1395" s="473"/>
      <c r="Q1395" s="1164"/>
      <c r="R1395" s="473"/>
      <c r="S1395" s="473"/>
      <c r="T1395" s="1164"/>
      <c r="U1395" s="1164"/>
      <c r="V1395" s="473"/>
      <c r="W1395" s="473"/>
      <c r="X1395" s="1164"/>
      <c r="Y1395" s="473"/>
      <c r="Z1395" s="473"/>
      <c r="AA1395" s="1164"/>
      <c r="AB1395" s="473"/>
      <c r="AC1395" s="1164"/>
      <c r="AD1395" s="473"/>
      <c r="AE1395" s="1164"/>
      <c r="AF1395" s="473"/>
      <c r="AG1395" s="1164"/>
      <c r="AH1395" s="473"/>
      <c r="AI1395" s="473"/>
      <c r="AJ1395" s="1164"/>
      <c r="AK1395" s="473"/>
      <c r="AL1395" s="473"/>
      <c r="AM1395" s="1164"/>
      <c r="AN1395" s="473"/>
      <c r="AO1395" s="473"/>
      <c r="AP1395" s="1164"/>
      <c r="AQ1395" s="473"/>
      <c r="AR1395" s="473"/>
      <c r="AS1395" s="1236"/>
      <c r="AT1395" s="473"/>
      <c r="AU1395" s="473"/>
      <c r="AV1395" s="1164"/>
      <c r="AW1395" s="1164"/>
      <c r="AX1395" s="1236"/>
      <c r="AY1395" s="473"/>
      <c r="AZ1395" s="1236"/>
      <c r="BA1395" s="473"/>
      <c r="BB1395" s="473"/>
      <c r="BC1395" s="1164"/>
      <c r="BD1395" s="20"/>
      <c r="BE1395" s="473"/>
      <c r="BF1395" s="610"/>
      <c r="BG1395" s="610"/>
      <c r="BH1395" s="610"/>
      <c r="BI1395" s="610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  <c r="EF1395" s="23"/>
      <c r="EG1395" s="23"/>
      <c r="EH1395" s="23"/>
      <c r="EI1395" s="23"/>
      <c r="EJ1395" s="23"/>
      <c r="EK1395" s="23"/>
      <c r="EL1395" s="23"/>
      <c r="EM1395" s="23"/>
      <c r="EN1395" s="23"/>
      <c r="EO1395" s="23"/>
      <c r="EP1395" s="23"/>
      <c r="EQ1395" s="23"/>
      <c r="ER1395" s="23"/>
    </row>
    <row r="1396" spans="1:148" s="22" customFormat="1" x14ac:dyDescent="0.25">
      <c r="A1396" s="20"/>
      <c r="B1396" s="16"/>
      <c r="C1396" s="473"/>
      <c r="D1396" s="473"/>
      <c r="E1396" s="1164"/>
      <c r="F1396" s="473"/>
      <c r="G1396" s="473"/>
      <c r="H1396" s="1164"/>
      <c r="I1396" s="473"/>
      <c r="J1396" s="473"/>
      <c r="K1396" s="1164"/>
      <c r="L1396" s="473"/>
      <c r="M1396" s="473"/>
      <c r="N1396" s="1164"/>
      <c r="O1396" s="473"/>
      <c r="P1396" s="473"/>
      <c r="Q1396" s="1164"/>
      <c r="R1396" s="473"/>
      <c r="S1396" s="473"/>
      <c r="T1396" s="1164"/>
      <c r="U1396" s="1164"/>
      <c r="V1396" s="473"/>
      <c r="W1396" s="473"/>
      <c r="X1396" s="1164"/>
      <c r="Y1396" s="473"/>
      <c r="Z1396" s="473"/>
      <c r="AA1396" s="1164"/>
      <c r="AB1396" s="473"/>
      <c r="AC1396" s="1164"/>
      <c r="AD1396" s="473"/>
      <c r="AE1396" s="1164"/>
      <c r="AF1396" s="473"/>
      <c r="AG1396" s="1164"/>
      <c r="AH1396" s="473"/>
      <c r="AI1396" s="473"/>
      <c r="AJ1396" s="1164"/>
      <c r="AK1396" s="473"/>
      <c r="AL1396" s="473"/>
      <c r="AM1396" s="1164"/>
      <c r="AN1396" s="473"/>
      <c r="AO1396" s="473"/>
      <c r="AP1396" s="1164"/>
      <c r="AQ1396" s="473"/>
      <c r="AR1396" s="473"/>
      <c r="AS1396" s="1236"/>
      <c r="AT1396" s="473"/>
      <c r="AU1396" s="473"/>
      <c r="AV1396" s="1164"/>
      <c r="AW1396" s="1164"/>
      <c r="AX1396" s="1236"/>
      <c r="AY1396" s="473"/>
      <c r="AZ1396" s="1236"/>
      <c r="BA1396" s="473"/>
      <c r="BB1396" s="473"/>
      <c r="BC1396" s="1164"/>
      <c r="BD1396" s="20"/>
      <c r="BE1396" s="473"/>
      <c r="BF1396" s="610"/>
      <c r="BG1396" s="610"/>
      <c r="BH1396" s="610"/>
      <c r="BI1396" s="610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  <c r="EH1396" s="23"/>
      <c r="EI1396" s="23"/>
      <c r="EJ1396" s="23"/>
      <c r="EK1396" s="23"/>
      <c r="EL1396" s="23"/>
      <c r="EM1396" s="23"/>
      <c r="EN1396" s="23"/>
      <c r="EO1396" s="23"/>
      <c r="EP1396" s="23"/>
      <c r="EQ1396" s="23"/>
      <c r="ER1396" s="23"/>
    </row>
    <row r="1397" spans="1:148" s="22" customFormat="1" x14ac:dyDescent="0.25">
      <c r="A1397" s="20"/>
      <c r="B1397" s="16"/>
      <c r="C1397" s="473"/>
      <c r="D1397" s="473"/>
      <c r="E1397" s="1164"/>
      <c r="F1397" s="473"/>
      <c r="G1397" s="473"/>
      <c r="H1397" s="1164"/>
      <c r="I1397" s="473"/>
      <c r="J1397" s="473"/>
      <c r="K1397" s="1164"/>
      <c r="L1397" s="473"/>
      <c r="M1397" s="473"/>
      <c r="N1397" s="1164"/>
      <c r="O1397" s="473"/>
      <c r="P1397" s="473"/>
      <c r="Q1397" s="1164"/>
      <c r="R1397" s="473"/>
      <c r="S1397" s="473"/>
      <c r="T1397" s="1164"/>
      <c r="U1397" s="1164"/>
      <c r="V1397" s="473"/>
      <c r="W1397" s="473"/>
      <c r="X1397" s="1164"/>
      <c r="Y1397" s="473"/>
      <c r="Z1397" s="473"/>
      <c r="AA1397" s="1164"/>
      <c r="AB1397" s="473"/>
      <c r="AC1397" s="1164"/>
      <c r="AD1397" s="473"/>
      <c r="AE1397" s="1164"/>
      <c r="AF1397" s="473"/>
      <c r="AG1397" s="1164"/>
      <c r="AH1397" s="473"/>
      <c r="AI1397" s="473"/>
      <c r="AJ1397" s="1164"/>
      <c r="AK1397" s="473"/>
      <c r="AL1397" s="473"/>
      <c r="AM1397" s="1164"/>
      <c r="AN1397" s="473"/>
      <c r="AO1397" s="473"/>
      <c r="AP1397" s="1164"/>
      <c r="AQ1397" s="473"/>
      <c r="AR1397" s="473"/>
      <c r="AS1397" s="1236"/>
      <c r="AT1397" s="473"/>
      <c r="AU1397" s="473"/>
      <c r="AV1397" s="1164"/>
      <c r="AW1397" s="1164"/>
      <c r="AX1397" s="1236"/>
      <c r="AY1397" s="473"/>
      <c r="AZ1397" s="1236"/>
      <c r="BA1397" s="473"/>
      <c r="BB1397" s="473"/>
      <c r="BC1397" s="1164"/>
      <c r="BD1397" s="20"/>
      <c r="BE1397" s="473"/>
      <c r="BF1397" s="610"/>
      <c r="BG1397" s="610"/>
      <c r="BH1397" s="610"/>
      <c r="BI1397" s="610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  <c r="EH1397" s="23"/>
      <c r="EI1397" s="23"/>
      <c r="EJ1397" s="23"/>
      <c r="EK1397" s="23"/>
      <c r="EL1397" s="23"/>
      <c r="EM1397" s="23"/>
      <c r="EN1397" s="23"/>
      <c r="EO1397" s="23"/>
      <c r="EP1397" s="23"/>
      <c r="EQ1397" s="23"/>
      <c r="ER1397" s="23"/>
    </row>
    <row r="1398" spans="1:148" s="22" customFormat="1" x14ac:dyDescent="0.25">
      <c r="A1398" s="20"/>
      <c r="B1398" s="16"/>
      <c r="C1398" s="473"/>
      <c r="D1398" s="473"/>
      <c r="E1398" s="1164"/>
      <c r="F1398" s="473"/>
      <c r="G1398" s="473"/>
      <c r="H1398" s="1164"/>
      <c r="I1398" s="473"/>
      <c r="J1398" s="473"/>
      <c r="K1398" s="1164"/>
      <c r="L1398" s="473"/>
      <c r="M1398" s="473"/>
      <c r="N1398" s="1164"/>
      <c r="O1398" s="473"/>
      <c r="P1398" s="473"/>
      <c r="Q1398" s="1164"/>
      <c r="R1398" s="473"/>
      <c r="S1398" s="473"/>
      <c r="T1398" s="1164"/>
      <c r="U1398" s="1164"/>
      <c r="V1398" s="473"/>
      <c r="W1398" s="473"/>
      <c r="X1398" s="1164"/>
      <c r="Y1398" s="473"/>
      <c r="Z1398" s="473"/>
      <c r="AA1398" s="1164"/>
      <c r="AB1398" s="473"/>
      <c r="AC1398" s="1164"/>
      <c r="AD1398" s="473"/>
      <c r="AE1398" s="1164"/>
      <c r="AF1398" s="473"/>
      <c r="AG1398" s="1164"/>
      <c r="AH1398" s="473"/>
      <c r="AI1398" s="473"/>
      <c r="AJ1398" s="1164"/>
      <c r="AK1398" s="473"/>
      <c r="AL1398" s="473"/>
      <c r="AM1398" s="1164"/>
      <c r="AN1398" s="473"/>
      <c r="AO1398" s="473"/>
      <c r="AP1398" s="1164"/>
      <c r="AQ1398" s="473"/>
      <c r="AR1398" s="473"/>
      <c r="AS1398" s="1236"/>
      <c r="AT1398" s="473"/>
      <c r="AU1398" s="473"/>
      <c r="AV1398" s="1164"/>
      <c r="AW1398" s="1164"/>
      <c r="AX1398" s="1236"/>
      <c r="AY1398" s="473"/>
      <c r="AZ1398" s="1236"/>
      <c r="BA1398" s="473"/>
      <c r="BB1398" s="473"/>
      <c r="BC1398" s="1164"/>
      <c r="BD1398" s="20"/>
      <c r="BE1398" s="473"/>
      <c r="BF1398" s="610"/>
      <c r="BG1398" s="610"/>
      <c r="BH1398" s="610"/>
      <c r="BI1398" s="610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  <c r="EF1398" s="23"/>
      <c r="EG1398" s="23"/>
      <c r="EH1398" s="23"/>
      <c r="EI1398" s="23"/>
      <c r="EJ1398" s="23"/>
      <c r="EK1398" s="23"/>
      <c r="EL1398" s="23"/>
      <c r="EM1398" s="23"/>
      <c r="EN1398" s="23"/>
      <c r="EO1398" s="23"/>
      <c r="EP1398" s="23"/>
      <c r="EQ1398" s="23"/>
      <c r="ER1398" s="23"/>
    </row>
    <row r="1399" spans="1:148" s="22" customFormat="1" x14ac:dyDescent="0.25">
      <c r="A1399" s="20"/>
      <c r="B1399" s="16"/>
      <c r="C1399" s="473"/>
      <c r="D1399" s="473"/>
      <c r="E1399" s="1164"/>
      <c r="F1399" s="473"/>
      <c r="G1399" s="473"/>
      <c r="H1399" s="1164"/>
      <c r="I1399" s="473"/>
      <c r="J1399" s="473"/>
      <c r="K1399" s="1164"/>
      <c r="L1399" s="473"/>
      <c r="M1399" s="473"/>
      <c r="N1399" s="1164"/>
      <c r="O1399" s="473"/>
      <c r="P1399" s="473"/>
      <c r="Q1399" s="1164"/>
      <c r="R1399" s="473"/>
      <c r="S1399" s="473"/>
      <c r="T1399" s="1164"/>
      <c r="U1399" s="1164"/>
      <c r="V1399" s="473"/>
      <c r="W1399" s="473"/>
      <c r="X1399" s="1164"/>
      <c r="Y1399" s="473"/>
      <c r="Z1399" s="473"/>
      <c r="AA1399" s="1164"/>
      <c r="AB1399" s="473"/>
      <c r="AC1399" s="1164"/>
      <c r="AD1399" s="473"/>
      <c r="AE1399" s="1164"/>
      <c r="AF1399" s="473"/>
      <c r="AG1399" s="1164"/>
      <c r="AH1399" s="473"/>
      <c r="AI1399" s="473"/>
      <c r="AJ1399" s="1164"/>
      <c r="AK1399" s="473"/>
      <c r="AL1399" s="473"/>
      <c r="AM1399" s="1164"/>
      <c r="AN1399" s="473"/>
      <c r="AO1399" s="473"/>
      <c r="AP1399" s="1164"/>
      <c r="AQ1399" s="473"/>
      <c r="AR1399" s="473"/>
      <c r="AS1399" s="1236"/>
      <c r="AT1399" s="473"/>
      <c r="AU1399" s="473"/>
      <c r="AV1399" s="1164"/>
      <c r="AW1399" s="1164"/>
      <c r="AX1399" s="1236"/>
      <c r="AY1399" s="473"/>
      <c r="AZ1399" s="1236"/>
      <c r="BA1399" s="473"/>
      <c r="BB1399" s="473"/>
      <c r="BC1399" s="1164"/>
      <c r="BD1399" s="20"/>
      <c r="BE1399" s="473"/>
      <c r="BF1399" s="610"/>
      <c r="BG1399" s="610"/>
      <c r="BH1399" s="610"/>
      <c r="BI1399" s="610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  <c r="EF1399" s="23"/>
      <c r="EG1399" s="23"/>
      <c r="EH1399" s="23"/>
      <c r="EI1399" s="23"/>
      <c r="EJ1399" s="23"/>
      <c r="EK1399" s="23"/>
      <c r="EL1399" s="23"/>
      <c r="EM1399" s="23"/>
      <c r="EN1399" s="23"/>
      <c r="EO1399" s="23"/>
      <c r="EP1399" s="23"/>
      <c r="EQ1399" s="23"/>
      <c r="ER1399" s="23"/>
    </row>
    <row r="1400" spans="1:148" s="22" customFormat="1" x14ac:dyDescent="0.25">
      <c r="A1400" s="20"/>
      <c r="B1400" s="16"/>
      <c r="C1400" s="473"/>
      <c r="D1400" s="473"/>
      <c r="E1400" s="1164"/>
      <c r="F1400" s="473"/>
      <c r="G1400" s="473"/>
      <c r="H1400" s="1164"/>
      <c r="I1400" s="473"/>
      <c r="J1400" s="473"/>
      <c r="K1400" s="1164"/>
      <c r="L1400" s="473"/>
      <c r="M1400" s="473"/>
      <c r="N1400" s="1164"/>
      <c r="O1400" s="473"/>
      <c r="P1400" s="473"/>
      <c r="Q1400" s="1164"/>
      <c r="R1400" s="473"/>
      <c r="S1400" s="473"/>
      <c r="T1400" s="1164"/>
      <c r="U1400" s="1164"/>
      <c r="V1400" s="473"/>
      <c r="W1400" s="473"/>
      <c r="X1400" s="1164"/>
      <c r="Y1400" s="473"/>
      <c r="Z1400" s="473"/>
      <c r="AA1400" s="1164"/>
      <c r="AB1400" s="473"/>
      <c r="AC1400" s="1164"/>
      <c r="AD1400" s="473"/>
      <c r="AE1400" s="1164"/>
      <c r="AF1400" s="473"/>
      <c r="AG1400" s="1164"/>
      <c r="AH1400" s="473"/>
      <c r="AI1400" s="473"/>
      <c r="AJ1400" s="1164"/>
      <c r="AK1400" s="473"/>
      <c r="AL1400" s="473"/>
      <c r="AM1400" s="1164"/>
      <c r="AN1400" s="473"/>
      <c r="AO1400" s="473"/>
      <c r="AP1400" s="1164"/>
      <c r="AQ1400" s="473"/>
      <c r="AR1400" s="473"/>
      <c r="AS1400" s="1236"/>
      <c r="AT1400" s="473"/>
      <c r="AU1400" s="473"/>
      <c r="AV1400" s="1164"/>
      <c r="AW1400" s="1164"/>
      <c r="AX1400" s="1236"/>
      <c r="AY1400" s="473"/>
      <c r="AZ1400" s="1236"/>
      <c r="BA1400" s="473"/>
      <c r="BB1400" s="473"/>
      <c r="BC1400" s="1164"/>
      <c r="BD1400" s="20"/>
      <c r="BE1400" s="473"/>
      <c r="BF1400" s="610"/>
      <c r="BG1400" s="610"/>
      <c r="BH1400" s="610"/>
      <c r="BI1400" s="610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  <c r="EF1400" s="23"/>
      <c r="EG1400" s="23"/>
      <c r="EH1400" s="23"/>
      <c r="EI1400" s="23"/>
      <c r="EJ1400" s="23"/>
      <c r="EK1400" s="23"/>
      <c r="EL1400" s="23"/>
      <c r="EM1400" s="23"/>
      <c r="EN1400" s="23"/>
      <c r="EO1400" s="23"/>
      <c r="EP1400" s="23"/>
      <c r="EQ1400" s="23"/>
      <c r="ER1400" s="23"/>
    </row>
    <row r="1401" spans="1:148" s="22" customFormat="1" x14ac:dyDescent="0.25">
      <c r="A1401" s="20"/>
      <c r="B1401" s="16"/>
      <c r="C1401" s="473"/>
      <c r="D1401" s="473"/>
      <c r="E1401" s="1164"/>
      <c r="F1401" s="473"/>
      <c r="G1401" s="473"/>
      <c r="H1401" s="1164"/>
      <c r="I1401" s="473"/>
      <c r="J1401" s="473"/>
      <c r="K1401" s="1164"/>
      <c r="L1401" s="473"/>
      <c r="M1401" s="473"/>
      <c r="N1401" s="1164"/>
      <c r="O1401" s="473"/>
      <c r="P1401" s="473"/>
      <c r="Q1401" s="1164"/>
      <c r="R1401" s="473"/>
      <c r="S1401" s="473"/>
      <c r="T1401" s="1164"/>
      <c r="U1401" s="1164"/>
      <c r="V1401" s="473"/>
      <c r="W1401" s="473"/>
      <c r="X1401" s="1164"/>
      <c r="Y1401" s="473"/>
      <c r="Z1401" s="473"/>
      <c r="AA1401" s="1164"/>
      <c r="AB1401" s="473"/>
      <c r="AC1401" s="1164"/>
      <c r="AD1401" s="473"/>
      <c r="AE1401" s="1164"/>
      <c r="AF1401" s="473"/>
      <c r="AG1401" s="1164"/>
      <c r="AH1401" s="473"/>
      <c r="AI1401" s="473"/>
      <c r="AJ1401" s="1164"/>
      <c r="AK1401" s="473"/>
      <c r="AL1401" s="473"/>
      <c r="AM1401" s="1164"/>
      <c r="AN1401" s="473"/>
      <c r="AO1401" s="473"/>
      <c r="AP1401" s="1164"/>
      <c r="AQ1401" s="473"/>
      <c r="AR1401" s="473"/>
      <c r="AS1401" s="1236"/>
      <c r="AT1401" s="473"/>
      <c r="AU1401" s="473"/>
      <c r="AV1401" s="1164"/>
      <c r="AW1401" s="1164"/>
      <c r="AX1401" s="1236"/>
      <c r="AY1401" s="473"/>
      <c r="AZ1401" s="1236"/>
      <c r="BA1401" s="473"/>
      <c r="BB1401" s="473"/>
      <c r="BC1401" s="1164"/>
      <c r="BD1401" s="20"/>
      <c r="BE1401" s="473"/>
      <c r="BF1401" s="610"/>
      <c r="BG1401" s="610"/>
      <c r="BH1401" s="610"/>
      <c r="BI1401" s="610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  <c r="EH1401" s="23"/>
      <c r="EI1401" s="23"/>
      <c r="EJ1401" s="23"/>
      <c r="EK1401" s="23"/>
      <c r="EL1401" s="23"/>
      <c r="EM1401" s="23"/>
      <c r="EN1401" s="23"/>
      <c r="EO1401" s="23"/>
      <c r="EP1401" s="23"/>
      <c r="EQ1401" s="23"/>
      <c r="ER1401" s="23"/>
    </row>
    <row r="1402" spans="1:148" s="22" customFormat="1" x14ac:dyDescent="0.25">
      <c r="A1402" s="20"/>
      <c r="B1402" s="16"/>
      <c r="C1402" s="473"/>
      <c r="D1402" s="473"/>
      <c r="E1402" s="1164"/>
      <c r="F1402" s="473"/>
      <c r="G1402" s="473"/>
      <c r="H1402" s="1164"/>
      <c r="I1402" s="473"/>
      <c r="J1402" s="473"/>
      <c r="K1402" s="1164"/>
      <c r="L1402" s="473"/>
      <c r="M1402" s="473"/>
      <c r="N1402" s="1164"/>
      <c r="O1402" s="473"/>
      <c r="P1402" s="473"/>
      <c r="Q1402" s="1164"/>
      <c r="R1402" s="473"/>
      <c r="S1402" s="473"/>
      <c r="T1402" s="1164"/>
      <c r="U1402" s="1164"/>
      <c r="V1402" s="473"/>
      <c r="W1402" s="473"/>
      <c r="X1402" s="1164"/>
      <c r="Y1402" s="473"/>
      <c r="Z1402" s="473"/>
      <c r="AA1402" s="1164"/>
      <c r="AB1402" s="473"/>
      <c r="AC1402" s="1164"/>
      <c r="AD1402" s="473"/>
      <c r="AE1402" s="1164"/>
      <c r="AF1402" s="473"/>
      <c r="AG1402" s="1164"/>
      <c r="AH1402" s="473"/>
      <c r="AI1402" s="473"/>
      <c r="AJ1402" s="1164"/>
      <c r="AK1402" s="473"/>
      <c r="AL1402" s="473"/>
      <c r="AM1402" s="1164"/>
      <c r="AN1402" s="473"/>
      <c r="AO1402" s="473"/>
      <c r="AP1402" s="1164"/>
      <c r="AQ1402" s="473"/>
      <c r="AR1402" s="473"/>
      <c r="AS1402" s="1236"/>
      <c r="AT1402" s="473"/>
      <c r="AU1402" s="473"/>
      <c r="AV1402" s="1164"/>
      <c r="AW1402" s="1164"/>
      <c r="AX1402" s="1236"/>
      <c r="AY1402" s="473"/>
      <c r="AZ1402" s="1236"/>
      <c r="BA1402" s="473"/>
      <c r="BB1402" s="473"/>
      <c r="BC1402" s="1164"/>
      <c r="BD1402" s="20"/>
      <c r="BE1402" s="473"/>
      <c r="BF1402" s="610"/>
      <c r="BG1402" s="610"/>
      <c r="BH1402" s="610"/>
      <c r="BI1402" s="610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  <c r="EF1402" s="23"/>
      <c r="EG1402" s="23"/>
      <c r="EH1402" s="23"/>
      <c r="EI1402" s="23"/>
      <c r="EJ1402" s="23"/>
      <c r="EK1402" s="23"/>
      <c r="EL1402" s="23"/>
      <c r="EM1402" s="23"/>
      <c r="EN1402" s="23"/>
      <c r="EO1402" s="23"/>
      <c r="EP1402" s="23"/>
      <c r="EQ1402" s="23"/>
      <c r="ER1402" s="23"/>
    </row>
    <row r="1403" spans="1:148" s="22" customFormat="1" x14ac:dyDescent="0.25">
      <c r="A1403" s="20"/>
      <c r="B1403" s="16"/>
      <c r="C1403" s="473"/>
      <c r="D1403" s="473"/>
      <c r="E1403" s="1164"/>
      <c r="F1403" s="473"/>
      <c r="G1403" s="473"/>
      <c r="H1403" s="1164"/>
      <c r="I1403" s="473"/>
      <c r="J1403" s="473"/>
      <c r="K1403" s="1164"/>
      <c r="L1403" s="473"/>
      <c r="M1403" s="473"/>
      <c r="N1403" s="1164"/>
      <c r="O1403" s="473"/>
      <c r="P1403" s="473"/>
      <c r="Q1403" s="1164"/>
      <c r="R1403" s="473"/>
      <c r="S1403" s="473"/>
      <c r="T1403" s="1164"/>
      <c r="U1403" s="1164"/>
      <c r="V1403" s="473"/>
      <c r="W1403" s="473"/>
      <c r="X1403" s="1164"/>
      <c r="Y1403" s="473"/>
      <c r="Z1403" s="473"/>
      <c r="AA1403" s="1164"/>
      <c r="AB1403" s="473"/>
      <c r="AC1403" s="1164"/>
      <c r="AD1403" s="473"/>
      <c r="AE1403" s="1164"/>
      <c r="AF1403" s="473"/>
      <c r="AG1403" s="1164"/>
      <c r="AH1403" s="473"/>
      <c r="AI1403" s="473"/>
      <c r="AJ1403" s="1164"/>
      <c r="AK1403" s="473"/>
      <c r="AL1403" s="473"/>
      <c r="AM1403" s="1164"/>
      <c r="AN1403" s="473"/>
      <c r="AO1403" s="473"/>
      <c r="AP1403" s="1164"/>
      <c r="AQ1403" s="473"/>
      <c r="AR1403" s="473"/>
      <c r="AS1403" s="1236"/>
      <c r="AT1403" s="473"/>
      <c r="AU1403" s="473"/>
      <c r="AV1403" s="1164"/>
      <c r="AW1403" s="1164"/>
      <c r="AX1403" s="1236"/>
      <c r="AY1403" s="473"/>
      <c r="AZ1403" s="1236"/>
      <c r="BA1403" s="473"/>
      <c r="BB1403" s="473"/>
      <c r="BC1403" s="1164"/>
      <c r="BD1403" s="20"/>
      <c r="BE1403" s="473"/>
      <c r="BF1403" s="610"/>
      <c r="BG1403" s="610"/>
      <c r="BH1403" s="610"/>
      <c r="BI1403" s="610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  <c r="EF1403" s="23"/>
      <c r="EG1403" s="23"/>
      <c r="EH1403" s="23"/>
      <c r="EI1403" s="23"/>
      <c r="EJ1403" s="23"/>
      <c r="EK1403" s="23"/>
      <c r="EL1403" s="23"/>
      <c r="EM1403" s="23"/>
      <c r="EN1403" s="23"/>
      <c r="EO1403" s="23"/>
      <c r="EP1403" s="23"/>
      <c r="EQ1403" s="23"/>
      <c r="ER1403" s="23"/>
    </row>
    <row r="1404" spans="1:148" s="22" customFormat="1" x14ac:dyDescent="0.25">
      <c r="A1404" s="20"/>
      <c r="B1404" s="16"/>
      <c r="C1404" s="473"/>
      <c r="D1404" s="473"/>
      <c r="E1404" s="1164"/>
      <c r="F1404" s="473"/>
      <c r="G1404" s="473"/>
      <c r="H1404" s="1164"/>
      <c r="I1404" s="473"/>
      <c r="J1404" s="473"/>
      <c r="K1404" s="1164"/>
      <c r="L1404" s="473"/>
      <c r="M1404" s="473"/>
      <c r="N1404" s="1164"/>
      <c r="O1404" s="473"/>
      <c r="P1404" s="473"/>
      <c r="Q1404" s="1164"/>
      <c r="R1404" s="473"/>
      <c r="S1404" s="473"/>
      <c r="T1404" s="1164"/>
      <c r="U1404" s="1164"/>
      <c r="V1404" s="473"/>
      <c r="W1404" s="473"/>
      <c r="X1404" s="1164"/>
      <c r="Y1404" s="473"/>
      <c r="Z1404" s="473"/>
      <c r="AA1404" s="1164"/>
      <c r="AB1404" s="473"/>
      <c r="AC1404" s="1164"/>
      <c r="AD1404" s="473"/>
      <c r="AE1404" s="1164"/>
      <c r="AF1404" s="473"/>
      <c r="AG1404" s="1164"/>
      <c r="AH1404" s="473"/>
      <c r="AI1404" s="473"/>
      <c r="AJ1404" s="1164"/>
      <c r="AK1404" s="473"/>
      <c r="AL1404" s="473"/>
      <c r="AM1404" s="1164"/>
      <c r="AN1404" s="473"/>
      <c r="AO1404" s="473"/>
      <c r="AP1404" s="1164"/>
      <c r="AQ1404" s="473"/>
      <c r="AR1404" s="473"/>
      <c r="AS1404" s="1236"/>
      <c r="AT1404" s="473"/>
      <c r="AU1404" s="473"/>
      <c r="AV1404" s="1164"/>
      <c r="AW1404" s="1164"/>
      <c r="AX1404" s="1236"/>
      <c r="AY1404" s="473"/>
      <c r="AZ1404" s="1236"/>
      <c r="BA1404" s="473"/>
      <c r="BB1404" s="473"/>
      <c r="BC1404" s="1164"/>
      <c r="BD1404" s="20"/>
      <c r="BE1404" s="473"/>
      <c r="BF1404" s="610"/>
      <c r="BG1404" s="610"/>
      <c r="BH1404" s="610"/>
      <c r="BI1404" s="610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  <c r="EH1404" s="23"/>
      <c r="EI1404" s="23"/>
      <c r="EJ1404" s="23"/>
      <c r="EK1404" s="23"/>
      <c r="EL1404" s="23"/>
      <c r="EM1404" s="23"/>
      <c r="EN1404" s="23"/>
      <c r="EO1404" s="23"/>
      <c r="EP1404" s="23"/>
      <c r="EQ1404" s="23"/>
      <c r="ER1404" s="23"/>
    </row>
    <row r="1405" spans="1:148" s="22" customFormat="1" x14ac:dyDescent="0.25">
      <c r="A1405" s="20"/>
      <c r="B1405" s="16"/>
      <c r="C1405" s="473"/>
      <c r="D1405" s="473"/>
      <c r="E1405" s="1164"/>
      <c r="F1405" s="473"/>
      <c r="G1405" s="473"/>
      <c r="H1405" s="1164"/>
      <c r="I1405" s="473"/>
      <c r="J1405" s="473"/>
      <c r="K1405" s="1164"/>
      <c r="L1405" s="473"/>
      <c r="M1405" s="473"/>
      <c r="N1405" s="1164"/>
      <c r="O1405" s="473"/>
      <c r="P1405" s="473"/>
      <c r="Q1405" s="1164"/>
      <c r="R1405" s="473"/>
      <c r="S1405" s="473"/>
      <c r="T1405" s="1164"/>
      <c r="U1405" s="1164"/>
      <c r="V1405" s="473"/>
      <c r="W1405" s="473"/>
      <c r="X1405" s="1164"/>
      <c r="Y1405" s="473"/>
      <c r="Z1405" s="473"/>
      <c r="AA1405" s="1164"/>
      <c r="AB1405" s="473"/>
      <c r="AC1405" s="1164"/>
      <c r="AD1405" s="473"/>
      <c r="AE1405" s="1164"/>
      <c r="AF1405" s="473"/>
      <c r="AG1405" s="1164"/>
      <c r="AH1405" s="473"/>
      <c r="AI1405" s="473"/>
      <c r="AJ1405" s="1164"/>
      <c r="AK1405" s="473"/>
      <c r="AL1405" s="473"/>
      <c r="AM1405" s="1164"/>
      <c r="AN1405" s="473"/>
      <c r="AO1405" s="473"/>
      <c r="AP1405" s="1164"/>
      <c r="AQ1405" s="473"/>
      <c r="AR1405" s="473"/>
      <c r="AS1405" s="1236"/>
      <c r="AT1405" s="473"/>
      <c r="AU1405" s="473"/>
      <c r="AV1405" s="1164"/>
      <c r="AW1405" s="1164"/>
      <c r="AX1405" s="1236"/>
      <c r="AY1405" s="473"/>
      <c r="AZ1405" s="1236"/>
      <c r="BA1405" s="473"/>
      <c r="BB1405" s="473"/>
      <c r="BC1405" s="1164"/>
      <c r="BD1405" s="20"/>
      <c r="BE1405" s="473"/>
      <c r="BF1405" s="610"/>
      <c r="BG1405" s="610"/>
      <c r="BH1405" s="610"/>
      <c r="BI1405" s="610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  <c r="EH1405" s="23"/>
      <c r="EI1405" s="23"/>
      <c r="EJ1405" s="23"/>
      <c r="EK1405" s="23"/>
      <c r="EL1405" s="23"/>
      <c r="EM1405" s="23"/>
      <c r="EN1405" s="23"/>
      <c r="EO1405" s="23"/>
      <c r="EP1405" s="23"/>
      <c r="EQ1405" s="23"/>
      <c r="ER1405" s="23"/>
    </row>
    <row r="1406" spans="1:148" s="22" customFormat="1" x14ac:dyDescent="0.25">
      <c r="A1406" s="20"/>
      <c r="B1406" s="16"/>
      <c r="C1406" s="473"/>
      <c r="D1406" s="473"/>
      <c r="E1406" s="1164"/>
      <c r="F1406" s="473"/>
      <c r="G1406" s="473"/>
      <c r="H1406" s="1164"/>
      <c r="I1406" s="473"/>
      <c r="J1406" s="473"/>
      <c r="K1406" s="1164"/>
      <c r="L1406" s="473"/>
      <c r="M1406" s="473"/>
      <c r="N1406" s="1164"/>
      <c r="O1406" s="473"/>
      <c r="P1406" s="473"/>
      <c r="Q1406" s="1164"/>
      <c r="R1406" s="473"/>
      <c r="S1406" s="473"/>
      <c r="T1406" s="1164"/>
      <c r="U1406" s="1164"/>
      <c r="V1406" s="473"/>
      <c r="W1406" s="473"/>
      <c r="X1406" s="1164"/>
      <c r="Y1406" s="473"/>
      <c r="Z1406" s="473"/>
      <c r="AA1406" s="1164"/>
      <c r="AB1406" s="473"/>
      <c r="AC1406" s="1164"/>
      <c r="AD1406" s="473"/>
      <c r="AE1406" s="1164"/>
      <c r="AF1406" s="473"/>
      <c r="AG1406" s="1164"/>
      <c r="AH1406" s="473"/>
      <c r="AI1406" s="473"/>
      <c r="AJ1406" s="1164"/>
      <c r="AK1406" s="473"/>
      <c r="AL1406" s="473"/>
      <c r="AM1406" s="1164"/>
      <c r="AN1406" s="473"/>
      <c r="AO1406" s="473"/>
      <c r="AP1406" s="1164"/>
      <c r="AQ1406" s="473"/>
      <c r="AR1406" s="473"/>
      <c r="AS1406" s="1236"/>
      <c r="AT1406" s="473"/>
      <c r="AU1406" s="473"/>
      <c r="AV1406" s="1164"/>
      <c r="AW1406" s="1164"/>
      <c r="AX1406" s="1236"/>
      <c r="AY1406" s="473"/>
      <c r="AZ1406" s="1236"/>
      <c r="BA1406" s="473"/>
      <c r="BB1406" s="473"/>
      <c r="BC1406" s="1164"/>
      <c r="BD1406" s="20"/>
      <c r="BE1406" s="473"/>
      <c r="BF1406" s="610"/>
      <c r="BG1406" s="610"/>
      <c r="BH1406" s="610"/>
      <c r="BI1406" s="610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  <c r="EH1406" s="23"/>
      <c r="EI1406" s="23"/>
      <c r="EJ1406" s="23"/>
      <c r="EK1406" s="23"/>
      <c r="EL1406" s="23"/>
      <c r="EM1406" s="23"/>
      <c r="EN1406" s="23"/>
      <c r="EO1406" s="23"/>
      <c r="EP1406" s="23"/>
      <c r="EQ1406" s="23"/>
      <c r="ER1406" s="23"/>
    </row>
    <row r="1407" spans="1:148" s="22" customFormat="1" x14ac:dyDescent="0.25">
      <c r="A1407" s="20"/>
      <c r="B1407" s="16"/>
      <c r="C1407" s="473"/>
      <c r="D1407" s="473"/>
      <c r="E1407" s="1164"/>
      <c r="F1407" s="473"/>
      <c r="G1407" s="473"/>
      <c r="H1407" s="1164"/>
      <c r="I1407" s="473"/>
      <c r="J1407" s="473"/>
      <c r="K1407" s="1164"/>
      <c r="L1407" s="473"/>
      <c r="M1407" s="473"/>
      <c r="N1407" s="1164"/>
      <c r="O1407" s="473"/>
      <c r="P1407" s="473"/>
      <c r="Q1407" s="1164"/>
      <c r="R1407" s="473"/>
      <c r="S1407" s="473"/>
      <c r="T1407" s="1164"/>
      <c r="U1407" s="1164"/>
      <c r="V1407" s="473"/>
      <c r="W1407" s="473"/>
      <c r="X1407" s="1164"/>
      <c r="Y1407" s="473"/>
      <c r="Z1407" s="473"/>
      <c r="AA1407" s="1164"/>
      <c r="AB1407" s="473"/>
      <c r="AC1407" s="1164"/>
      <c r="AD1407" s="473"/>
      <c r="AE1407" s="1164"/>
      <c r="AF1407" s="473"/>
      <c r="AG1407" s="1164"/>
      <c r="AH1407" s="473"/>
      <c r="AI1407" s="473"/>
      <c r="AJ1407" s="1164"/>
      <c r="AK1407" s="473"/>
      <c r="AL1407" s="473"/>
      <c r="AM1407" s="1164"/>
      <c r="AN1407" s="473"/>
      <c r="AO1407" s="473"/>
      <c r="AP1407" s="1164"/>
      <c r="AQ1407" s="473"/>
      <c r="AR1407" s="473"/>
      <c r="AS1407" s="1236"/>
      <c r="AT1407" s="473"/>
      <c r="AU1407" s="473"/>
      <c r="AV1407" s="1164"/>
      <c r="AW1407" s="1164"/>
      <c r="AX1407" s="1236"/>
      <c r="AY1407" s="473"/>
      <c r="AZ1407" s="1236"/>
      <c r="BA1407" s="473"/>
      <c r="BB1407" s="473"/>
      <c r="BC1407" s="1164"/>
      <c r="BD1407" s="20"/>
      <c r="BE1407" s="473"/>
      <c r="BF1407" s="610"/>
      <c r="BG1407" s="610"/>
      <c r="BH1407" s="610"/>
      <c r="BI1407" s="610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  <c r="EH1407" s="23"/>
      <c r="EI1407" s="23"/>
      <c r="EJ1407" s="23"/>
      <c r="EK1407" s="23"/>
      <c r="EL1407" s="23"/>
      <c r="EM1407" s="23"/>
      <c r="EN1407" s="23"/>
      <c r="EO1407" s="23"/>
      <c r="EP1407" s="23"/>
      <c r="EQ1407" s="23"/>
      <c r="ER1407" s="23"/>
    </row>
    <row r="1408" spans="1:148" s="22" customFormat="1" x14ac:dyDescent="0.25">
      <c r="A1408" s="20"/>
      <c r="B1408" s="16"/>
      <c r="C1408" s="473"/>
      <c r="D1408" s="473"/>
      <c r="E1408" s="1164"/>
      <c r="F1408" s="473"/>
      <c r="G1408" s="473"/>
      <c r="H1408" s="1164"/>
      <c r="I1408" s="473"/>
      <c r="J1408" s="473"/>
      <c r="K1408" s="1164"/>
      <c r="L1408" s="473"/>
      <c r="M1408" s="473"/>
      <c r="N1408" s="1164"/>
      <c r="O1408" s="473"/>
      <c r="P1408" s="473"/>
      <c r="Q1408" s="1164"/>
      <c r="R1408" s="473"/>
      <c r="S1408" s="473"/>
      <c r="T1408" s="1164"/>
      <c r="U1408" s="1164"/>
      <c r="V1408" s="473"/>
      <c r="W1408" s="473"/>
      <c r="X1408" s="1164"/>
      <c r="Y1408" s="473"/>
      <c r="Z1408" s="473"/>
      <c r="AA1408" s="1164"/>
      <c r="AB1408" s="473"/>
      <c r="AC1408" s="1164"/>
      <c r="AD1408" s="473"/>
      <c r="AE1408" s="1164"/>
      <c r="AF1408" s="473"/>
      <c r="AG1408" s="1164"/>
      <c r="AH1408" s="473"/>
      <c r="AI1408" s="473"/>
      <c r="AJ1408" s="1164"/>
      <c r="AK1408" s="473"/>
      <c r="AL1408" s="473"/>
      <c r="AM1408" s="1164"/>
      <c r="AN1408" s="473"/>
      <c r="AO1408" s="473"/>
      <c r="AP1408" s="1164"/>
      <c r="AQ1408" s="473"/>
      <c r="AR1408" s="473"/>
      <c r="AS1408" s="1236"/>
      <c r="AT1408" s="473"/>
      <c r="AU1408" s="473"/>
      <c r="AV1408" s="1164"/>
      <c r="AW1408" s="1164"/>
      <c r="AX1408" s="1236"/>
      <c r="AY1408" s="473"/>
      <c r="AZ1408" s="1236"/>
      <c r="BA1408" s="473"/>
      <c r="BB1408" s="473"/>
      <c r="BC1408" s="1164"/>
      <c r="BD1408" s="20"/>
      <c r="BE1408" s="473"/>
      <c r="BF1408" s="610"/>
      <c r="BG1408" s="610"/>
      <c r="BH1408" s="610"/>
      <c r="BI1408" s="610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  <c r="EH1408" s="23"/>
      <c r="EI1408" s="23"/>
      <c r="EJ1408" s="23"/>
      <c r="EK1408" s="23"/>
      <c r="EL1408" s="23"/>
      <c r="EM1408" s="23"/>
      <c r="EN1408" s="23"/>
      <c r="EO1408" s="23"/>
      <c r="EP1408" s="23"/>
      <c r="EQ1408" s="23"/>
      <c r="ER1408" s="23"/>
    </row>
    <row r="1409" spans="1:148" s="22" customFormat="1" x14ac:dyDescent="0.25">
      <c r="A1409" s="20"/>
      <c r="B1409" s="16"/>
      <c r="C1409" s="473"/>
      <c r="D1409" s="473"/>
      <c r="E1409" s="1164"/>
      <c r="F1409" s="473"/>
      <c r="G1409" s="473"/>
      <c r="H1409" s="1164"/>
      <c r="I1409" s="473"/>
      <c r="J1409" s="473"/>
      <c r="K1409" s="1164"/>
      <c r="L1409" s="473"/>
      <c r="M1409" s="473"/>
      <c r="N1409" s="1164"/>
      <c r="O1409" s="473"/>
      <c r="P1409" s="473"/>
      <c r="Q1409" s="1164"/>
      <c r="R1409" s="473"/>
      <c r="S1409" s="473"/>
      <c r="T1409" s="1164"/>
      <c r="U1409" s="1164"/>
      <c r="V1409" s="473"/>
      <c r="W1409" s="473"/>
      <c r="X1409" s="1164"/>
      <c r="Y1409" s="473"/>
      <c r="Z1409" s="473"/>
      <c r="AA1409" s="1164"/>
      <c r="AB1409" s="473"/>
      <c r="AC1409" s="1164"/>
      <c r="AD1409" s="473"/>
      <c r="AE1409" s="1164"/>
      <c r="AF1409" s="473"/>
      <c r="AG1409" s="1164"/>
      <c r="AH1409" s="473"/>
      <c r="AI1409" s="473"/>
      <c r="AJ1409" s="1164"/>
      <c r="AK1409" s="473"/>
      <c r="AL1409" s="473"/>
      <c r="AM1409" s="1164"/>
      <c r="AN1409" s="473"/>
      <c r="AO1409" s="473"/>
      <c r="AP1409" s="1164"/>
      <c r="AQ1409" s="473"/>
      <c r="AR1409" s="473"/>
      <c r="AS1409" s="1236"/>
      <c r="AT1409" s="473"/>
      <c r="AU1409" s="473"/>
      <c r="AV1409" s="1164"/>
      <c r="AW1409" s="1164"/>
      <c r="AX1409" s="1236"/>
      <c r="AY1409" s="473"/>
      <c r="AZ1409" s="1236"/>
      <c r="BA1409" s="473"/>
      <c r="BB1409" s="473"/>
      <c r="BC1409" s="1164"/>
      <c r="BD1409" s="20"/>
      <c r="BE1409" s="473"/>
      <c r="BF1409" s="610"/>
      <c r="BG1409" s="610"/>
      <c r="BH1409" s="610"/>
      <c r="BI1409" s="610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  <c r="EH1409" s="23"/>
      <c r="EI1409" s="23"/>
      <c r="EJ1409" s="23"/>
      <c r="EK1409" s="23"/>
      <c r="EL1409" s="23"/>
      <c r="EM1409" s="23"/>
      <c r="EN1409" s="23"/>
      <c r="EO1409" s="23"/>
      <c r="EP1409" s="23"/>
      <c r="EQ1409" s="23"/>
      <c r="ER1409" s="23"/>
    </row>
    <row r="1410" spans="1:148" s="22" customFormat="1" x14ac:dyDescent="0.25">
      <c r="A1410" s="20"/>
      <c r="B1410" s="16"/>
      <c r="C1410" s="473"/>
      <c r="D1410" s="473"/>
      <c r="E1410" s="1164"/>
      <c r="F1410" s="473"/>
      <c r="G1410" s="473"/>
      <c r="H1410" s="1164"/>
      <c r="I1410" s="473"/>
      <c r="J1410" s="473"/>
      <c r="K1410" s="1164"/>
      <c r="L1410" s="473"/>
      <c r="M1410" s="473"/>
      <c r="N1410" s="1164"/>
      <c r="O1410" s="473"/>
      <c r="P1410" s="473"/>
      <c r="Q1410" s="1164"/>
      <c r="R1410" s="473"/>
      <c r="S1410" s="473"/>
      <c r="T1410" s="1164"/>
      <c r="U1410" s="1164"/>
      <c r="V1410" s="473"/>
      <c r="W1410" s="473"/>
      <c r="X1410" s="1164"/>
      <c r="Y1410" s="473"/>
      <c r="Z1410" s="473"/>
      <c r="AA1410" s="1164"/>
      <c r="AB1410" s="473"/>
      <c r="AC1410" s="1164"/>
      <c r="AD1410" s="473"/>
      <c r="AE1410" s="1164"/>
      <c r="AF1410" s="473"/>
      <c r="AG1410" s="1164"/>
      <c r="AH1410" s="473"/>
      <c r="AI1410" s="473"/>
      <c r="AJ1410" s="1164"/>
      <c r="AK1410" s="473"/>
      <c r="AL1410" s="473"/>
      <c r="AM1410" s="1164"/>
      <c r="AN1410" s="473"/>
      <c r="AO1410" s="473"/>
      <c r="AP1410" s="1164"/>
      <c r="AQ1410" s="473"/>
      <c r="AR1410" s="473"/>
      <c r="AS1410" s="1236"/>
      <c r="AT1410" s="473"/>
      <c r="AU1410" s="473"/>
      <c r="AV1410" s="1164"/>
      <c r="AW1410" s="1164"/>
      <c r="AX1410" s="1236"/>
      <c r="AY1410" s="473"/>
      <c r="AZ1410" s="1236"/>
      <c r="BA1410" s="473"/>
      <c r="BB1410" s="473"/>
      <c r="BC1410" s="1164"/>
      <c r="BD1410" s="20"/>
      <c r="BE1410" s="473"/>
      <c r="BF1410" s="610"/>
      <c r="BG1410" s="610"/>
      <c r="BH1410" s="610"/>
      <c r="BI1410" s="610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</row>
    <row r="1411" spans="1:148" s="22" customFormat="1" x14ac:dyDescent="0.25">
      <c r="A1411" s="20"/>
      <c r="B1411" s="16"/>
      <c r="C1411" s="473"/>
      <c r="D1411" s="473"/>
      <c r="E1411" s="1164"/>
      <c r="F1411" s="473"/>
      <c r="G1411" s="473"/>
      <c r="H1411" s="1164"/>
      <c r="I1411" s="473"/>
      <c r="J1411" s="473"/>
      <c r="K1411" s="1164"/>
      <c r="L1411" s="473"/>
      <c r="M1411" s="473"/>
      <c r="N1411" s="1164"/>
      <c r="O1411" s="473"/>
      <c r="P1411" s="473"/>
      <c r="Q1411" s="1164"/>
      <c r="R1411" s="473"/>
      <c r="S1411" s="473"/>
      <c r="T1411" s="1164"/>
      <c r="U1411" s="1164"/>
      <c r="V1411" s="473"/>
      <c r="W1411" s="473"/>
      <c r="X1411" s="1164"/>
      <c r="Y1411" s="473"/>
      <c r="Z1411" s="473"/>
      <c r="AA1411" s="1164"/>
      <c r="AB1411" s="473"/>
      <c r="AC1411" s="1164"/>
      <c r="AD1411" s="473"/>
      <c r="AE1411" s="1164"/>
      <c r="AF1411" s="473"/>
      <c r="AG1411" s="1164"/>
      <c r="AH1411" s="473"/>
      <c r="AI1411" s="473"/>
      <c r="AJ1411" s="1164"/>
      <c r="AK1411" s="473"/>
      <c r="AL1411" s="473"/>
      <c r="AM1411" s="1164"/>
      <c r="AN1411" s="473"/>
      <c r="AO1411" s="473"/>
      <c r="AP1411" s="1164"/>
      <c r="AQ1411" s="473"/>
      <c r="AR1411" s="473"/>
      <c r="AS1411" s="1236"/>
      <c r="AT1411" s="473"/>
      <c r="AU1411" s="473"/>
      <c r="AV1411" s="1164"/>
      <c r="AW1411" s="1164"/>
      <c r="AX1411" s="1236"/>
      <c r="AY1411" s="473"/>
      <c r="AZ1411" s="1236"/>
      <c r="BA1411" s="473"/>
      <c r="BB1411" s="473"/>
      <c r="BC1411" s="1164"/>
      <c r="BD1411" s="20"/>
      <c r="BE1411" s="473"/>
      <c r="BF1411" s="610"/>
      <c r="BG1411" s="610"/>
      <c r="BH1411" s="610"/>
      <c r="BI1411" s="610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  <c r="EF1411" s="23"/>
      <c r="EG1411" s="23"/>
      <c r="EH1411" s="23"/>
      <c r="EI1411" s="23"/>
      <c r="EJ1411" s="23"/>
      <c r="EK1411" s="23"/>
      <c r="EL1411" s="23"/>
      <c r="EM1411" s="23"/>
      <c r="EN1411" s="23"/>
      <c r="EO1411" s="23"/>
      <c r="EP1411" s="23"/>
      <c r="EQ1411" s="23"/>
      <c r="ER1411" s="23"/>
    </row>
    <row r="1412" spans="1:148" s="22" customFormat="1" x14ac:dyDescent="0.25">
      <c r="A1412" s="20"/>
      <c r="B1412" s="16"/>
      <c r="C1412" s="473"/>
      <c r="D1412" s="473"/>
      <c r="E1412" s="1164"/>
      <c r="F1412" s="473"/>
      <c r="G1412" s="473"/>
      <c r="H1412" s="1164"/>
      <c r="I1412" s="473"/>
      <c r="J1412" s="473"/>
      <c r="K1412" s="1164"/>
      <c r="L1412" s="473"/>
      <c r="M1412" s="473"/>
      <c r="N1412" s="1164"/>
      <c r="O1412" s="473"/>
      <c r="P1412" s="473"/>
      <c r="Q1412" s="1164"/>
      <c r="R1412" s="473"/>
      <c r="S1412" s="473"/>
      <c r="T1412" s="1164"/>
      <c r="U1412" s="1164"/>
      <c r="V1412" s="473"/>
      <c r="W1412" s="473"/>
      <c r="X1412" s="1164"/>
      <c r="Y1412" s="473"/>
      <c r="Z1412" s="473"/>
      <c r="AA1412" s="1164"/>
      <c r="AB1412" s="473"/>
      <c r="AC1412" s="1164"/>
      <c r="AD1412" s="473"/>
      <c r="AE1412" s="1164"/>
      <c r="AF1412" s="473"/>
      <c r="AG1412" s="1164"/>
      <c r="AH1412" s="473"/>
      <c r="AI1412" s="473"/>
      <c r="AJ1412" s="1164"/>
      <c r="AK1412" s="473"/>
      <c r="AL1412" s="473"/>
      <c r="AM1412" s="1164"/>
      <c r="AN1412" s="473"/>
      <c r="AO1412" s="473"/>
      <c r="AP1412" s="1164"/>
      <c r="AQ1412" s="473"/>
      <c r="AR1412" s="473"/>
      <c r="AS1412" s="1236"/>
      <c r="AT1412" s="473"/>
      <c r="AU1412" s="473"/>
      <c r="AV1412" s="1164"/>
      <c r="AW1412" s="1164"/>
      <c r="AX1412" s="1236"/>
      <c r="AY1412" s="473"/>
      <c r="AZ1412" s="1236"/>
      <c r="BA1412" s="473"/>
      <c r="BB1412" s="473"/>
      <c r="BC1412" s="1164"/>
      <c r="BD1412" s="20"/>
      <c r="BE1412" s="473"/>
      <c r="BF1412" s="610"/>
      <c r="BG1412" s="610"/>
      <c r="BH1412" s="610"/>
      <c r="BI1412" s="610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  <c r="EH1412" s="23"/>
      <c r="EI1412" s="23"/>
      <c r="EJ1412" s="23"/>
      <c r="EK1412" s="23"/>
      <c r="EL1412" s="23"/>
      <c r="EM1412" s="23"/>
      <c r="EN1412" s="23"/>
      <c r="EO1412" s="23"/>
      <c r="EP1412" s="23"/>
      <c r="EQ1412" s="23"/>
      <c r="ER1412" s="23"/>
    </row>
    <row r="1413" spans="1:148" s="22" customFormat="1" x14ac:dyDescent="0.25">
      <c r="A1413" s="20"/>
      <c r="B1413" s="16"/>
      <c r="C1413" s="473"/>
      <c r="D1413" s="473"/>
      <c r="E1413" s="1164"/>
      <c r="F1413" s="473"/>
      <c r="G1413" s="473"/>
      <c r="H1413" s="1164"/>
      <c r="I1413" s="473"/>
      <c r="J1413" s="473"/>
      <c r="K1413" s="1164"/>
      <c r="L1413" s="473"/>
      <c r="M1413" s="473"/>
      <c r="N1413" s="1164"/>
      <c r="O1413" s="473"/>
      <c r="P1413" s="473"/>
      <c r="Q1413" s="1164"/>
      <c r="R1413" s="473"/>
      <c r="S1413" s="473"/>
      <c r="T1413" s="1164"/>
      <c r="U1413" s="1164"/>
      <c r="V1413" s="473"/>
      <c r="W1413" s="473"/>
      <c r="X1413" s="1164"/>
      <c r="Y1413" s="473"/>
      <c r="Z1413" s="473"/>
      <c r="AA1413" s="1164"/>
      <c r="AB1413" s="473"/>
      <c r="AC1413" s="1164"/>
      <c r="AD1413" s="473"/>
      <c r="AE1413" s="1164"/>
      <c r="AF1413" s="473"/>
      <c r="AG1413" s="1164"/>
      <c r="AH1413" s="473"/>
      <c r="AI1413" s="473"/>
      <c r="AJ1413" s="1164"/>
      <c r="AK1413" s="473"/>
      <c r="AL1413" s="473"/>
      <c r="AM1413" s="1164"/>
      <c r="AN1413" s="473"/>
      <c r="AO1413" s="473"/>
      <c r="AP1413" s="1164"/>
      <c r="AQ1413" s="473"/>
      <c r="AR1413" s="473"/>
      <c r="AS1413" s="1236"/>
      <c r="AT1413" s="473"/>
      <c r="AU1413" s="473"/>
      <c r="AV1413" s="1164"/>
      <c r="AW1413" s="1164"/>
      <c r="AX1413" s="1236"/>
      <c r="AY1413" s="473"/>
      <c r="AZ1413" s="1236"/>
      <c r="BA1413" s="473"/>
      <c r="BB1413" s="473"/>
      <c r="BC1413" s="1164"/>
      <c r="BD1413" s="20"/>
      <c r="BE1413" s="473"/>
      <c r="BF1413" s="610"/>
      <c r="BG1413" s="610"/>
      <c r="BH1413" s="610"/>
      <c r="BI1413" s="610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  <c r="EH1413" s="23"/>
      <c r="EI1413" s="23"/>
      <c r="EJ1413" s="23"/>
      <c r="EK1413" s="23"/>
      <c r="EL1413" s="23"/>
      <c r="EM1413" s="23"/>
      <c r="EN1413" s="23"/>
      <c r="EO1413" s="23"/>
      <c r="EP1413" s="23"/>
      <c r="EQ1413" s="23"/>
      <c r="ER1413" s="23"/>
    </row>
    <row r="1414" spans="1:148" s="22" customFormat="1" x14ac:dyDescent="0.25">
      <c r="A1414" s="20"/>
      <c r="B1414" s="16"/>
      <c r="C1414" s="473"/>
      <c r="D1414" s="473"/>
      <c r="E1414" s="1164"/>
      <c r="F1414" s="473"/>
      <c r="G1414" s="473"/>
      <c r="H1414" s="1164"/>
      <c r="I1414" s="473"/>
      <c r="J1414" s="473"/>
      <c r="K1414" s="1164"/>
      <c r="L1414" s="473"/>
      <c r="M1414" s="473"/>
      <c r="N1414" s="1164"/>
      <c r="O1414" s="473"/>
      <c r="P1414" s="473"/>
      <c r="Q1414" s="1164"/>
      <c r="R1414" s="473"/>
      <c r="S1414" s="473"/>
      <c r="T1414" s="1164"/>
      <c r="U1414" s="1164"/>
      <c r="V1414" s="473"/>
      <c r="W1414" s="473"/>
      <c r="X1414" s="1164"/>
      <c r="Y1414" s="473"/>
      <c r="Z1414" s="473"/>
      <c r="AA1414" s="1164"/>
      <c r="AB1414" s="473"/>
      <c r="AC1414" s="1164"/>
      <c r="AD1414" s="473"/>
      <c r="AE1414" s="1164"/>
      <c r="AF1414" s="473"/>
      <c r="AG1414" s="1164"/>
      <c r="AH1414" s="473"/>
      <c r="AI1414" s="473"/>
      <c r="AJ1414" s="1164"/>
      <c r="AK1414" s="473"/>
      <c r="AL1414" s="473"/>
      <c r="AM1414" s="1164"/>
      <c r="AN1414" s="473"/>
      <c r="AO1414" s="473"/>
      <c r="AP1414" s="1164"/>
      <c r="AQ1414" s="473"/>
      <c r="AR1414" s="473"/>
      <c r="AS1414" s="1236"/>
      <c r="AT1414" s="473"/>
      <c r="AU1414" s="473"/>
      <c r="AV1414" s="1164"/>
      <c r="AW1414" s="1164"/>
      <c r="AX1414" s="1236"/>
      <c r="AY1414" s="473"/>
      <c r="AZ1414" s="1236"/>
      <c r="BA1414" s="473"/>
      <c r="BB1414" s="473"/>
      <c r="BC1414" s="1164"/>
      <c r="BD1414" s="20"/>
      <c r="BE1414" s="473"/>
      <c r="BF1414" s="610"/>
      <c r="BG1414" s="610"/>
      <c r="BH1414" s="610"/>
      <c r="BI1414" s="610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  <c r="EH1414" s="23"/>
      <c r="EI1414" s="23"/>
      <c r="EJ1414" s="23"/>
      <c r="EK1414" s="23"/>
      <c r="EL1414" s="23"/>
      <c r="EM1414" s="23"/>
      <c r="EN1414" s="23"/>
      <c r="EO1414" s="23"/>
      <c r="EP1414" s="23"/>
      <c r="EQ1414" s="23"/>
      <c r="ER1414" s="23"/>
    </row>
    <row r="1415" spans="1:148" s="22" customFormat="1" x14ac:dyDescent="0.25">
      <c r="A1415" s="20"/>
      <c r="B1415" s="16"/>
      <c r="C1415" s="473"/>
      <c r="D1415" s="473"/>
      <c r="E1415" s="1164"/>
      <c r="F1415" s="473"/>
      <c r="G1415" s="473"/>
      <c r="H1415" s="1164"/>
      <c r="I1415" s="473"/>
      <c r="J1415" s="473"/>
      <c r="K1415" s="1164"/>
      <c r="L1415" s="473"/>
      <c r="M1415" s="473"/>
      <c r="N1415" s="1164"/>
      <c r="O1415" s="473"/>
      <c r="P1415" s="473"/>
      <c r="Q1415" s="1164"/>
      <c r="R1415" s="473"/>
      <c r="S1415" s="473"/>
      <c r="T1415" s="1164"/>
      <c r="U1415" s="1164"/>
      <c r="V1415" s="473"/>
      <c r="W1415" s="473"/>
      <c r="X1415" s="1164"/>
      <c r="Y1415" s="473"/>
      <c r="Z1415" s="473"/>
      <c r="AA1415" s="1164"/>
      <c r="AB1415" s="473"/>
      <c r="AC1415" s="1164"/>
      <c r="AD1415" s="473"/>
      <c r="AE1415" s="1164"/>
      <c r="AF1415" s="473"/>
      <c r="AG1415" s="1164"/>
      <c r="AH1415" s="473"/>
      <c r="AI1415" s="473"/>
      <c r="AJ1415" s="1164"/>
      <c r="AK1415" s="473"/>
      <c r="AL1415" s="473"/>
      <c r="AM1415" s="1164"/>
      <c r="AN1415" s="473"/>
      <c r="AO1415" s="473"/>
      <c r="AP1415" s="1164"/>
      <c r="AQ1415" s="473"/>
      <c r="AR1415" s="473"/>
      <c r="AS1415" s="1236"/>
      <c r="AT1415" s="473"/>
      <c r="AU1415" s="473"/>
      <c r="AV1415" s="1164"/>
      <c r="AW1415" s="1164"/>
      <c r="AX1415" s="1236"/>
      <c r="AY1415" s="473"/>
      <c r="AZ1415" s="1236"/>
      <c r="BA1415" s="473"/>
      <c r="BB1415" s="473"/>
      <c r="BC1415" s="1164"/>
      <c r="BD1415" s="20"/>
      <c r="BE1415" s="473"/>
      <c r="BF1415" s="610"/>
      <c r="BG1415" s="610"/>
      <c r="BH1415" s="610"/>
      <c r="BI1415" s="610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  <c r="EH1415" s="23"/>
      <c r="EI1415" s="23"/>
      <c r="EJ1415" s="23"/>
      <c r="EK1415" s="23"/>
      <c r="EL1415" s="23"/>
      <c r="EM1415" s="23"/>
      <c r="EN1415" s="23"/>
      <c r="EO1415" s="23"/>
      <c r="EP1415" s="23"/>
      <c r="EQ1415" s="23"/>
      <c r="ER1415" s="23"/>
    </row>
    <row r="1416" spans="1:148" s="22" customFormat="1" x14ac:dyDescent="0.25">
      <c r="A1416" s="20"/>
      <c r="B1416" s="16"/>
      <c r="C1416" s="473"/>
      <c r="D1416" s="473"/>
      <c r="E1416" s="1164"/>
      <c r="F1416" s="473"/>
      <c r="G1416" s="473"/>
      <c r="H1416" s="1164"/>
      <c r="I1416" s="473"/>
      <c r="J1416" s="473"/>
      <c r="K1416" s="1164"/>
      <c r="L1416" s="473"/>
      <c r="M1416" s="473"/>
      <c r="N1416" s="1164"/>
      <c r="O1416" s="473"/>
      <c r="P1416" s="473"/>
      <c r="Q1416" s="1164"/>
      <c r="R1416" s="473"/>
      <c r="S1416" s="473"/>
      <c r="T1416" s="1164"/>
      <c r="U1416" s="1164"/>
      <c r="V1416" s="473"/>
      <c r="W1416" s="473"/>
      <c r="X1416" s="1164"/>
      <c r="Y1416" s="473"/>
      <c r="Z1416" s="473"/>
      <c r="AA1416" s="1164"/>
      <c r="AB1416" s="473"/>
      <c r="AC1416" s="1164"/>
      <c r="AD1416" s="473"/>
      <c r="AE1416" s="1164"/>
      <c r="AF1416" s="473"/>
      <c r="AG1416" s="1164"/>
      <c r="AH1416" s="473"/>
      <c r="AI1416" s="473"/>
      <c r="AJ1416" s="1164"/>
      <c r="AK1416" s="473"/>
      <c r="AL1416" s="473"/>
      <c r="AM1416" s="1164"/>
      <c r="AN1416" s="473"/>
      <c r="AO1416" s="473"/>
      <c r="AP1416" s="1164"/>
      <c r="AQ1416" s="473"/>
      <c r="AR1416" s="473"/>
      <c r="AS1416" s="1236"/>
      <c r="AT1416" s="473"/>
      <c r="AU1416" s="473"/>
      <c r="AV1416" s="1164"/>
      <c r="AW1416" s="1164"/>
      <c r="AX1416" s="1236"/>
      <c r="AY1416" s="473"/>
      <c r="AZ1416" s="1236"/>
      <c r="BA1416" s="473"/>
      <c r="BB1416" s="473"/>
      <c r="BC1416" s="1164"/>
      <c r="BD1416" s="20"/>
      <c r="BE1416" s="473"/>
      <c r="BF1416" s="610"/>
      <c r="BG1416" s="610"/>
      <c r="BH1416" s="610"/>
      <c r="BI1416" s="610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  <c r="EF1416" s="23"/>
      <c r="EG1416" s="23"/>
      <c r="EH1416" s="23"/>
      <c r="EI1416" s="23"/>
      <c r="EJ1416" s="23"/>
      <c r="EK1416" s="23"/>
      <c r="EL1416" s="23"/>
      <c r="EM1416" s="23"/>
      <c r="EN1416" s="23"/>
      <c r="EO1416" s="23"/>
      <c r="EP1416" s="23"/>
      <c r="EQ1416" s="23"/>
      <c r="ER1416" s="23"/>
    </row>
    <row r="1417" spans="1:148" s="22" customFormat="1" x14ac:dyDescent="0.25">
      <c r="A1417" s="20"/>
      <c r="B1417" s="16"/>
      <c r="C1417" s="473"/>
      <c r="D1417" s="473"/>
      <c r="E1417" s="1164"/>
      <c r="F1417" s="473"/>
      <c r="G1417" s="473"/>
      <c r="H1417" s="1164"/>
      <c r="I1417" s="473"/>
      <c r="J1417" s="473"/>
      <c r="K1417" s="1164"/>
      <c r="L1417" s="473"/>
      <c r="M1417" s="473"/>
      <c r="N1417" s="1164"/>
      <c r="O1417" s="473"/>
      <c r="P1417" s="473"/>
      <c r="Q1417" s="1164"/>
      <c r="R1417" s="473"/>
      <c r="S1417" s="473"/>
      <c r="T1417" s="1164"/>
      <c r="U1417" s="1164"/>
      <c r="V1417" s="473"/>
      <c r="W1417" s="473"/>
      <c r="X1417" s="1164"/>
      <c r="Y1417" s="473"/>
      <c r="Z1417" s="473"/>
      <c r="AA1417" s="1164"/>
      <c r="AB1417" s="473"/>
      <c r="AC1417" s="1164"/>
      <c r="AD1417" s="473"/>
      <c r="AE1417" s="1164"/>
      <c r="AF1417" s="473"/>
      <c r="AG1417" s="1164"/>
      <c r="AH1417" s="473"/>
      <c r="AI1417" s="473"/>
      <c r="AJ1417" s="1164"/>
      <c r="AK1417" s="473"/>
      <c r="AL1417" s="473"/>
      <c r="AM1417" s="1164"/>
      <c r="AN1417" s="473"/>
      <c r="AO1417" s="473"/>
      <c r="AP1417" s="1164"/>
      <c r="AQ1417" s="473"/>
      <c r="AR1417" s="473"/>
      <c r="AS1417" s="1236"/>
      <c r="AT1417" s="473"/>
      <c r="AU1417" s="473"/>
      <c r="AV1417" s="1164"/>
      <c r="AW1417" s="1164"/>
      <c r="AX1417" s="1236"/>
      <c r="AY1417" s="473"/>
      <c r="AZ1417" s="1236"/>
      <c r="BA1417" s="473"/>
      <c r="BB1417" s="473"/>
      <c r="BC1417" s="1164"/>
      <c r="BD1417" s="20"/>
      <c r="BE1417" s="473"/>
      <c r="BF1417" s="610"/>
      <c r="BG1417" s="610"/>
      <c r="BH1417" s="610"/>
      <c r="BI1417" s="610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  <c r="EF1417" s="23"/>
      <c r="EG1417" s="23"/>
      <c r="EH1417" s="23"/>
      <c r="EI1417" s="23"/>
      <c r="EJ1417" s="23"/>
      <c r="EK1417" s="23"/>
      <c r="EL1417" s="23"/>
      <c r="EM1417" s="23"/>
      <c r="EN1417" s="23"/>
      <c r="EO1417" s="23"/>
      <c r="EP1417" s="23"/>
      <c r="EQ1417" s="23"/>
      <c r="ER1417" s="23"/>
    </row>
    <row r="1418" spans="1:148" s="22" customFormat="1" x14ac:dyDescent="0.25">
      <c r="A1418" s="20"/>
      <c r="B1418" s="16"/>
      <c r="C1418" s="473"/>
      <c r="D1418" s="473"/>
      <c r="E1418" s="1164"/>
      <c r="F1418" s="473"/>
      <c r="G1418" s="473"/>
      <c r="H1418" s="1164"/>
      <c r="I1418" s="473"/>
      <c r="J1418" s="473"/>
      <c r="K1418" s="1164"/>
      <c r="L1418" s="473"/>
      <c r="M1418" s="473"/>
      <c r="N1418" s="1164"/>
      <c r="O1418" s="473"/>
      <c r="P1418" s="473"/>
      <c r="Q1418" s="1164"/>
      <c r="R1418" s="473"/>
      <c r="S1418" s="473"/>
      <c r="T1418" s="1164"/>
      <c r="U1418" s="1164"/>
      <c r="V1418" s="473"/>
      <c r="W1418" s="473"/>
      <c r="X1418" s="1164"/>
      <c r="Y1418" s="473"/>
      <c r="Z1418" s="473"/>
      <c r="AA1418" s="1164"/>
      <c r="AB1418" s="473"/>
      <c r="AC1418" s="1164"/>
      <c r="AD1418" s="473"/>
      <c r="AE1418" s="1164"/>
      <c r="AF1418" s="473"/>
      <c r="AG1418" s="1164"/>
      <c r="AH1418" s="473"/>
      <c r="AI1418" s="473"/>
      <c r="AJ1418" s="1164"/>
      <c r="AK1418" s="473"/>
      <c r="AL1418" s="473"/>
      <c r="AM1418" s="1164"/>
      <c r="AN1418" s="473"/>
      <c r="AO1418" s="473"/>
      <c r="AP1418" s="1164"/>
      <c r="AQ1418" s="473"/>
      <c r="AR1418" s="473"/>
      <c r="AS1418" s="1236"/>
      <c r="AT1418" s="473"/>
      <c r="AU1418" s="473"/>
      <c r="AV1418" s="1164"/>
      <c r="AW1418" s="1164"/>
      <c r="AX1418" s="1236"/>
      <c r="AY1418" s="473"/>
      <c r="AZ1418" s="1236"/>
      <c r="BA1418" s="473"/>
      <c r="BB1418" s="473"/>
      <c r="BC1418" s="1164"/>
      <c r="BD1418" s="20"/>
      <c r="BE1418" s="473"/>
      <c r="BF1418" s="610"/>
      <c r="BG1418" s="610"/>
      <c r="BH1418" s="610"/>
      <c r="BI1418" s="610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  <c r="EH1418" s="23"/>
      <c r="EI1418" s="23"/>
      <c r="EJ1418" s="23"/>
      <c r="EK1418" s="23"/>
      <c r="EL1418" s="23"/>
      <c r="EM1418" s="23"/>
      <c r="EN1418" s="23"/>
      <c r="EO1418" s="23"/>
      <c r="EP1418" s="23"/>
      <c r="EQ1418" s="23"/>
      <c r="ER1418" s="23"/>
    </row>
    <row r="1419" spans="1:148" s="22" customFormat="1" x14ac:dyDescent="0.25">
      <c r="A1419" s="20"/>
      <c r="B1419" s="16"/>
      <c r="C1419" s="473"/>
      <c r="D1419" s="473"/>
      <c r="E1419" s="1164"/>
      <c r="F1419" s="473"/>
      <c r="G1419" s="473"/>
      <c r="H1419" s="1164"/>
      <c r="I1419" s="473"/>
      <c r="J1419" s="473"/>
      <c r="K1419" s="1164"/>
      <c r="L1419" s="473"/>
      <c r="M1419" s="473"/>
      <c r="N1419" s="1164"/>
      <c r="O1419" s="473"/>
      <c r="P1419" s="473"/>
      <c r="Q1419" s="1164"/>
      <c r="R1419" s="473"/>
      <c r="S1419" s="473"/>
      <c r="T1419" s="1164"/>
      <c r="U1419" s="1164"/>
      <c r="V1419" s="473"/>
      <c r="W1419" s="473"/>
      <c r="X1419" s="1164"/>
      <c r="Y1419" s="473"/>
      <c r="Z1419" s="473"/>
      <c r="AA1419" s="1164"/>
      <c r="AB1419" s="473"/>
      <c r="AC1419" s="1164"/>
      <c r="AD1419" s="473"/>
      <c r="AE1419" s="1164"/>
      <c r="AF1419" s="473"/>
      <c r="AG1419" s="1164"/>
      <c r="AH1419" s="473"/>
      <c r="AI1419" s="473"/>
      <c r="AJ1419" s="1164"/>
      <c r="AK1419" s="473"/>
      <c r="AL1419" s="473"/>
      <c r="AM1419" s="1164"/>
      <c r="AN1419" s="473"/>
      <c r="AO1419" s="473"/>
      <c r="AP1419" s="1164"/>
      <c r="AQ1419" s="473"/>
      <c r="AR1419" s="473"/>
      <c r="AS1419" s="1236"/>
      <c r="AT1419" s="473"/>
      <c r="AU1419" s="473"/>
      <c r="AV1419" s="1164"/>
      <c r="AW1419" s="1164"/>
      <c r="AX1419" s="1236"/>
      <c r="AY1419" s="473"/>
      <c r="AZ1419" s="1236"/>
      <c r="BA1419" s="473"/>
      <c r="BB1419" s="473"/>
      <c r="BC1419" s="1164"/>
      <c r="BD1419" s="20"/>
      <c r="BE1419" s="473"/>
      <c r="BF1419" s="610"/>
      <c r="BG1419" s="610"/>
      <c r="BH1419" s="610"/>
      <c r="BI1419" s="610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</row>
    <row r="1420" spans="1:148" s="22" customFormat="1" x14ac:dyDescent="0.25">
      <c r="A1420" s="20"/>
      <c r="B1420" s="16"/>
      <c r="C1420" s="473"/>
      <c r="D1420" s="473"/>
      <c r="E1420" s="1164"/>
      <c r="F1420" s="473"/>
      <c r="G1420" s="473"/>
      <c r="H1420" s="1164"/>
      <c r="I1420" s="473"/>
      <c r="J1420" s="473"/>
      <c r="K1420" s="1164"/>
      <c r="L1420" s="473"/>
      <c r="M1420" s="473"/>
      <c r="N1420" s="1164"/>
      <c r="O1420" s="473"/>
      <c r="P1420" s="473"/>
      <c r="Q1420" s="1164"/>
      <c r="R1420" s="473"/>
      <c r="S1420" s="473"/>
      <c r="T1420" s="1164"/>
      <c r="U1420" s="1164"/>
      <c r="V1420" s="473"/>
      <c r="W1420" s="473"/>
      <c r="X1420" s="1164"/>
      <c r="Y1420" s="473"/>
      <c r="Z1420" s="473"/>
      <c r="AA1420" s="1164"/>
      <c r="AB1420" s="473"/>
      <c r="AC1420" s="1164"/>
      <c r="AD1420" s="473"/>
      <c r="AE1420" s="1164"/>
      <c r="AF1420" s="473"/>
      <c r="AG1420" s="1164"/>
      <c r="AH1420" s="473"/>
      <c r="AI1420" s="473"/>
      <c r="AJ1420" s="1164"/>
      <c r="AK1420" s="473"/>
      <c r="AL1420" s="473"/>
      <c r="AM1420" s="1164"/>
      <c r="AN1420" s="473"/>
      <c r="AO1420" s="473"/>
      <c r="AP1420" s="1164"/>
      <c r="AQ1420" s="473"/>
      <c r="AR1420" s="473"/>
      <c r="AS1420" s="1236"/>
      <c r="AT1420" s="473"/>
      <c r="AU1420" s="473"/>
      <c r="AV1420" s="1164"/>
      <c r="AW1420" s="1164"/>
      <c r="AX1420" s="1236"/>
      <c r="AY1420" s="473"/>
      <c r="AZ1420" s="1236"/>
      <c r="BA1420" s="473"/>
      <c r="BB1420" s="473"/>
      <c r="BC1420" s="1164"/>
      <c r="BD1420" s="20"/>
      <c r="BE1420" s="473"/>
      <c r="BF1420" s="610"/>
      <c r="BG1420" s="610"/>
      <c r="BH1420" s="610"/>
      <c r="BI1420" s="610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</row>
    <row r="1421" spans="1:148" s="22" customFormat="1" x14ac:dyDescent="0.25">
      <c r="A1421" s="20"/>
      <c r="B1421" s="16"/>
      <c r="C1421" s="473"/>
      <c r="D1421" s="473"/>
      <c r="E1421" s="1164"/>
      <c r="F1421" s="473"/>
      <c r="G1421" s="473"/>
      <c r="H1421" s="1164"/>
      <c r="I1421" s="473"/>
      <c r="J1421" s="473"/>
      <c r="K1421" s="1164"/>
      <c r="L1421" s="473"/>
      <c r="M1421" s="473"/>
      <c r="N1421" s="1164"/>
      <c r="O1421" s="473"/>
      <c r="P1421" s="473"/>
      <c r="Q1421" s="1164"/>
      <c r="R1421" s="473"/>
      <c r="S1421" s="473"/>
      <c r="T1421" s="1164"/>
      <c r="U1421" s="1164"/>
      <c r="V1421" s="473"/>
      <c r="W1421" s="473"/>
      <c r="X1421" s="1164"/>
      <c r="Y1421" s="473"/>
      <c r="Z1421" s="473"/>
      <c r="AA1421" s="1164"/>
      <c r="AB1421" s="473"/>
      <c r="AC1421" s="1164"/>
      <c r="AD1421" s="473"/>
      <c r="AE1421" s="1164"/>
      <c r="AF1421" s="473"/>
      <c r="AG1421" s="1164"/>
      <c r="AH1421" s="473"/>
      <c r="AI1421" s="473"/>
      <c r="AJ1421" s="1164"/>
      <c r="AK1421" s="473"/>
      <c r="AL1421" s="473"/>
      <c r="AM1421" s="1164"/>
      <c r="AN1421" s="473"/>
      <c r="AO1421" s="473"/>
      <c r="AP1421" s="1164"/>
      <c r="AQ1421" s="473"/>
      <c r="AR1421" s="473"/>
      <c r="AS1421" s="1236"/>
      <c r="AT1421" s="473"/>
      <c r="AU1421" s="473"/>
      <c r="AV1421" s="1164"/>
      <c r="AW1421" s="1164"/>
      <c r="AX1421" s="1236"/>
      <c r="AY1421" s="473"/>
      <c r="AZ1421" s="1236"/>
      <c r="BA1421" s="473"/>
      <c r="BB1421" s="473"/>
      <c r="BC1421" s="1164"/>
      <c r="BD1421" s="20"/>
      <c r="BE1421" s="473"/>
      <c r="BF1421" s="610"/>
      <c r="BG1421" s="610"/>
      <c r="BH1421" s="610"/>
      <c r="BI1421" s="610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</row>
    <row r="1422" spans="1:148" s="22" customFormat="1" x14ac:dyDescent="0.25">
      <c r="A1422" s="20"/>
      <c r="B1422" s="16"/>
      <c r="C1422" s="473"/>
      <c r="D1422" s="473"/>
      <c r="E1422" s="1164"/>
      <c r="F1422" s="473"/>
      <c r="G1422" s="473"/>
      <c r="H1422" s="1164"/>
      <c r="I1422" s="473"/>
      <c r="J1422" s="473"/>
      <c r="K1422" s="1164"/>
      <c r="L1422" s="473"/>
      <c r="M1422" s="473"/>
      <c r="N1422" s="1164"/>
      <c r="O1422" s="473"/>
      <c r="P1422" s="473"/>
      <c r="Q1422" s="1164"/>
      <c r="R1422" s="473"/>
      <c r="S1422" s="473"/>
      <c r="T1422" s="1164"/>
      <c r="U1422" s="1164"/>
      <c r="V1422" s="473"/>
      <c r="W1422" s="473"/>
      <c r="X1422" s="1164"/>
      <c r="Y1422" s="473"/>
      <c r="Z1422" s="473"/>
      <c r="AA1422" s="1164"/>
      <c r="AB1422" s="473"/>
      <c r="AC1422" s="1164"/>
      <c r="AD1422" s="473"/>
      <c r="AE1422" s="1164"/>
      <c r="AF1422" s="473"/>
      <c r="AG1422" s="1164"/>
      <c r="AH1422" s="473"/>
      <c r="AI1422" s="473"/>
      <c r="AJ1422" s="1164"/>
      <c r="AK1422" s="473"/>
      <c r="AL1422" s="473"/>
      <c r="AM1422" s="1164"/>
      <c r="AN1422" s="473"/>
      <c r="AO1422" s="473"/>
      <c r="AP1422" s="1164"/>
      <c r="AQ1422" s="473"/>
      <c r="AR1422" s="473"/>
      <c r="AS1422" s="1236"/>
      <c r="AT1422" s="473"/>
      <c r="AU1422" s="473"/>
      <c r="AV1422" s="1164"/>
      <c r="AW1422" s="1164"/>
      <c r="AX1422" s="1236"/>
      <c r="AY1422" s="473"/>
      <c r="AZ1422" s="1236"/>
      <c r="BA1422" s="473"/>
      <c r="BB1422" s="473"/>
      <c r="BC1422" s="1164"/>
      <c r="BD1422" s="20"/>
      <c r="BE1422" s="473"/>
      <c r="BF1422" s="610"/>
      <c r="BG1422" s="610"/>
      <c r="BH1422" s="610"/>
      <c r="BI1422" s="610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</row>
    <row r="1423" spans="1:148" s="22" customFormat="1" x14ac:dyDescent="0.25">
      <c r="A1423" s="20"/>
      <c r="B1423" s="16"/>
      <c r="C1423" s="473"/>
      <c r="D1423" s="473"/>
      <c r="E1423" s="1164"/>
      <c r="F1423" s="473"/>
      <c r="G1423" s="473"/>
      <c r="H1423" s="1164"/>
      <c r="I1423" s="473"/>
      <c r="J1423" s="473"/>
      <c r="K1423" s="1164"/>
      <c r="L1423" s="473"/>
      <c r="M1423" s="473"/>
      <c r="N1423" s="1164"/>
      <c r="O1423" s="473"/>
      <c r="P1423" s="473"/>
      <c r="Q1423" s="1164"/>
      <c r="R1423" s="473"/>
      <c r="S1423" s="473"/>
      <c r="T1423" s="1164"/>
      <c r="U1423" s="1164"/>
      <c r="V1423" s="473"/>
      <c r="W1423" s="473"/>
      <c r="X1423" s="1164"/>
      <c r="Y1423" s="473"/>
      <c r="Z1423" s="473"/>
      <c r="AA1423" s="1164"/>
      <c r="AB1423" s="473"/>
      <c r="AC1423" s="1164"/>
      <c r="AD1423" s="473"/>
      <c r="AE1423" s="1164"/>
      <c r="AF1423" s="473"/>
      <c r="AG1423" s="1164"/>
      <c r="AH1423" s="473"/>
      <c r="AI1423" s="473"/>
      <c r="AJ1423" s="1164"/>
      <c r="AK1423" s="473"/>
      <c r="AL1423" s="473"/>
      <c r="AM1423" s="1164"/>
      <c r="AN1423" s="473"/>
      <c r="AO1423" s="473"/>
      <c r="AP1423" s="1164"/>
      <c r="AQ1423" s="473"/>
      <c r="AR1423" s="473"/>
      <c r="AS1423" s="1236"/>
      <c r="AT1423" s="473"/>
      <c r="AU1423" s="473"/>
      <c r="AV1423" s="1164"/>
      <c r="AW1423" s="1164"/>
      <c r="AX1423" s="1236"/>
      <c r="AY1423" s="473"/>
      <c r="AZ1423" s="1236"/>
      <c r="BA1423" s="473"/>
      <c r="BB1423" s="473"/>
      <c r="BC1423" s="1164"/>
      <c r="BD1423" s="20"/>
      <c r="BE1423" s="473"/>
      <c r="BF1423" s="610"/>
      <c r="BG1423" s="610"/>
      <c r="BH1423" s="610"/>
      <c r="BI1423" s="610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</row>
    <row r="1424" spans="1:148" s="22" customFormat="1" x14ac:dyDescent="0.25">
      <c r="A1424" s="20"/>
      <c r="B1424" s="16"/>
      <c r="C1424" s="473"/>
      <c r="D1424" s="473"/>
      <c r="E1424" s="1164"/>
      <c r="F1424" s="473"/>
      <c r="G1424" s="473"/>
      <c r="H1424" s="1164"/>
      <c r="I1424" s="473"/>
      <c r="J1424" s="473"/>
      <c r="K1424" s="1164"/>
      <c r="L1424" s="473"/>
      <c r="M1424" s="473"/>
      <c r="N1424" s="1164"/>
      <c r="O1424" s="473"/>
      <c r="P1424" s="473"/>
      <c r="Q1424" s="1164"/>
      <c r="R1424" s="473"/>
      <c r="S1424" s="473"/>
      <c r="T1424" s="1164"/>
      <c r="U1424" s="1164"/>
      <c r="V1424" s="473"/>
      <c r="W1424" s="473"/>
      <c r="X1424" s="1164"/>
      <c r="Y1424" s="473"/>
      <c r="Z1424" s="473"/>
      <c r="AA1424" s="1164"/>
      <c r="AB1424" s="473"/>
      <c r="AC1424" s="1164"/>
      <c r="AD1424" s="473"/>
      <c r="AE1424" s="1164"/>
      <c r="AF1424" s="473"/>
      <c r="AG1424" s="1164"/>
      <c r="AH1424" s="473"/>
      <c r="AI1424" s="473"/>
      <c r="AJ1424" s="1164"/>
      <c r="AK1424" s="473"/>
      <c r="AL1424" s="473"/>
      <c r="AM1424" s="1164"/>
      <c r="AN1424" s="473"/>
      <c r="AO1424" s="473"/>
      <c r="AP1424" s="1164"/>
      <c r="AQ1424" s="473"/>
      <c r="AR1424" s="473"/>
      <c r="AS1424" s="1236"/>
      <c r="AT1424" s="473"/>
      <c r="AU1424" s="473"/>
      <c r="AV1424" s="1164"/>
      <c r="AW1424" s="1164"/>
      <c r="AX1424" s="1236"/>
      <c r="AY1424" s="473"/>
      <c r="AZ1424" s="1236"/>
      <c r="BA1424" s="473"/>
      <c r="BB1424" s="473"/>
      <c r="BC1424" s="1164"/>
      <c r="BD1424" s="20"/>
      <c r="BE1424" s="473"/>
      <c r="BF1424" s="610"/>
      <c r="BG1424" s="610"/>
      <c r="BH1424" s="610"/>
      <c r="BI1424" s="610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</row>
    <row r="1425" spans="1:148" s="22" customFormat="1" x14ac:dyDescent="0.25">
      <c r="A1425" s="20"/>
      <c r="B1425" s="16"/>
      <c r="C1425" s="473"/>
      <c r="D1425" s="473"/>
      <c r="E1425" s="1164"/>
      <c r="F1425" s="473"/>
      <c r="G1425" s="473"/>
      <c r="H1425" s="1164"/>
      <c r="I1425" s="473"/>
      <c r="J1425" s="473"/>
      <c r="K1425" s="1164"/>
      <c r="L1425" s="473"/>
      <c r="M1425" s="473"/>
      <c r="N1425" s="1164"/>
      <c r="O1425" s="473"/>
      <c r="P1425" s="473"/>
      <c r="Q1425" s="1164"/>
      <c r="R1425" s="473"/>
      <c r="S1425" s="473"/>
      <c r="T1425" s="1164"/>
      <c r="U1425" s="1164"/>
      <c r="V1425" s="473"/>
      <c r="W1425" s="473"/>
      <c r="X1425" s="1164"/>
      <c r="Y1425" s="473"/>
      <c r="Z1425" s="473"/>
      <c r="AA1425" s="1164"/>
      <c r="AB1425" s="473"/>
      <c r="AC1425" s="1164"/>
      <c r="AD1425" s="473"/>
      <c r="AE1425" s="1164"/>
      <c r="AF1425" s="473"/>
      <c r="AG1425" s="1164"/>
      <c r="AH1425" s="473"/>
      <c r="AI1425" s="473"/>
      <c r="AJ1425" s="1164"/>
      <c r="AK1425" s="473"/>
      <c r="AL1425" s="473"/>
      <c r="AM1425" s="1164"/>
      <c r="AN1425" s="473"/>
      <c r="AO1425" s="473"/>
      <c r="AP1425" s="1164"/>
      <c r="AQ1425" s="473"/>
      <c r="AR1425" s="473"/>
      <c r="AS1425" s="1236"/>
      <c r="AT1425" s="473"/>
      <c r="AU1425" s="473"/>
      <c r="AV1425" s="1164"/>
      <c r="AW1425" s="1164"/>
      <c r="AX1425" s="1236"/>
      <c r="AY1425" s="473"/>
      <c r="AZ1425" s="1236"/>
      <c r="BA1425" s="473"/>
      <c r="BB1425" s="473"/>
      <c r="BC1425" s="1164"/>
      <c r="BD1425" s="20"/>
      <c r="BE1425" s="473"/>
      <c r="BF1425" s="610"/>
      <c r="BG1425" s="610"/>
      <c r="BH1425" s="610"/>
      <c r="BI1425" s="610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</row>
    <row r="1426" spans="1:148" s="22" customFormat="1" x14ac:dyDescent="0.25">
      <c r="A1426" s="20"/>
      <c r="B1426" s="16"/>
      <c r="C1426" s="473"/>
      <c r="D1426" s="473"/>
      <c r="E1426" s="1164"/>
      <c r="F1426" s="473"/>
      <c r="G1426" s="473"/>
      <c r="H1426" s="1164"/>
      <c r="I1426" s="473"/>
      <c r="J1426" s="473"/>
      <c r="K1426" s="1164"/>
      <c r="L1426" s="473"/>
      <c r="M1426" s="473"/>
      <c r="N1426" s="1164"/>
      <c r="O1426" s="473"/>
      <c r="P1426" s="473"/>
      <c r="Q1426" s="1164"/>
      <c r="R1426" s="473"/>
      <c r="S1426" s="473"/>
      <c r="T1426" s="1164"/>
      <c r="U1426" s="1164"/>
      <c r="V1426" s="473"/>
      <c r="W1426" s="473"/>
      <c r="X1426" s="1164"/>
      <c r="Y1426" s="473"/>
      <c r="Z1426" s="473"/>
      <c r="AA1426" s="1164"/>
      <c r="AB1426" s="473"/>
      <c r="AC1426" s="1164"/>
      <c r="AD1426" s="473"/>
      <c r="AE1426" s="1164"/>
      <c r="AF1426" s="473"/>
      <c r="AG1426" s="1164"/>
      <c r="AH1426" s="473"/>
      <c r="AI1426" s="473"/>
      <c r="AJ1426" s="1164"/>
      <c r="AK1426" s="473"/>
      <c r="AL1426" s="473"/>
      <c r="AM1426" s="1164"/>
      <c r="AN1426" s="473"/>
      <c r="AO1426" s="473"/>
      <c r="AP1426" s="1164"/>
      <c r="AQ1426" s="473"/>
      <c r="AR1426" s="473"/>
      <c r="AS1426" s="1236"/>
      <c r="AT1426" s="473"/>
      <c r="AU1426" s="473"/>
      <c r="AV1426" s="1164"/>
      <c r="AW1426" s="1164"/>
      <c r="AX1426" s="1236"/>
      <c r="AY1426" s="473"/>
      <c r="AZ1426" s="1236"/>
      <c r="BA1426" s="473"/>
      <c r="BB1426" s="473"/>
      <c r="BC1426" s="1164"/>
      <c r="BD1426" s="20"/>
      <c r="BE1426" s="473"/>
      <c r="BF1426" s="610"/>
      <c r="BG1426" s="610"/>
      <c r="BH1426" s="610"/>
      <c r="BI1426" s="610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</row>
    <row r="1427" spans="1:148" s="22" customFormat="1" x14ac:dyDescent="0.25">
      <c r="A1427" s="20"/>
      <c r="B1427" s="16"/>
      <c r="C1427" s="473"/>
      <c r="D1427" s="473"/>
      <c r="E1427" s="1164"/>
      <c r="F1427" s="473"/>
      <c r="G1427" s="473"/>
      <c r="H1427" s="1164"/>
      <c r="I1427" s="473"/>
      <c r="J1427" s="473"/>
      <c r="K1427" s="1164"/>
      <c r="L1427" s="473"/>
      <c r="M1427" s="473"/>
      <c r="N1427" s="1164"/>
      <c r="O1427" s="473"/>
      <c r="P1427" s="473"/>
      <c r="Q1427" s="1164"/>
      <c r="R1427" s="473"/>
      <c r="S1427" s="473"/>
      <c r="T1427" s="1164"/>
      <c r="U1427" s="1164"/>
      <c r="V1427" s="473"/>
      <c r="W1427" s="473"/>
      <c r="X1427" s="1164"/>
      <c r="Y1427" s="473"/>
      <c r="Z1427" s="473"/>
      <c r="AA1427" s="1164"/>
      <c r="AB1427" s="473"/>
      <c r="AC1427" s="1164"/>
      <c r="AD1427" s="473"/>
      <c r="AE1427" s="1164"/>
      <c r="AF1427" s="473"/>
      <c r="AG1427" s="1164"/>
      <c r="AH1427" s="473"/>
      <c r="AI1427" s="473"/>
      <c r="AJ1427" s="1164"/>
      <c r="AK1427" s="473"/>
      <c r="AL1427" s="473"/>
      <c r="AM1427" s="1164"/>
      <c r="AN1427" s="473"/>
      <c r="AO1427" s="473"/>
      <c r="AP1427" s="1164"/>
      <c r="AQ1427" s="473"/>
      <c r="AR1427" s="473"/>
      <c r="AS1427" s="1236"/>
      <c r="AT1427" s="473"/>
      <c r="AU1427" s="473"/>
      <c r="AV1427" s="1164"/>
      <c r="AW1427" s="1164"/>
      <c r="AX1427" s="1236"/>
      <c r="AY1427" s="473"/>
      <c r="AZ1427" s="1236"/>
      <c r="BA1427" s="473"/>
      <c r="BB1427" s="473"/>
      <c r="BC1427" s="1164"/>
      <c r="BD1427" s="20"/>
      <c r="BE1427" s="473"/>
      <c r="BF1427" s="610"/>
      <c r="BG1427" s="610"/>
      <c r="BH1427" s="610"/>
      <c r="BI1427" s="610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</row>
    <row r="1428" spans="1:148" s="22" customFormat="1" x14ac:dyDescent="0.25">
      <c r="A1428" s="20"/>
      <c r="B1428" s="16"/>
      <c r="C1428" s="473"/>
      <c r="D1428" s="473"/>
      <c r="E1428" s="1164"/>
      <c r="F1428" s="473"/>
      <c r="G1428" s="473"/>
      <c r="H1428" s="1164"/>
      <c r="I1428" s="473"/>
      <c r="J1428" s="473"/>
      <c r="K1428" s="1164"/>
      <c r="L1428" s="473"/>
      <c r="M1428" s="473"/>
      <c r="N1428" s="1164"/>
      <c r="O1428" s="473"/>
      <c r="P1428" s="473"/>
      <c r="Q1428" s="1164"/>
      <c r="R1428" s="473"/>
      <c r="S1428" s="473"/>
      <c r="T1428" s="1164"/>
      <c r="U1428" s="1164"/>
      <c r="V1428" s="473"/>
      <c r="W1428" s="473"/>
      <c r="X1428" s="1164"/>
      <c r="Y1428" s="473"/>
      <c r="Z1428" s="473"/>
      <c r="AA1428" s="1164"/>
      <c r="AB1428" s="473"/>
      <c r="AC1428" s="1164"/>
      <c r="AD1428" s="473"/>
      <c r="AE1428" s="1164"/>
      <c r="AF1428" s="473"/>
      <c r="AG1428" s="1164"/>
      <c r="AH1428" s="473"/>
      <c r="AI1428" s="473"/>
      <c r="AJ1428" s="1164"/>
      <c r="AK1428" s="473"/>
      <c r="AL1428" s="473"/>
      <c r="AM1428" s="1164"/>
      <c r="AN1428" s="473"/>
      <c r="AO1428" s="473"/>
      <c r="AP1428" s="1164"/>
      <c r="AQ1428" s="473"/>
      <c r="AR1428" s="473"/>
      <c r="AS1428" s="1236"/>
      <c r="AT1428" s="473"/>
      <c r="AU1428" s="473"/>
      <c r="AV1428" s="1164"/>
      <c r="AW1428" s="1164"/>
      <c r="AX1428" s="1236"/>
      <c r="AY1428" s="473"/>
      <c r="AZ1428" s="1236"/>
      <c r="BA1428" s="473"/>
      <c r="BB1428" s="473"/>
      <c r="BC1428" s="1164"/>
      <c r="BD1428" s="20"/>
      <c r="BE1428" s="473"/>
      <c r="BF1428" s="610"/>
      <c r="BG1428" s="610"/>
      <c r="BH1428" s="610"/>
      <c r="BI1428" s="610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</row>
  </sheetData>
  <mergeCells count="23">
    <mergeCell ref="AY221:AZ221"/>
    <mergeCell ref="AN221:AS221"/>
    <mergeCell ref="AT221:AX221"/>
    <mergeCell ref="A221:A222"/>
    <mergeCell ref="B221:B222"/>
    <mergeCell ref="C221:K221"/>
    <mergeCell ref="L221:U221"/>
    <mergeCell ref="V221:AM221"/>
    <mergeCell ref="D1:J1"/>
    <mergeCell ref="D2:J2"/>
    <mergeCell ref="BC5:BC7"/>
    <mergeCell ref="BD5:BD6"/>
    <mergeCell ref="A36:B36"/>
    <mergeCell ref="A5:A6"/>
    <mergeCell ref="B5:B6"/>
    <mergeCell ref="BB5:BB7"/>
    <mergeCell ref="BA5:BA7"/>
    <mergeCell ref="L5:U5"/>
    <mergeCell ref="C5:K5"/>
    <mergeCell ref="V5:AM5"/>
    <mergeCell ref="AN5:AS5"/>
    <mergeCell ref="AT5:AX5"/>
    <mergeCell ref="AY5:AZ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W35"/>
  <sheetViews>
    <sheetView tabSelected="1" workbookViewId="0">
      <selection activeCell="M12" sqref="M12"/>
    </sheetView>
  </sheetViews>
  <sheetFormatPr defaultRowHeight="15" x14ac:dyDescent="0.25"/>
  <cols>
    <col min="6" max="10" width="25.28515625" customWidth="1"/>
    <col min="11" max="12" width="15.7109375" customWidth="1"/>
    <col min="13" max="13" width="25.28515625" customWidth="1"/>
  </cols>
  <sheetData>
    <row r="1" spans="2:13" ht="42" customHeight="1" x14ac:dyDescent="0.25">
      <c r="B1" s="1945" t="s">
        <v>337</v>
      </c>
      <c r="C1" s="1945"/>
      <c r="D1" s="1945"/>
      <c r="E1" s="1945"/>
      <c r="F1" s="1945"/>
      <c r="G1" s="1945"/>
      <c r="H1" s="1945"/>
      <c r="I1" s="1945"/>
      <c r="J1" s="1945"/>
      <c r="K1" s="1945"/>
      <c r="L1" s="1945"/>
      <c r="M1" s="290"/>
    </row>
    <row r="2" spans="2:13" ht="18" customHeight="1" x14ac:dyDescent="0.25">
      <c r="B2" s="547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</row>
    <row r="3" spans="2:13" ht="15.75" customHeight="1" x14ac:dyDescent="0.25">
      <c r="B3" s="1945" t="s">
        <v>282</v>
      </c>
      <c r="C3" s="1945"/>
      <c r="D3" s="1945"/>
      <c r="E3" s="1945"/>
      <c r="F3" s="1945"/>
      <c r="G3" s="1945"/>
      <c r="H3" s="1945"/>
      <c r="I3" s="1945"/>
      <c r="J3" s="1945"/>
      <c r="K3" s="1945"/>
      <c r="L3" s="1945"/>
      <c r="M3" s="292"/>
    </row>
    <row r="4" spans="2:13" ht="18" x14ac:dyDescent="0.25"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3"/>
    </row>
    <row r="5" spans="2:13" ht="18" customHeight="1" x14ac:dyDescent="0.25">
      <c r="B5" s="1945" t="s">
        <v>283</v>
      </c>
      <c r="C5" s="1945"/>
      <c r="D5" s="1945"/>
      <c r="E5" s="1945"/>
      <c r="F5" s="1945"/>
      <c r="G5" s="1945"/>
      <c r="H5" s="1945"/>
      <c r="I5" s="1945"/>
      <c r="J5" s="1945"/>
      <c r="K5" s="1945"/>
      <c r="L5" s="1945"/>
      <c r="M5" s="294"/>
    </row>
    <row r="6" spans="2:13" ht="18" customHeight="1" x14ac:dyDescent="0.25"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4"/>
    </row>
    <row r="7" spans="2:13" ht="18" customHeight="1" x14ac:dyDescent="0.25">
      <c r="B7" s="1946" t="s">
        <v>284</v>
      </c>
      <c r="C7" s="1946"/>
      <c r="D7" s="1946"/>
      <c r="E7" s="1946"/>
      <c r="F7" s="1946"/>
      <c r="G7" s="296"/>
      <c r="H7" s="297"/>
      <c r="I7" s="297"/>
      <c r="J7" s="297"/>
      <c r="K7" s="298"/>
      <c r="L7" s="298"/>
    </row>
    <row r="8" spans="2:13" ht="25.5" x14ac:dyDescent="0.25">
      <c r="B8" s="1947" t="s">
        <v>285</v>
      </c>
      <c r="C8" s="1947"/>
      <c r="D8" s="1947"/>
      <c r="E8" s="1947"/>
      <c r="F8" s="1947"/>
      <c r="G8" s="299" t="s">
        <v>338</v>
      </c>
      <c r="H8" s="299" t="s">
        <v>286</v>
      </c>
      <c r="I8" s="299" t="s">
        <v>287</v>
      </c>
      <c r="J8" s="299" t="s">
        <v>339</v>
      </c>
      <c r="K8" s="299" t="s">
        <v>136</v>
      </c>
      <c r="L8" s="299" t="s">
        <v>288</v>
      </c>
    </row>
    <row r="9" spans="2:13" x14ac:dyDescent="0.25">
      <c r="B9" s="1943">
        <v>1</v>
      </c>
      <c r="C9" s="1943"/>
      <c r="D9" s="1943"/>
      <c r="E9" s="1943"/>
      <c r="F9" s="1944"/>
      <c r="G9" s="300">
        <v>2</v>
      </c>
      <c r="H9" s="301">
        <v>3</v>
      </c>
      <c r="I9" s="301">
        <v>4</v>
      </c>
      <c r="J9" s="301">
        <v>5</v>
      </c>
      <c r="K9" s="301" t="s">
        <v>289</v>
      </c>
      <c r="L9" s="301" t="s">
        <v>290</v>
      </c>
    </row>
    <row r="10" spans="2:13" x14ac:dyDescent="0.25">
      <c r="B10" s="1951" t="s">
        <v>291</v>
      </c>
      <c r="C10" s="1952"/>
      <c r="D10" s="1952"/>
      <c r="E10" s="1952"/>
      <c r="F10" s="1953"/>
      <c r="G10" s="544">
        <f>'izvršenje I-XII 2023'!C29</f>
        <v>3920110.8500895882</v>
      </c>
      <c r="H10" s="544">
        <f>'izvršenje I-XII 2023'!D29</f>
        <v>3597406</v>
      </c>
      <c r="I10" s="541">
        <f>H10/12*12</f>
        <v>3597406</v>
      </c>
      <c r="J10" s="541">
        <f>'izvršenje I-XII 2023'!E29</f>
        <v>3527367.59</v>
      </c>
      <c r="K10" s="541">
        <f>J10/G10*100</f>
        <v>89.981322592430956</v>
      </c>
      <c r="L10" s="541">
        <f>J10/I10*100</f>
        <v>98.05308575123297</v>
      </c>
    </row>
    <row r="11" spans="2:13" x14ac:dyDescent="0.25">
      <c r="B11" s="1954" t="s">
        <v>292</v>
      </c>
      <c r="C11" s="1953"/>
      <c r="D11" s="1953"/>
      <c r="E11" s="1953"/>
      <c r="F11" s="1953"/>
      <c r="G11" s="544"/>
      <c r="H11" s="541"/>
      <c r="I11" s="541">
        <f t="shared" ref="I11:I16" si="0">H11/12*12</f>
        <v>0</v>
      </c>
      <c r="J11" s="541"/>
      <c r="K11" s="541"/>
      <c r="L11" s="541"/>
    </row>
    <row r="12" spans="2:13" x14ac:dyDescent="0.25">
      <c r="B12" s="1955" t="s">
        <v>293</v>
      </c>
      <c r="C12" s="1956"/>
      <c r="D12" s="1956"/>
      <c r="E12" s="1956"/>
      <c r="F12" s="1957"/>
      <c r="G12" s="545">
        <f>SUM(G10:G11)</f>
        <v>3920110.8500895882</v>
      </c>
      <c r="H12" s="545">
        <f>SUM(H10:H11)</f>
        <v>3597406</v>
      </c>
      <c r="I12" s="542">
        <f t="shared" si="0"/>
        <v>3597406</v>
      </c>
      <c r="J12" s="542">
        <f>SUM(J10:J11)</f>
        <v>3527367.59</v>
      </c>
      <c r="K12" s="542">
        <f t="shared" ref="K12:K16" si="1">J12/G12*100</f>
        <v>89.981322592430956</v>
      </c>
      <c r="L12" s="542">
        <f t="shared" ref="L12:L16" si="2">J12/I12*100</f>
        <v>98.05308575123297</v>
      </c>
    </row>
    <row r="13" spans="2:13" x14ac:dyDescent="0.25">
      <c r="B13" s="1958" t="s">
        <v>294</v>
      </c>
      <c r="C13" s="1952"/>
      <c r="D13" s="1952"/>
      <c r="E13" s="1952"/>
      <c r="F13" s="1952"/>
      <c r="G13" s="537">
        <f>'izvršenje I-XII 2023'!C176</f>
        <v>2045151.1341163977</v>
      </c>
      <c r="H13" s="537">
        <f>'izvršenje I-XII 2023'!D176</f>
        <v>3007188</v>
      </c>
      <c r="I13" s="541">
        <f t="shared" si="0"/>
        <v>3007188</v>
      </c>
      <c r="J13" s="541">
        <f>'izvršenje I-XII 2023'!E176</f>
        <v>2424596.46</v>
      </c>
      <c r="K13" s="541">
        <f t="shared" si="1"/>
        <v>118.55341248643418</v>
      </c>
      <c r="L13" s="541">
        <f t="shared" si="2"/>
        <v>80.626700425779831</v>
      </c>
    </row>
    <row r="14" spans="2:13" x14ac:dyDescent="0.25">
      <c r="B14" s="1959" t="s">
        <v>295</v>
      </c>
      <c r="C14" s="1953"/>
      <c r="D14" s="1953"/>
      <c r="E14" s="1953"/>
      <c r="F14" s="1953"/>
      <c r="G14" s="544">
        <f>'izvršenje I-XII 2023'!C205</f>
        <v>2179856.089986064</v>
      </c>
      <c r="H14" s="544">
        <f>'izvršenje I-XII 2023'!D205</f>
        <v>1973613</v>
      </c>
      <c r="I14" s="541">
        <f t="shared" si="0"/>
        <v>1973613</v>
      </c>
      <c r="J14" s="534">
        <f>'izvršenje I-XII 2023'!E205</f>
        <v>1963285.75</v>
      </c>
      <c r="K14" s="541">
        <f t="shared" si="1"/>
        <v>90.064924882841751</v>
      </c>
      <c r="L14" s="541">
        <f t="shared" si="2"/>
        <v>99.476733787221704</v>
      </c>
    </row>
    <row r="15" spans="2:13" x14ac:dyDescent="0.25">
      <c r="B15" s="302" t="s">
        <v>296</v>
      </c>
      <c r="C15" s="303"/>
      <c r="D15" s="303"/>
      <c r="E15" s="303"/>
      <c r="F15" s="303"/>
      <c r="G15" s="545">
        <f>SUM(G13:G14)</f>
        <v>4225007.2241024617</v>
      </c>
      <c r="H15" s="545">
        <f>SUM(H13:H14)</f>
        <v>4980801</v>
      </c>
      <c r="I15" s="542">
        <f t="shared" si="0"/>
        <v>4980801</v>
      </c>
      <c r="J15" s="542">
        <f>SUM(J13:J14)</f>
        <v>4387882.21</v>
      </c>
      <c r="K15" s="542">
        <f t="shared" si="1"/>
        <v>103.85502266051483</v>
      </c>
      <c r="L15" s="542">
        <f t="shared" si="2"/>
        <v>88.095914894010022</v>
      </c>
    </row>
    <row r="16" spans="2:13" x14ac:dyDescent="0.25">
      <c r="B16" s="1960" t="s">
        <v>297</v>
      </c>
      <c r="C16" s="1956"/>
      <c r="D16" s="1956"/>
      <c r="E16" s="1956"/>
      <c r="F16" s="1956"/>
      <c r="G16" s="546">
        <f>G12-G15</f>
        <v>-304896.37401287351</v>
      </c>
      <c r="H16" s="546">
        <f>H12-H15</f>
        <v>-1383395</v>
      </c>
      <c r="I16" s="542">
        <f t="shared" si="0"/>
        <v>-1383395</v>
      </c>
      <c r="J16" s="543">
        <f>J12-J15</f>
        <v>-860514.62000000011</v>
      </c>
      <c r="K16" s="542">
        <f t="shared" si="1"/>
        <v>282.23183131842262</v>
      </c>
      <c r="L16" s="542">
        <f t="shared" si="2"/>
        <v>62.203103235156995</v>
      </c>
    </row>
    <row r="17" spans="1:49" ht="18" x14ac:dyDescent="0.25">
      <c r="B17" s="291"/>
      <c r="C17" s="304"/>
      <c r="D17" s="304"/>
      <c r="E17" s="304"/>
      <c r="F17" s="304"/>
      <c r="G17" s="304"/>
      <c r="H17" s="304"/>
      <c r="I17" s="304"/>
      <c r="J17" s="304"/>
      <c r="K17" s="305"/>
      <c r="L17" s="305"/>
      <c r="M17" s="305"/>
    </row>
    <row r="18" spans="1:49" ht="18" customHeight="1" x14ac:dyDescent="0.25">
      <c r="B18" s="1946" t="s">
        <v>298</v>
      </c>
      <c r="C18" s="1946"/>
      <c r="D18" s="1946"/>
      <c r="E18" s="1946"/>
      <c r="F18" s="1946"/>
      <c r="G18" s="304"/>
      <c r="H18" s="304"/>
      <c r="I18" s="304"/>
      <c r="J18" s="304"/>
      <c r="K18" s="305"/>
      <c r="L18" s="305"/>
      <c r="M18" s="305"/>
    </row>
    <row r="19" spans="1:49" ht="25.5" x14ac:dyDescent="0.25">
      <c r="B19" s="1947" t="s">
        <v>285</v>
      </c>
      <c r="C19" s="1947"/>
      <c r="D19" s="1947"/>
      <c r="E19" s="1947"/>
      <c r="F19" s="1947"/>
      <c r="G19" s="299" t="s">
        <v>340</v>
      </c>
      <c r="H19" s="306" t="s">
        <v>286</v>
      </c>
      <c r="I19" s="306" t="s">
        <v>287</v>
      </c>
      <c r="J19" s="306" t="s">
        <v>339</v>
      </c>
      <c r="K19" s="306" t="s">
        <v>136</v>
      </c>
      <c r="L19" s="306" t="s">
        <v>288</v>
      </c>
    </row>
    <row r="20" spans="1:49" x14ac:dyDescent="0.25">
      <c r="A20" s="22"/>
      <c r="B20" s="1961">
        <v>1</v>
      </c>
      <c r="C20" s="1962"/>
      <c r="D20" s="1962"/>
      <c r="E20" s="1962"/>
      <c r="F20" s="1962"/>
      <c r="G20" s="307">
        <v>2</v>
      </c>
      <c r="H20" s="301">
        <v>3</v>
      </c>
      <c r="I20" s="301">
        <v>4</v>
      </c>
      <c r="J20" s="301">
        <v>5</v>
      </c>
      <c r="K20" s="301" t="s">
        <v>289</v>
      </c>
      <c r="L20" s="301" t="s">
        <v>290</v>
      </c>
    </row>
    <row r="21" spans="1:49" ht="15.75" customHeight="1" x14ac:dyDescent="0.25">
      <c r="A21" s="22"/>
      <c r="B21" s="1951" t="s">
        <v>299</v>
      </c>
      <c r="C21" s="1963"/>
      <c r="D21" s="1963"/>
      <c r="E21" s="1963"/>
      <c r="F21" s="1963"/>
      <c r="G21" s="536">
        <v>0</v>
      </c>
      <c r="H21" s="534">
        <f>'izvršenje I-XII 2023'!D33</f>
        <v>1459951</v>
      </c>
      <c r="I21" s="541">
        <f t="shared" ref="I21:I27" si="3">H21/12*12</f>
        <v>1459951</v>
      </c>
      <c r="J21" s="534">
        <f>'izvršenje I-XII 2023'!E33</f>
        <v>1634992.86</v>
      </c>
      <c r="K21" s="534" t="e">
        <f>J21/G21*100</f>
        <v>#DIV/0!</v>
      </c>
      <c r="L21" s="534">
        <f>J21/I21*100</f>
        <v>111.98957088285842</v>
      </c>
    </row>
    <row r="22" spans="1:49" x14ac:dyDescent="0.25">
      <c r="A22" s="22"/>
      <c r="B22" s="1951" t="s">
        <v>300</v>
      </c>
      <c r="C22" s="1952"/>
      <c r="D22" s="1952"/>
      <c r="E22" s="1952"/>
      <c r="F22" s="1952"/>
      <c r="G22" s="537">
        <v>0</v>
      </c>
      <c r="H22" s="534">
        <f>'izvršenje I-XII 2023'!D215</f>
        <v>93848</v>
      </c>
      <c r="I22" s="541">
        <f t="shared" si="3"/>
        <v>93848</v>
      </c>
      <c r="J22" s="534">
        <v>0</v>
      </c>
      <c r="K22" s="534" t="e">
        <f t="shared" ref="K22:K27" si="4">J22/G22*100</f>
        <v>#DIV/0!</v>
      </c>
      <c r="L22" s="534">
        <f t="shared" ref="L22:L27" si="5">J22/I22*100</f>
        <v>0</v>
      </c>
    </row>
    <row r="23" spans="1:49" ht="15" customHeight="1" x14ac:dyDescent="0.25">
      <c r="A23" s="22"/>
      <c r="B23" s="1948" t="s">
        <v>301</v>
      </c>
      <c r="C23" s="1949"/>
      <c r="D23" s="1949"/>
      <c r="E23" s="1949"/>
      <c r="F23" s="1950"/>
      <c r="G23" s="538">
        <v>0</v>
      </c>
      <c r="H23" s="539">
        <f>H21-H22</f>
        <v>1366103</v>
      </c>
      <c r="I23" s="542">
        <f t="shared" si="3"/>
        <v>1366103</v>
      </c>
      <c r="J23" s="539">
        <f>J21-J22</f>
        <v>1634992.86</v>
      </c>
      <c r="K23" s="534" t="e">
        <f t="shared" si="4"/>
        <v>#DIV/0!</v>
      </c>
      <c r="L23" s="534">
        <f t="shared" si="5"/>
        <v>119.68298583635348</v>
      </c>
    </row>
    <row r="24" spans="1:49" s="309" customFormat="1" ht="15" customHeight="1" x14ac:dyDescent="0.25">
      <c r="A24" s="22"/>
      <c r="B24" s="1951" t="s">
        <v>302</v>
      </c>
      <c r="C24" s="1952"/>
      <c r="D24" s="1952"/>
      <c r="E24" s="1952"/>
      <c r="F24" s="1952"/>
      <c r="G24" s="537">
        <v>0</v>
      </c>
      <c r="H24" s="534">
        <f>'izvršenje I-XII 2023'!D34</f>
        <v>17292</v>
      </c>
      <c r="I24" s="541">
        <f t="shared" si="3"/>
        <v>17292</v>
      </c>
      <c r="J24" s="534">
        <f>'izvršenje I-XII 2023'!E212</f>
        <v>-2049.8200000000002</v>
      </c>
      <c r="K24" s="534" t="e">
        <f t="shared" si="4"/>
        <v>#DIV/0!</v>
      </c>
      <c r="L24" s="534">
        <f t="shared" si="5"/>
        <v>-11.854152209114043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s="309" customFormat="1" ht="15" customHeight="1" x14ac:dyDescent="0.25">
      <c r="A25" s="22"/>
      <c r="B25" s="1951" t="s">
        <v>303</v>
      </c>
      <c r="C25" s="1952"/>
      <c r="D25" s="1952"/>
      <c r="E25" s="1952"/>
      <c r="F25" s="1952"/>
      <c r="G25" s="537">
        <v>0</v>
      </c>
      <c r="H25" s="534"/>
      <c r="I25" s="541">
        <f t="shared" si="3"/>
        <v>0</v>
      </c>
      <c r="J25" s="534"/>
      <c r="K25" s="534" t="e">
        <f t="shared" si="4"/>
        <v>#DIV/0!</v>
      </c>
      <c r="L25" s="534" t="e">
        <f t="shared" si="5"/>
        <v>#DIV/0!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</row>
    <row r="26" spans="1:49" s="311" customFormat="1" x14ac:dyDescent="0.25">
      <c r="A26" s="1658"/>
      <c r="B26" s="1948" t="s">
        <v>304</v>
      </c>
      <c r="C26" s="1949"/>
      <c r="D26" s="1949"/>
      <c r="E26" s="1949"/>
      <c r="F26" s="1950"/>
      <c r="G26" s="538">
        <v>0</v>
      </c>
      <c r="H26" s="539">
        <f>H23+H24</f>
        <v>1383395</v>
      </c>
      <c r="I26" s="542">
        <f t="shared" si="3"/>
        <v>1383395</v>
      </c>
      <c r="J26" s="539">
        <f>J23+J24</f>
        <v>1632943.04</v>
      </c>
      <c r="K26" s="542" t="e">
        <f t="shared" si="4"/>
        <v>#DIV/0!</v>
      </c>
      <c r="L26" s="542">
        <f t="shared" si="5"/>
        <v>118.03881320953163</v>
      </c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310"/>
      <c r="AW26" s="310"/>
    </row>
    <row r="27" spans="1:49" ht="15.75" x14ac:dyDescent="0.25">
      <c r="A27" s="22"/>
      <c r="B27" s="1966" t="s">
        <v>305</v>
      </c>
      <c r="C27" s="1966"/>
      <c r="D27" s="1966"/>
      <c r="E27" s="1966"/>
      <c r="F27" s="1966"/>
      <c r="G27" s="540">
        <v>0</v>
      </c>
      <c r="H27" s="535">
        <f>H16+H26</f>
        <v>0</v>
      </c>
      <c r="I27" s="542">
        <f t="shared" si="3"/>
        <v>0</v>
      </c>
      <c r="J27" s="535">
        <f>J26+J16</f>
        <v>772428.41999999993</v>
      </c>
      <c r="K27" s="542" t="e">
        <f t="shared" si="4"/>
        <v>#DIV/0!</v>
      </c>
      <c r="L27" s="542" t="e">
        <f t="shared" si="5"/>
        <v>#DIV/0!</v>
      </c>
    </row>
    <row r="28" spans="1:49" x14ac:dyDescent="0.25">
      <c r="A28" s="22"/>
      <c r="H28" s="213"/>
      <c r="J28" s="213"/>
    </row>
    <row r="29" spans="1:49" x14ac:dyDescent="0.25">
      <c r="B29" s="312"/>
      <c r="C29" s="312"/>
      <c r="D29" s="312"/>
      <c r="E29" s="312"/>
      <c r="F29" s="312"/>
      <c r="G29" s="312"/>
      <c r="H29" s="312"/>
      <c r="I29" s="312"/>
      <c r="J29" s="312"/>
      <c r="K29" s="312"/>
      <c r="L29" s="312"/>
    </row>
    <row r="30" spans="1:49" x14ac:dyDescent="0.25">
      <c r="B30" s="1964" t="s">
        <v>306</v>
      </c>
      <c r="C30" s="1964"/>
      <c r="D30" s="1964"/>
      <c r="E30" s="1964"/>
      <c r="F30" s="1964"/>
      <c r="G30" s="1964"/>
      <c r="H30" s="1964"/>
      <c r="I30" s="1964"/>
      <c r="J30" s="1964"/>
      <c r="K30" s="1964"/>
      <c r="L30" s="1964"/>
    </row>
    <row r="31" spans="1:49" ht="15" customHeight="1" x14ac:dyDescent="0.25">
      <c r="B31" s="1964" t="s">
        <v>307</v>
      </c>
      <c r="C31" s="1964"/>
      <c r="D31" s="1964"/>
      <c r="E31" s="1964"/>
      <c r="F31" s="1964"/>
      <c r="G31" s="1964"/>
      <c r="H31" s="1964"/>
      <c r="I31" s="1964"/>
      <c r="J31" s="1964"/>
      <c r="K31" s="1964"/>
      <c r="L31" s="1964"/>
    </row>
    <row r="32" spans="1:49" ht="15" customHeight="1" x14ac:dyDescent="0.25">
      <c r="B32" s="1964" t="s">
        <v>308</v>
      </c>
      <c r="C32" s="1964"/>
      <c r="D32" s="1964"/>
      <c r="E32" s="1964"/>
      <c r="F32" s="1964"/>
      <c r="G32" s="1964"/>
      <c r="H32" s="1964"/>
      <c r="I32" s="1964"/>
      <c r="J32" s="1964"/>
      <c r="K32" s="1964"/>
      <c r="L32" s="1964"/>
    </row>
    <row r="33" spans="2:12" ht="36.75" customHeight="1" x14ac:dyDescent="0.25">
      <c r="B33" s="1964"/>
      <c r="C33" s="1964"/>
      <c r="D33" s="1964"/>
      <c r="E33" s="1964"/>
      <c r="F33" s="1964"/>
      <c r="G33" s="1964"/>
      <c r="H33" s="1964"/>
      <c r="I33" s="1964"/>
      <c r="J33" s="1964"/>
      <c r="K33" s="1964"/>
      <c r="L33" s="1964"/>
    </row>
    <row r="34" spans="2:12" ht="15" customHeight="1" x14ac:dyDescent="0.25">
      <c r="B34" s="1965" t="s">
        <v>309</v>
      </c>
      <c r="C34" s="1965"/>
      <c r="D34" s="1965"/>
      <c r="E34" s="1965"/>
      <c r="F34" s="1965"/>
      <c r="G34" s="1965"/>
      <c r="H34" s="1965"/>
      <c r="I34" s="1965"/>
      <c r="J34" s="1965"/>
      <c r="K34" s="1965"/>
      <c r="L34" s="1965"/>
    </row>
    <row r="35" spans="2:12" x14ac:dyDescent="0.25">
      <c r="B35" s="1965"/>
      <c r="C35" s="1965"/>
      <c r="D35" s="1965"/>
      <c r="E35" s="1965"/>
      <c r="F35" s="1965"/>
      <c r="G35" s="1965"/>
      <c r="H35" s="1965"/>
      <c r="I35" s="1965"/>
      <c r="J35" s="1965"/>
      <c r="K35" s="1965"/>
      <c r="L35" s="1965"/>
    </row>
  </sheetData>
  <mergeCells count="26">
    <mergeCell ref="B32:L33"/>
    <mergeCell ref="B34:L35"/>
    <mergeCell ref="B24:F24"/>
    <mergeCell ref="B25:F25"/>
    <mergeCell ref="B26:F26"/>
    <mergeCell ref="B27:F27"/>
    <mergeCell ref="B30:L30"/>
    <mergeCell ref="B31:L31"/>
    <mergeCell ref="B23:F23"/>
    <mergeCell ref="B10:F10"/>
    <mergeCell ref="B11:F11"/>
    <mergeCell ref="B12:F12"/>
    <mergeCell ref="B13:F13"/>
    <mergeCell ref="B14:F14"/>
    <mergeCell ref="B16:F16"/>
    <mergeCell ref="B18:F18"/>
    <mergeCell ref="B19:F19"/>
    <mergeCell ref="B20:F20"/>
    <mergeCell ref="B21:F21"/>
    <mergeCell ref="B22:F22"/>
    <mergeCell ref="B9:F9"/>
    <mergeCell ref="B1:L1"/>
    <mergeCell ref="B3:L3"/>
    <mergeCell ref="B5:L5"/>
    <mergeCell ref="B7:F7"/>
    <mergeCell ref="B8:F8"/>
  </mergeCells>
  <pageMargins left="0.7" right="0.7" top="0.75" bottom="0.75" header="0.3" footer="0.3"/>
  <pageSetup paperSize="9"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134"/>
  <sheetViews>
    <sheetView topLeftCell="A47" zoomScale="90" zoomScaleNormal="90" workbookViewId="0">
      <selection activeCell="J45" sqref="J45:K134"/>
    </sheetView>
  </sheetViews>
  <sheetFormatPr defaultRowHeight="15" x14ac:dyDescent="0.25"/>
  <cols>
    <col min="1" max="1" width="7.42578125" style="1690" bestFit="1" customWidth="1"/>
    <col min="2" max="2" width="8.42578125" style="1690" bestFit="1" customWidth="1"/>
    <col min="3" max="3" width="11.42578125" style="1690" customWidth="1"/>
    <col min="4" max="4" width="8.42578125" style="1690" customWidth="1"/>
    <col min="5" max="5" width="44.7109375" style="1677" customWidth="1"/>
    <col min="6" max="9" width="25.28515625" style="213" customWidth="1"/>
    <col min="10" max="11" width="15.7109375" style="213" customWidth="1"/>
    <col min="12" max="12" width="9.140625" style="213"/>
  </cols>
  <sheetData>
    <row r="1" spans="1:12" s="22" customFormat="1" ht="19.5" customHeight="1" x14ac:dyDescent="0.25">
      <c r="A1" s="1691"/>
      <c r="B1" s="1691"/>
      <c r="C1" s="1691"/>
      <c r="D1" s="1691"/>
      <c r="E1" s="1676"/>
      <c r="F1" s="1725"/>
      <c r="G1" s="1725"/>
      <c r="H1" s="1725"/>
      <c r="I1" s="1725"/>
      <c r="J1" s="1725"/>
      <c r="K1" s="1725"/>
      <c r="L1" s="484"/>
    </row>
    <row r="2" spans="1:12" s="22" customFormat="1" ht="19.5" customHeight="1" x14ac:dyDescent="0.25">
      <c r="A2" s="1945" t="s">
        <v>282</v>
      </c>
      <c r="B2" s="1945"/>
      <c r="C2" s="1945"/>
      <c r="D2" s="1945"/>
      <c r="E2" s="1945"/>
      <c r="F2" s="1945"/>
      <c r="G2" s="1945"/>
      <c r="H2" s="1945"/>
      <c r="I2" s="1945"/>
      <c r="J2" s="1945"/>
      <c r="K2" s="1945"/>
      <c r="L2" s="484"/>
    </row>
    <row r="3" spans="1:12" s="22" customFormat="1" ht="19.5" customHeight="1" x14ac:dyDescent="0.25">
      <c r="A3" s="1691"/>
      <c r="B3" s="1691"/>
      <c r="C3" s="1691"/>
      <c r="D3" s="1691"/>
      <c r="E3" s="1676"/>
      <c r="F3" s="1725"/>
      <c r="G3" s="1725"/>
      <c r="H3" s="1725"/>
      <c r="I3" s="440"/>
      <c r="J3" s="440"/>
      <c r="K3" s="440"/>
      <c r="L3" s="484"/>
    </row>
    <row r="4" spans="1:12" s="22" customFormat="1" ht="19.5" customHeight="1" x14ac:dyDescent="0.25">
      <c r="A4" s="1945" t="s">
        <v>310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484"/>
    </row>
    <row r="5" spans="1:12" s="22" customFormat="1" ht="19.5" customHeight="1" x14ac:dyDescent="0.25">
      <c r="A5" s="1691"/>
      <c r="B5" s="1691"/>
      <c r="C5" s="1691"/>
      <c r="D5" s="1691"/>
      <c r="E5" s="1676"/>
      <c r="F5" s="1725"/>
      <c r="G5" s="1725"/>
      <c r="H5" s="1725"/>
      <c r="I5" s="440"/>
      <c r="J5" s="440"/>
      <c r="K5" s="440"/>
      <c r="L5" s="484"/>
    </row>
    <row r="6" spans="1:12" s="22" customFormat="1" ht="19.5" customHeight="1" x14ac:dyDescent="0.25">
      <c r="A6" s="1945" t="s">
        <v>311</v>
      </c>
      <c r="B6" s="1945"/>
      <c r="C6" s="1945"/>
      <c r="D6" s="1945"/>
      <c r="E6" s="1945"/>
      <c r="F6" s="1945"/>
      <c r="G6" s="1945"/>
      <c r="H6" s="1945"/>
      <c r="I6" s="1945"/>
      <c r="J6" s="1945"/>
      <c r="K6" s="1945"/>
      <c r="L6" s="484"/>
    </row>
    <row r="7" spans="1:12" s="22" customFormat="1" ht="19.5" customHeight="1" thickBot="1" x14ac:dyDescent="0.3">
      <c r="A7" s="1691"/>
      <c r="B7" s="1691"/>
      <c r="C7" s="1691"/>
      <c r="D7" s="1691"/>
      <c r="E7" s="1676"/>
      <c r="F7" s="1725"/>
      <c r="G7" s="1725"/>
      <c r="H7" s="1725"/>
      <c r="I7" s="440"/>
      <c r="J7" s="440"/>
      <c r="K7" s="440"/>
      <c r="L7" s="484"/>
    </row>
    <row r="8" spans="1:12" s="22" customFormat="1" ht="39.75" customHeight="1" x14ac:dyDescent="0.25">
      <c r="A8" s="1970" t="s">
        <v>285</v>
      </c>
      <c r="B8" s="1971"/>
      <c r="C8" s="1971"/>
      <c r="D8" s="1971"/>
      <c r="E8" s="1972"/>
      <c r="F8" s="1726" t="s">
        <v>341</v>
      </c>
      <c r="G8" s="1726" t="s">
        <v>286</v>
      </c>
      <c r="H8" s="1726" t="s">
        <v>287</v>
      </c>
      <c r="I8" s="1802" t="s">
        <v>342</v>
      </c>
      <c r="J8" s="1815" t="s">
        <v>136</v>
      </c>
      <c r="K8" s="1816" t="s">
        <v>288</v>
      </c>
      <c r="L8" s="484"/>
    </row>
    <row r="9" spans="1:12" s="22" customFormat="1" ht="19.5" customHeight="1" thickBot="1" x14ac:dyDescent="0.3">
      <c r="A9" s="1973">
        <v>1</v>
      </c>
      <c r="B9" s="1974"/>
      <c r="C9" s="1974"/>
      <c r="D9" s="1974"/>
      <c r="E9" s="1975"/>
      <c r="F9" s="1727">
        <v>2</v>
      </c>
      <c r="G9" s="1727">
        <v>3</v>
      </c>
      <c r="H9" s="1727">
        <v>4</v>
      </c>
      <c r="I9" s="1803">
        <v>5</v>
      </c>
      <c r="J9" s="1817" t="s">
        <v>289</v>
      </c>
      <c r="K9" s="1818" t="s">
        <v>290</v>
      </c>
      <c r="L9" s="484"/>
    </row>
    <row r="10" spans="1:12" s="22" customFormat="1" ht="19.5" customHeight="1" thickBot="1" x14ac:dyDescent="0.3">
      <c r="A10" s="1701"/>
      <c r="B10" s="1701"/>
      <c r="C10" s="1701"/>
      <c r="D10" s="1701"/>
      <c r="E10" s="1702" t="s">
        <v>312</v>
      </c>
      <c r="F10" s="1730">
        <f>F11+F38+F42</f>
        <v>3920110.8500895877</v>
      </c>
      <c r="G10" s="1730">
        <f>G11+G38+G42</f>
        <v>5074649</v>
      </c>
      <c r="H10" s="1734">
        <f t="shared" ref="H10:H40" si="0">G10*12/12</f>
        <v>5074649</v>
      </c>
      <c r="I10" s="1804">
        <f>I11+I38+I42</f>
        <v>5162360.45</v>
      </c>
      <c r="J10" s="1819">
        <f>I10/F10*100</f>
        <v>131.68914470574279</v>
      </c>
      <c r="K10" s="1820">
        <f>I10/H10*100</f>
        <v>101.7284239757272</v>
      </c>
      <c r="L10" s="484"/>
    </row>
    <row r="11" spans="1:12" s="22" customFormat="1" ht="19.5" customHeight="1" thickBot="1" x14ac:dyDescent="0.3">
      <c r="A11" s="1704">
        <v>6</v>
      </c>
      <c r="B11" s="1705"/>
      <c r="C11" s="1705"/>
      <c r="D11" s="1705"/>
      <c r="E11" s="1706" t="s">
        <v>313</v>
      </c>
      <c r="F11" s="1730">
        <f>F12+F20+F24+F29+F34</f>
        <v>3920110.8500895877</v>
      </c>
      <c r="G11" s="1730">
        <f>G12+G20+G24+G29+G34</f>
        <v>3597406</v>
      </c>
      <c r="H11" s="1734">
        <f t="shared" si="0"/>
        <v>3597406</v>
      </c>
      <c r="I11" s="1804">
        <f t="shared" ref="I11" si="1">I12+I20+I24+I29+I34</f>
        <v>3527367.59</v>
      </c>
      <c r="J11" s="1819">
        <f t="shared" ref="J11:J74" si="2">I11/F11*100</f>
        <v>89.981322592430971</v>
      </c>
      <c r="K11" s="1820">
        <f t="shared" ref="K11:K74" si="3">I11/H11*100</f>
        <v>98.05308575123297</v>
      </c>
      <c r="L11" s="484"/>
    </row>
    <row r="12" spans="1:12" s="22" customFormat="1" ht="19.5" customHeight="1" thickBot="1" x14ac:dyDescent="0.3">
      <c r="A12" s="1704"/>
      <c r="B12" s="1709">
        <v>63</v>
      </c>
      <c r="C12" s="1709"/>
      <c r="D12" s="1709"/>
      <c r="E12" s="1710" t="s">
        <v>314</v>
      </c>
      <c r="F12" s="1732">
        <f>F13+F16</f>
        <v>3627781.8913000198</v>
      </c>
      <c r="G12" s="1732">
        <f>G13+G16</f>
        <v>3279281</v>
      </c>
      <c r="H12" s="1730">
        <f t="shared" si="0"/>
        <v>3279281</v>
      </c>
      <c r="I12" s="1805">
        <f>I13+I16</f>
        <v>3208776.7300000004</v>
      </c>
      <c r="J12" s="1819">
        <f t="shared" si="2"/>
        <v>88.450100533748781</v>
      </c>
      <c r="K12" s="1820">
        <f t="shared" si="3"/>
        <v>97.850008279253913</v>
      </c>
      <c r="L12" s="484"/>
    </row>
    <row r="13" spans="1:12" s="22" customFormat="1" ht="19.5" customHeight="1" x14ac:dyDescent="0.25">
      <c r="A13" s="1707"/>
      <c r="B13" s="1707"/>
      <c r="C13" s="1707">
        <v>636</v>
      </c>
      <c r="D13" s="1707"/>
      <c r="E13" s="1708" t="s">
        <v>8</v>
      </c>
      <c r="F13" s="1733">
        <f>F14+F15</f>
        <v>1172523.5636074059</v>
      </c>
      <c r="G13" s="1733">
        <f>G14+G15</f>
        <v>1424713</v>
      </c>
      <c r="H13" s="1734">
        <f t="shared" si="0"/>
        <v>1424713</v>
      </c>
      <c r="I13" s="1806">
        <f>I14+I15</f>
        <v>1224146.6900000002</v>
      </c>
      <c r="J13" s="1819">
        <f t="shared" si="2"/>
        <v>104.40273679735439</v>
      </c>
      <c r="K13" s="1820">
        <f t="shared" si="3"/>
        <v>85.922335937132615</v>
      </c>
      <c r="L13" s="484"/>
    </row>
    <row r="14" spans="1:12" s="22" customFormat="1" ht="19.5" customHeight="1" x14ac:dyDescent="0.25">
      <c r="A14" s="1694"/>
      <c r="B14" s="1694"/>
      <c r="C14" s="1695"/>
      <c r="D14" s="1685">
        <v>6361</v>
      </c>
      <c r="E14" s="1679" t="s">
        <v>9</v>
      </c>
      <c r="F14" s="1736">
        <f>'izvršenje I-XII 2023'!C9+'izvršenje I-XII 2023'!C10</f>
        <v>1170864.5285022231</v>
      </c>
      <c r="G14" s="1736">
        <f>'izvršenje I-XII 2023'!D9+'izvršenje I-XII 2023'!D10</f>
        <v>1369761</v>
      </c>
      <c r="H14" s="1737">
        <f t="shared" si="0"/>
        <v>1369761</v>
      </c>
      <c r="I14" s="1807">
        <f>'izvršenje I-XII 2023'!E9+'izvršenje I-XII 2023'!E10</f>
        <v>1223548.6900000002</v>
      </c>
      <c r="J14" s="1819">
        <f t="shared" si="2"/>
        <v>104.49959497578863</v>
      </c>
      <c r="K14" s="1820">
        <f t="shared" si="3"/>
        <v>89.32570645535975</v>
      </c>
      <c r="L14" s="484"/>
    </row>
    <row r="15" spans="1:12" s="22" customFormat="1" ht="19.5" customHeight="1" x14ac:dyDescent="0.25">
      <c r="A15" s="1692"/>
      <c r="B15" s="1693"/>
      <c r="C15" s="1693"/>
      <c r="D15" s="1693">
        <v>6362</v>
      </c>
      <c r="E15" s="1680" t="s">
        <v>314</v>
      </c>
      <c r="F15" s="1736">
        <f>'izvršenje I-XII 2023'!C11</f>
        <v>1659.0351051828256</v>
      </c>
      <c r="G15" s="1736">
        <f>'izvršenje I-XII 2023'!D11</f>
        <v>54952</v>
      </c>
      <c r="H15" s="1737">
        <f t="shared" si="0"/>
        <v>54952</v>
      </c>
      <c r="I15" s="1807">
        <f>'izvršenje I-XII 2023'!E11</f>
        <v>598</v>
      </c>
      <c r="J15" s="1819">
        <f t="shared" si="2"/>
        <v>36.045048000000001</v>
      </c>
      <c r="K15" s="1820">
        <f t="shared" si="3"/>
        <v>1.0882224486824865</v>
      </c>
      <c r="L15" s="484"/>
    </row>
    <row r="16" spans="1:12" s="22" customFormat="1" ht="19.5" customHeight="1" x14ac:dyDescent="0.25">
      <c r="A16" s="1694"/>
      <c r="B16" s="1694"/>
      <c r="C16" s="1694">
        <v>638</v>
      </c>
      <c r="D16" s="1694"/>
      <c r="E16" s="1678" t="s">
        <v>157</v>
      </c>
      <c r="F16" s="1736">
        <f>F17+F18+F19</f>
        <v>2455258.3276926139</v>
      </c>
      <c r="G16" s="1736">
        <f>G17+G18+G19</f>
        <v>1854568</v>
      </c>
      <c r="H16" s="1737">
        <f t="shared" si="0"/>
        <v>1854568</v>
      </c>
      <c r="I16" s="1808">
        <f>I17+I18+I19</f>
        <v>1984630.04</v>
      </c>
      <c r="J16" s="1819">
        <f t="shared" si="2"/>
        <v>80.831821955985475</v>
      </c>
      <c r="K16" s="1820">
        <f t="shared" si="3"/>
        <v>107.0130639588303</v>
      </c>
      <c r="L16" s="484"/>
    </row>
    <row r="17" spans="1:12" s="22" customFormat="1" ht="19.5" customHeight="1" x14ac:dyDescent="0.25">
      <c r="A17" s="1694"/>
      <c r="B17" s="1694"/>
      <c r="C17" s="1695"/>
      <c r="D17" s="1685">
        <v>63811</v>
      </c>
      <c r="E17" s="1679" t="s">
        <v>174</v>
      </c>
      <c r="F17" s="1736">
        <f>'izvršenje I-XII 2023'!C13</f>
        <v>2455258.3276926139</v>
      </c>
      <c r="G17" s="1736">
        <f>'izvršenje I-XII 2023'!D13</f>
        <v>1346968</v>
      </c>
      <c r="H17" s="1737">
        <f t="shared" si="0"/>
        <v>1346968</v>
      </c>
      <c r="I17" s="1807">
        <f>'izvršenje I-XII 2023'!E13</f>
        <v>1218990.1100000001</v>
      </c>
      <c r="J17" s="1819">
        <f t="shared" si="2"/>
        <v>49.648140737417819</v>
      </c>
      <c r="K17" s="1820">
        <f t="shared" si="3"/>
        <v>90.498817343841878</v>
      </c>
      <c r="L17" s="484"/>
    </row>
    <row r="18" spans="1:12" s="22" customFormat="1" ht="19.5" customHeight="1" x14ac:dyDescent="0.25">
      <c r="A18" s="1694"/>
      <c r="B18" s="1694"/>
      <c r="C18" s="1695"/>
      <c r="D18" s="1685">
        <v>63812</v>
      </c>
      <c r="E18" s="1679" t="s">
        <v>175</v>
      </c>
      <c r="F18" s="1736">
        <f>'izvršenje I-XII 2023'!C14</f>
        <v>0</v>
      </c>
      <c r="G18" s="1736">
        <f>'izvršenje I-XII 2023'!D14</f>
        <v>254980</v>
      </c>
      <c r="H18" s="1737">
        <f t="shared" si="0"/>
        <v>254980</v>
      </c>
      <c r="I18" s="1807">
        <f>'izvršenje I-XII 2023'!E14</f>
        <v>0</v>
      </c>
      <c r="J18" s="1819" t="e">
        <f t="shared" si="2"/>
        <v>#DIV/0!</v>
      </c>
      <c r="K18" s="1820">
        <f t="shared" si="3"/>
        <v>0</v>
      </c>
      <c r="L18" s="484"/>
    </row>
    <row r="19" spans="1:12" s="22" customFormat="1" ht="19.5" customHeight="1" thickBot="1" x14ac:dyDescent="0.3">
      <c r="A19" s="1711"/>
      <c r="B19" s="1711"/>
      <c r="C19" s="1700"/>
      <c r="D19" s="1712">
        <v>6382</v>
      </c>
      <c r="E19" s="1713" t="s">
        <v>168</v>
      </c>
      <c r="F19" s="1728">
        <f>'izvršenje I-XII 2023'!C15</f>
        <v>0</v>
      </c>
      <c r="G19" s="1728">
        <f>'izvršenje I-XII 2023'!D15</f>
        <v>252620</v>
      </c>
      <c r="H19" s="1739">
        <f t="shared" si="0"/>
        <v>252620</v>
      </c>
      <c r="I19" s="1807">
        <f>'izvršenje I-XII 2023'!E15</f>
        <v>765639.93</v>
      </c>
      <c r="J19" s="1819" t="e">
        <f t="shared" si="2"/>
        <v>#DIV/0!</v>
      </c>
      <c r="K19" s="1820">
        <f t="shared" si="3"/>
        <v>303.07969677776902</v>
      </c>
      <c r="L19" s="484"/>
    </row>
    <row r="20" spans="1:12" s="22" customFormat="1" ht="19.5" customHeight="1" thickBot="1" x14ac:dyDescent="0.3">
      <c r="A20" s="1716"/>
      <c r="B20" s="1717">
        <v>64</v>
      </c>
      <c r="C20" s="1718"/>
      <c r="D20" s="1718"/>
      <c r="E20" s="1710" t="s">
        <v>500</v>
      </c>
      <c r="F20" s="1732">
        <f>F21</f>
        <v>156.59964164841728</v>
      </c>
      <c r="G20" s="1732">
        <f>G21</f>
        <v>133</v>
      </c>
      <c r="H20" s="1730">
        <f t="shared" si="0"/>
        <v>133</v>
      </c>
      <c r="I20" s="1805">
        <f>I21</f>
        <v>109.17</v>
      </c>
      <c r="J20" s="1819">
        <f t="shared" si="2"/>
        <v>69.712803203661338</v>
      </c>
      <c r="K20" s="1820">
        <f t="shared" si="3"/>
        <v>82.082706766917283</v>
      </c>
      <c r="L20" s="484"/>
    </row>
    <row r="21" spans="1:12" s="22" customFormat="1" ht="19.5" customHeight="1" x14ac:dyDescent="0.25">
      <c r="A21" s="1707"/>
      <c r="B21" s="1714"/>
      <c r="C21" s="1715">
        <v>641</v>
      </c>
      <c r="D21" s="1715"/>
      <c r="E21" s="1708" t="s">
        <v>10</v>
      </c>
      <c r="F21" s="1733">
        <f>F22</f>
        <v>156.59964164841728</v>
      </c>
      <c r="G21" s="1733">
        <f>G22</f>
        <v>133</v>
      </c>
      <c r="H21" s="1734">
        <f t="shared" si="0"/>
        <v>133</v>
      </c>
      <c r="I21" s="1806">
        <f>I22</f>
        <v>109.17</v>
      </c>
      <c r="J21" s="1819">
        <f t="shared" si="2"/>
        <v>69.712803203661338</v>
      </c>
      <c r="K21" s="1820">
        <f t="shared" si="3"/>
        <v>82.082706766917283</v>
      </c>
      <c r="L21" s="484"/>
    </row>
    <row r="22" spans="1:12" s="22" customFormat="1" ht="19.5" customHeight="1" x14ac:dyDescent="0.25">
      <c r="A22" s="1694"/>
      <c r="B22" s="1697"/>
      <c r="C22" s="1696"/>
      <c r="D22" s="1696">
        <v>6413</v>
      </c>
      <c r="E22" s="1679" t="s">
        <v>0</v>
      </c>
      <c r="F22" s="1736">
        <f>'izvršenje I-XII 2023'!C17</f>
        <v>156.59964164841728</v>
      </c>
      <c r="G22" s="1736">
        <f>'izvršenje I-XII 2023'!D17</f>
        <v>133</v>
      </c>
      <c r="H22" s="1737">
        <f t="shared" si="0"/>
        <v>133</v>
      </c>
      <c r="I22" s="1807">
        <f>'izvršenje I-XII 2023'!E17</f>
        <v>109.17</v>
      </c>
      <c r="J22" s="1819">
        <f t="shared" si="2"/>
        <v>69.712803203661338</v>
      </c>
      <c r="K22" s="1820">
        <f t="shared" si="3"/>
        <v>82.082706766917283</v>
      </c>
      <c r="L22" s="484"/>
    </row>
    <row r="23" spans="1:12" s="22" customFormat="1" ht="19.5" customHeight="1" thickBot="1" x14ac:dyDescent="0.3">
      <c r="A23" s="1711"/>
      <c r="B23" s="1711"/>
      <c r="C23" s="1719"/>
      <c r="D23" s="1719"/>
      <c r="E23" s="1720"/>
      <c r="F23" s="1728"/>
      <c r="G23" s="1728"/>
      <c r="H23" s="1739"/>
      <c r="I23" s="1809"/>
      <c r="J23" s="1819"/>
      <c r="K23" s="1820"/>
      <c r="L23" s="484"/>
    </row>
    <row r="24" spans="1:12" s="22" customFormat="1" ht="19.5" customHeight="1" thickBot="1" x14ac:dyDescent="0.3">
      <c r="A24" s="1704"/>
      <c r="B24" s="1709">
        <v>66</v>
      </c>
      <c r="C24" s="1709"/>
      <c r="D24" s="1709"/>
      <c r="E24" s="1710" t="s">
        <v>316</v>
      </c>
      <c r="F24" s="1732">
        <f>F25+F27</f>
        <v>13735.483442829649</v>
      </c>
      <c r="G24" s="1732">
        <f>G25+G27</f>
        <v>19643</v>
      </c>
      <c r="H24" s="1730">
        <f t="shared" si="0"/>
        <v>19643</v>
      </c>
      <c r="I24" s="1805">
        <f>I25+I27</f>
        <v>14056.9</v>
      </c>
      <c r="J24" s="1819">
        <f t="shared" si="2"/>
        <v>102.3400454633298</v>
      </c>
      <c r="K24" s="1820">
        <f t="shared" si="3"/>
        <v>71.561879549966918</v>
      </c>
      <c r="L24" s="484"/>
    </row>
    <row r="25" spans="1:12" s="22" customFormat="1" ht="19.5" customHeight="1" x14ac:dyDescent="0.25">
      <c r="A25" s="1707"/>
      <c r="B25" s="1707"/>
      <c r="C25" s="1707">
        <v>661</v>
      </c>
      <c r="D25" s="1707"/>
      <c r="E25" s="1708" t="s">
        <v>11</v>
      </c>
      <c r="F25" s="1733">
        <f>F26</f>
        <v>13496.582387683322</v>
      </c>
      <c r="G25" s="1733">
        <f>G26</f>
        <v>17918</v>
      </c>
      <c r="H25" s="1734">
        <f t="shared" si="0"/>
        <v>17918</v>
      </c>
      <c r="I25" s="1806">
        <f>I26</f>
        <v>13806.9</v>
      </c>
      <c r="J25" s="1819">
        <f t="shared" si="2"/>
        <v>102.29923104533387</v>
      </c>
      <c r="K25" s="1820">
        <f t="shared" si="3"/>
        <v>77.056033039401711</v>
      </c>
      <c r="L25" s="484"/>
    </row>
    <row r="26" spans="1:12" s="22" customFormat="1" ht="19.5" customHeight="1" x14ac:dyDescent="0.25">
      <c r="A26" s="1694"/>
      <c r="B26" s="1694"/>
      <c r="C26" s="1694"/>
      <c r="D26" s="1694">
        <v>6615</v>
      </c>
      <c r="E26" s="1679" t="s">
        <v>1</v>
      </c>
      <c r="F26" s="1736">
        <f>'izvršenje I-XII 2023'!C19</f>
        <v>13496.582387683322</v>
      </c>
      <c r="G26" s="1736">
        <f>'izvršenje I-XII 2023'!D19</f>
        <v>17918</v>
      </c>
      <c r="H26" s="1737">
        <f t="shared" si="0"/>
        <v>17918</v>
      </c>
      <c r="I26" s="1807">
        <f>'izvršenje I-XII 2023'!E19</f>
        <v>13806.9</v>
      </c>
      <c r="J26" s="1819">
        <f t="shared" si="2"/>
        <v>102.29923104533387</v>
      </c>
      <c r="K26" s="1820">
        <f t="shared" si="3"/>
        <v>77.056033039401711</v>
      </c>
      <c r="L26" s="484"/>
    </row>
    <row r="27" spans="1:12" s="22" customFormat="1" ht="19.5" customHeight="1" x14ac:dyDescent="0.25">
      <c r="A27" s="1694"/>
      <c r="B27" s="1694"/>
      <c r="C27" s="1696">
        <v>663</v>
      </c>
      <c r="D27" s="1696"/>
      <c r="E27" s="1678" t="s">
        <v>12</v>
      </c>
      <c r="F27" s="1736">
        <f>F28</f>
        <v>238.90105514632688</v>
      </c>
      <c r="G27" s="1736">
        <f>G28</f>
        <v>1725</v>
      </c>
      <c r="H27" s="1737">
        <f t="shared" si="0"/>
        <v>1725</v>
      </c>
      <c r="I27" s="1808">
        <f>I28</f>
        <v>250</v>
      </c>
      <c r="J27" s="1819">
        <f t="shared" si="2"/>
        <v>104.64583333333334</v>
      </c>
      <c r="K27" s="1820">
        <f t="shared" si="3"/>
        <v>14.492753623188406</v>
      </c>
      <c r="L27" s="484"/>
    </row>
    <row r="28" spans="1:12" s="22" customFormat="1" ht="19.5" customHeight="1" thickBot="1" x14ac:dyDescent="0.3">
      <c r="A28" s="1711"/>
      <c r="B28" s="1721"/>
      <c r="C28" s="1719"/>
      <c r="D28" s="1719">
        <v>6631</v>
      </c>
      <c r="E28" s="1713" t="s">
        <v>2</v>
      </c>
      <c r="F28" s="1728">
        <f>'izvršenje I-XII 2023'!C21</f>
        <v>238.90105514632688</v>
      </c>
      <c r="G28" s="1728">
        <f>'izvršenje I-XII 2023'!D21</f>
        <v>1725</v>
      </c>
      <c r="H28" s="1739">
        <f t="shared" si="0"/>
        <v>1725</v>
      </c>
      <c r="I28" s="1809">
        <f>'izvršenje I-XII 2023'!E21</f>
        <v>250</v>
      </c>
      <c r="J28" s="1819">
        <f t="shared" si="2"/>
        <v>104.64583333333334</v>
      </c>
      <c r="K28" s="1820">
        <f t="shared" si="3"/>
        <v>14.492753623188406</v>
      </c>
      <c r="L28" s="484"/>
    </row>
    <row r="29" spans="1:12" s="22" customFormat="1" ht="19.5" customHeight="1" thickBot="1" x14ac:dyDescent="0.3">
      <c r="A29" s="1716"/>
      <c r="B29" s="1722">
        <v>67</v>
      </c>
      <c r="C29" s="1718"/>
      <c r="D29" s="1718"/>
      <c r="E29" s="1710" t="s">
        <v>501</v>
      </c>
      <c r="F29" s="1732">
        <f>F30</f>
        <v>270265.93270953617</v>
      </c>
      <c r="G29" s="1732">
        <f>G30</f>
        <v>285873</v>
      </c>
      <c r="H29" s="1730">
        <f t="shared" si="0"/>
        <v>285873</v>
      </c>
      <c r="I29" s="1805">
        <f>I30</f>
        <v>298817.75999999995</v>
      </c>
      <c r="J29" s="1819">
        <f t="shared" si="2"/>
        <v>110.56434564438773</v>
      </c>
      <c r="K29" s="1820">
        <f t="shared" si="3"/>
        <v>104.52815061233483</v>
      </c>
      <c r="L29" s="484"/>
    </row>
    <row r="30" spans="1:12" s="22" customFormat="1" ht="19.5" customHeight="1" x14ac:dyDescent="0.25">
      <c r="A30" s="1707"/>
      <c r="B30" s="1707"/>
      <c r="C30" s="1715">
        <v>671</v>
      </c>
      <c r="D30" s="1715"/>
      <c r="E30" s="1708" t="s">
        <v>13</v>
      </c>
      <c r="F30" s="1733">
        <f>F31+F32+F33</f>
        <v>270265.93270953617</v>
      </c>
      <c r="G30" s="1733">
        <f>G31+G32+G33</f>
        <v>285873</v>
      </c>
      <c r="H30" s="1734">
        <f t="shared" si="0"/>
        <v>285873</v>
      </c>
      <c r="I30" s="1806">
        <f>I31+I32+I33</f>
        <v>298817.75999999995</v>
      </c>
      <c r="J30" s="1819">
        <f t="shared" si="2"/>
        <v>110.56434564438773</v>
      </c>
      <c r="K30" s="1820">
        <f t="shared" si="3"/>
        <v>104.52815061233483</v>
      </c>
      <c r="L30" s="484"/>
    </row>
    <row r="31" spans="1:12" s="22" customFormat="1" ht="19.5" customHeight="1" x14ac:dyDescent="0.25">
      <c r="A31" s="1697"/>
      <c r="B31" s="1694"/>
      <c r="C31" s="1698"/>
      <c r="D31" s="1685">
        <v>6711</v>
      </c>
      <c r="E31" s="1679" t="s">
        <v>3</v>
      </c>
      <c r="F31" s="1740">
        <f>'izvršenje I-XII 2023'!C23</f>
        <v>102234.15488751743</v>
      </c>
      <c r="G31" s="1740">
        <f>'izvršenje I-XII 2023'!D23</f>
        <v>137726</v>
      </c>
      <c r="H31" s="1737">
        <f t="shared" si="0"/>
        <v>137726</v>
      </c>
      <c r="I31" s="1810">
        <f>'izvršenje I-XII 2023'!E23</f>
        <v>130101.24999999999</v>
      </c>
      <c r="J31" s="1819">
        <f t="shared" si="2"/>
        <v>127.25810678744611</v>
      </c>
      <c r="K31" s="1820">
        <f t="shared" si="3"/>
        <v>94.463826728431798</v>
      </c>
      <c r="L31" s="484"/>
    </row>
    <row r="32" spans="1:12" s="22" customFormat="1" ht="19.5" customHeight="1" x14ac:dyDescent="0.25">
      <c r="A32" s="1694"/>
      <c r="B32" s="1694"/>
      <c r="C32" s="1698"/>
      <c r="D32" s="1685">
        <v>6712</v>
      </c>
      <c r="E32" s="1679" t="s">
        <v>143</v>
      </c>
      <c r="F32" s="1740">
        <f>'izvršenje I-XII 2023'!C24</f>
        <v>168031.77782201872</v>
      </c>
      <c r="G32" s="1740">
        <f>'izvršenje I-XII 2023'!D24</f>
        <v>148147</v>
      </c>
      <c r="H32" s="1737">
        <f t="shared" si="0"/>
        <v>148147</v>
      </c>
      <c r="I32" s="1810">
        <f>'izvršenje I-XII 2023'!E24</f>
        <v>168716.50999999998</v>
      </c>
      <c r="J32" s="1819">
        <f t="shared" si="2"/>
        <v>100.40750159693397</v>
      </c>
      <c r="K32" s="1820">
        <f t="shared" si="3"/>
        <v>113.88452685508312</v>
      </c>
      <c r="L32" s="484"/>
    </row>
    <row r="33" spans="1:12" s="22" customFormat="1" ht="19.5" customHeight="1" thickBot="1" x14ac:dyDescent="0.3">
      <c r="A33" s="1711"/>
      <c r="B33" s="1711"/>
      <c r="C33" s="1700"/>
      <c r="D33" s="1712">
        <v>6714</v>
      </c>
      <c r="E33" s="1713" t="s">
        <v>263</v>
      </c>
      <c r="F33" s="1741">
        <f>'izvršenje I-XII 2023'!C25</f>
        <v>0</v>
      </c>
      <c r="G33" s="1741">
        <f>'izvršenje I-XII 2023'!D25</f>
        <v>0</v>
      </c>
      <c r="H33" s="1739">
        <f t="shared" si="0"/>
        <v>0</v>
      </c>
      <c r="I33" s="1810">
        <f>'izvršenje I-XII 2023'!E25</f>
        <v>0</v>
      </c>
      <c r="J33" s="1819" t="e">
        <f t="shared" si="2"/>
        <v>#DIV/0!</v>
      </c>
      <c r="K33" s="1820" t="e">
        <f t="shared" si="3"/>
        <v>#DIV/0!</v>
      </c>
      <c r="L33" s="484"/>
    </row>
    <row r="34" spans="1:12" s="22" customFormat="1" ht="19.5" customHeight="1" thickBot="1" x14ac:dyDescent="0.3">
      <c r="A34" s="1716"/>
      <c r="B34" s="1717">
        <v>68</v>
      </c>
      <c r="C34" s="1717"/>
      <c r="D34" s="1717"/>
      <c r="E34" s="1724" t="s">
        <v>4</v>
      </c>
      <c r="F34" s="1732">
        <f>F35</f>
        <v>8170.9429955537853</v>
      </c>
      <c r="G34" s="1732">
        <f>G35</f>
        <v>12476</v>
      </c>
      <c r="H34" s="1730">
        <f t="shared" si="0"/>
        <v>12476</v>
      </c>
      <c r="I34" s="1805">
        <f>I35</f>
        <v>5607.03</v>
      </c>
      <c r="J34" s="1819">
        <f t="shared" si="2"/>
        <v>68.621577742630961</v>
      </c>
      <c r="K34" s="1820">
        <f t="shared" si="3"/>
        <v>44.942529656941325</v>
      </c>
      <c r="L34" s="484"/>
    </row>
    <row r="35" spans="1:12" s="22" customFormat="1" ht="19.5" customHeight="1" x14ac:dyDescent="0.25">
      <c r="A35" s="1707"/>
      <c r="B35" s="1707"/>
      <c r="C35" s="1707">
        <v>683</v>
      </c>
      <c r="D35" s="1707"/>
      <c r="E35" s="1723" t="s">
        <v>4</v>
      </c>
      <c r="F35" s="1733">
        <f>F36</f>
        <v>8170.9429955537853</v>
      </c>
      <c r="G35" s="1733">
        <f>G36</f>
        <v>12476</v>
      </c>
      <c r="H35" s="1734">
        <f t="shared" si="0"/>
        <v>12476</v>
      </c>
      <c r="I35" s="1806">
        <f>I36</f>
        <v>5607.03</v>
      </c>
      <c r="J35" s="1819">
        <f t="shared" si="2"/>
        <v>68.621577742630961</v>
      </c>
      <c r="K35" s="1820">
        <f t="shared" si="3"/>
        <v>44.942529656941325</v>
      </c>
      <c r="L35" s="484"/>
    </row>
    <row r="36" spans="1:12" s="22" customFormat="1" ht="19.5" customHeight="1" x14ac:dyDescent="0.25">
      <c r="A36" s="1694"/>
      <c r="B36" s="1694"/>
      <c r="C36" s="1694"/>
      <c r="D36" s="1694">
        <v>6831</v>
      </c>
      <c r="E36" s="1678" t="s">
        <v>4</v>
      </c>
      <c r="F36" s="1736">
        <f>'izvršenje I-XII 2023'!C27</f>
        <v>8170.9429955537853</v>
      </c>
      <c r="G36" s="1736">
        <f>'izvršenje I-XII 2023'!D27</f>
        <v>12476</v>
      </c>
      <c r="H36" s="1737">
        <f t="shared" si="0"/>
        <v>12476</v>
      </c>
      <c r="I36" s="1807">
        <f>'izvršenje I-XII 2023'!E27</f>
        <v>5607.03</v>
      </c>
      <c r="J36" s="1819">
        <f t="shared" si="2"/>
        <v>68.621577742630961</v>
      </c>
      <c r="K36" s="1820">
        <f t="shared" si="3"/>
        <v>44.942529656941325</v>
      </c>
      <c r="L36" s="484"/>
    </row>
    <row r="37" spans="1:12" s="22" customFormat="1" ht="19.5" customHeight="1" thickBot="1" x14ac:dyDescent="0.3">
      <c r="A37" s="1711"/>
      <c r="B37" s="1711"/>
      <c r="C37" s="1744"/>
      <c r="D37" s="1711"/>
      <c r="E37" s="1745"/>
      <c r="F37" s="1728"/>
      <c r="G37" s="1728"/>
      <c r="H37" s="1739"/>
      <c r="I37" s="1809"/>
      <c r="J37" s="1819"/>
      <c r="K37" s="1820"/>
      <c r="L37" s="484"/>
    </row>
    <row r="38" spans="1:12" s="22" customFormat="1" ht="19.5" customHeight="1" thickBot="1" x14ac:dyDescent="0.3">
      <c r="A38" s="1716"/>
      <c r="B38" s="1717"/>
      <c r="C38" s="1765">
        <v>844</v>
      </c>
      <c r="D38" s="1766" t="s">
        <v>251</v>
      </c>
      <c r="E38" s="1717"/>
      <c r="F38" s="1732">
        <f>F39+F40</f>
        <v>0</v>
      </c>
      <c r="G38" s="1732">
        <f>G39+G40</f>
        <v>1459951</v>
      </c>
      <c r="H38" s="1730">
        <f t="shared" si="0"/>
        <v>1459951</v>
      </c>
      <c r="I38" s="1805">
        <f>I39+I40</f>
        <v>1634992.86</v>
      </c>
      <c r="J38" s="1819" t="e">
        <f t="shared" si="2"/>
        <v>#DIV/0!</v>
      </c>
      <c r="K38" s="1820">
        <f t="shared" si="3"/>
        <v>111.98957088285842</v>
      </c>
      <c r="L38" s="484"/>
    </row>
    <row r="39" spans="1:12" s="22" customFormat="1" ht="19.5" customHeight="1" x14ac:dyDescent="0.25">
      <c r="A39" s="1767"/>
      <c r="B39" s="1768"/>
      <c r="C39" s="1769"/>
      <c r="D39" s="1768">
        <v>844320</v>
      </c>
      <c r="E39" s="1769" t="s">
        <v>259</v>
      </c>
      <c r="F39" s="1748">
        <f>'izvršenje I-XII 2023'!C31</f>
        <v>0</v>
      </c>
      <c r="G39" s="1748">
        <f>'izvršenje I-XII 2023'!D31</f>
        <v>1459951</v>
      </c>
      <c r="H39" s="1770">
        <f t="shared" si="0"/>
        <v>1459951</v>
      </c>
      <c r="I39" s="1811">
        <f>'izvršenje I-XII 2023'!E31</f>
        <v>1459950.8900000001</v>
      </c>
      <c r="J39" s="1819" t="e">
        <f t="shared" si="2"/>
        <v>#DIV/0!</v>
      </c>
      <c r="K39" s="1820">
        <f t="shared" si="3"/>
        <v>99.999992465500569</v>
      </c>
      <c r="L39" s="484"/>
    </row>
    <row r="40" spans="1:12" s="22" customFormat="1" ht="19.5" customHeight="1" thickBot="1" x14ac:dyDescent="0.3">
      <c r="A40" s="1750"/>
      <c r="B40" s="1751"/>
      <c r="C40" s="1752"/>
      <c r="D40" s="1751">
        <v>847210</v>
      </c>
      <c r="E40" s="1752" t="s">
        <v>416</v>
      </c>
      <c r="F40" s="1753">
        <f>'izvršenje I-XII 2023'!C32</f>
        <v>0</v>
      </c>
      <c r="G40" s="1753">
        <f>'izvršenje I-XII 2023'!D32</f>
        <v>0</v>
      </c>
      <c r="H40" s="1771">
        <f t="shared" si="0"/>
        <v>0</v>
      </c>
      <c r="I40" s="1812">
        <f>'izvršenje I-XII 2023'!E32</f>
        <v>175041.97</v>
      </c>
      <c r="J40" s="1819" t="e">
        <f t="shared" si="2"/>
        <v>#DIV/0!</v>
      </c>
      <c r="K40" s="1820" t="e">
        <f t="shared" si="3"/>
        <v>#DIV/0!</v>
      </c>
      <c r="L40" s="484"/>
    </row>
    <row r="41" spans="1:12" s="22" customFormat="1" ht="19.5" customHeight="1" thickBot="1" x14ac:dyDescent="0.3">
      <c r="A41" s="1756"/>
      <c r="B41" s="1757"/>
      <c r="C41" s="1758"/>
      <c r="D41" s="1759"/>
      <c r="E41" s="1760"/>
      <c r="F41" s="1761"/>
      <c r="G41" s="1761"/>
      <c r="H41" s="1761"/>
      <c r="I41" s="1813"/>
      <c r="J41" s="1819" t="e">
        <f t="shared" si="2"/>
        <v>#DIV/0!</v>
      </c>
      <c r="K41" s="1820" t="e">
        <f t="shared" si="3"/>
        <v>#DIV/0!</v>
      </c>
      <c r="L41" s="484"/>
    </row>
    <row r="42" spans="1:12" s="22" customFormat="1" ht="19.5" customHeight="1" thickBot="1" x14ac:dyDescent="0.3">
      <c r="A42" s="1762"/>
      <c r="B42" s="1763"/>
      <c r="C42" s="1763">
        <v>922110</v>
      </c>
      <c r="D42" s="1764" t="s">
        <v>146</v>
      </c>
      <c r="E42" s="1724"/>
      <c r="F42" s="1732">
        <f>'izvršenje I-XII 2023'!C34</f>
        <v>0</v>
      </c>
      <c r="G42" s="1732">
        <f>'izvršenje I-XII 2023'!D34</f>
        <v>17292</v>
      </c>
      <c r="H42" s="1732"/>
      <c r="I42" s="1814"/>
      <c r="J42" s="1821" t="e">
        <f t="shared" si="2"/>
        <v>#DIV/0!</v>
      </c>
      <c r="K42" s="1755" t="e">
        <f t="shared" si="3"/>
        <v>#DIV/0!</v>
      </c>
      <c r="L42" s="484"/>
    </row>
    <row r="43" spans="1:12" s="23" customFormat="1" ht="19.5" customHeight="1" x14ac:dyDescent="0.25">
      <c r="A43" s="1798"/>
      <c r="B43" s="1798"/>
      <c r="C43" s="1798"/>
      <c r="D43" s="1798"/>
      <c r="E43" s="1799"/>
      <c r="F43" s="610"/>
      <c r="G43" s="610"/>
      <c r="H43" s="610"/>
      <c r="I43" s="610"/>
      <c r="J43" s="610"/>
      <c r="K43" s="610"/>
      <c r="L43" s="610"/>
    </row>
    <row r="44" spans="1:12" s="23" customFormat="1" ht="19.5" customHeight="1" thickBot="1" x14ac:dyDescent="0.3">
      <c r="A44" s="1691"/>
      <c r="B44" s="1691"/>
      <c r="C44" s="1691"/>
      <c r="D44" s="1691"/>
      <c r="E44" s="1676"/>
      <c r="F44" s="1725"/>
      <c r="G44" s="1725"/>
      <c r="H44" s="1725"/>
      <c r="I44" s="440"/>
      <c r="J44" s="610"/>
      <c r="K44" s="610"/>
      <c r="L44" s="610"/>
    </row>
    <row r="45" spans="1:12" s="22" customFormat="1" ht="39.75" customHeight="1" thickBot="1" x14ac:dyDescent="0.3">
      <c r="A45" s="1976" t="s">
        <v>285</v>
      </c>
      <c r="B45" s="1977"/>
      <c r="C45" s="1977"/>
      <c r="D45" s="1977"/>
      <c r="E45" s="1978"/>
      <c r="F45" s="1801" t="s">
        <v>341</v>
      </c>
      <c r="G45" s="1801" t="s">
        <v>286</v>
      </c>
      <c r="H45" s="1801" t="s">
        <v>287</v>
      </c>
      <c r="I45" s="1822" t="s">
        <v>342</v>
      </c>
      <c r="J45" s="1815" t="s">
        <v>136</v>
      </c>
      <c r="K45" s="1816" t="s">
        <v>288</v>
      </c>
      <c r="L45" s="484"/>
    </row>
    <row r="46" spans="1:12" s="22" customFormat="1" ht="19.5" customHeight="1" thickBot="1" x14ac:dyDescent="0.3">
      <c r="A46" s="1967">
        <v>1</v>
      </c>
      <c r="B46" s="1968"/>
      <c r="C46" s="1968"/>
      <c r="D46" s="1968"/>
      <c r="E46" s="1969"/>
      <c r="F46" s="1800">
        <v>2</v>
      </c>
      <c r="G46" s="1800">
        <v>3</v>
      </c>
      <c r="H46" s="1800">
        <v>4</v>
      </c>
      <c r="I46" s="1823">
        <v>5</v>
      </c>
      <c r="J46" s="1817" t="s">
        <v>289</v>
      </c>
      <c r="K46" s="1818" t="s">
        <v>290</v>
      </c>
      <c r="L46" s="484"/>
    </row>
    <row r="47" spans="1:12" s="22" customFormat="1" ht="19.5" customHeight="1" thickBot="1" x14ac:dyDescent="0.3">
      <c r="A47" s="1704"/>
      <c r="B47" s="1705"/>
      <c r="C47" s="1772"/>
      <c r="D47" s="1705"/>
      <c r="E47" s="1706" t="s">
        <v>318</v>
      </c>
      <c r="F47" s="1732">
        <f>F48+F114</f>
        <v>4225007.2241024617</v>
      </c>
      <c r="G47" s="1732">
        <f>G48+G114+G133</f>
        <v>5074649</v>
      </c>
      <c r="H47" s="1730">
        <f t="shared" ref="H47:H110" si="4">G47*12/12</f>
        <v>5074649</v>
      </c>
      <c r="I47" s="1805">
        <f>I48+I114</f>
        <v>4387882.2100000009</v>
      </c>
      <c r="J47" s="1819">
        <f t="shared" si="2"/>
        <v>103.85502266051485</v>
      </c>
      <c r="K47" s="1820">
        <f t="shared" si="3"/>
        <v>86.466713461364549</v>
      </c>
      <c r="L47" s="484"/>
    </row>
    <row r="48" spans="1:12" s="22" customFormat="1" ht="19.5" customHeight="1" thickBot="1" x14ac:dyDescent="0.3">
      <c r="A48" s="1704">
        <v>3</v>
      </c>
      <c r="B48" s="1705"/>
      <c r="C48" s="1772"/>
      <c r="D48" s="1705"/>
      <c r="E48" s="1706" t="s">
        <v>319</v>
      </c>
      <c r="F48" s="1732">
        <f>F49+F57+F89+F96+F99+F104+F108</f>
        <v>2045151.1341163982</v>
      </c>
      <c r="G48" s="1732">
        <f>G49+G57+G89+G96+G99+G104+G108</f>
        <v>3007188</v>
      </c>
      <c r="H48" s="1730">
        <f t="shared" si="4"/>
        <v>3007188</v>
      </c>
      <c r="I48" s="1805">
        <f>I49+I57+I89+I96+I99+I104+I108</f>
        <v>2424596.4600000004</v>
      </c>
      <c r="J48" s="1819">
        <f t="shared" si="2"/>
        <v>118.55341248643418</v>
      </c>
      <c r="K48" s="1820">
        <f t="shared" si="3"/>
        <v>80.626700425779845</v>
      </c>
      <c r="L48" s="484"/>
    </row>
    <row r="49" spans="1:12" s="22" customFormat="1" ht="19.5" customHeight="1" thickBot="1" x14ac:dyDescent="0.3">
      <c r="A49" s="1704"/>
      <c r="B49" s="1709">
        <v>31</v>
      </c>
      <c r="C49" s="1775"/>
      <c r="D49" s="1709"/>
      <c r="E49" s="1710" t="s">
        <v>26</v>
      </c>
      <c r="F49" s="1732">
        <f>F50+F53+F55</f>
        <v>1060885.3792554252</v>
      </c>
      <c r="G49" s="1732">
        <f>G50+G53+G55</f>
        <v>1338460</v>
      </c>
      <c r="H49" s="1730">
        <f t="shared" si="4"/>
        <v>1338460</v>
      </c>
      <c r="I49" s="1805">
        <f>I50+I53+I55</f>
        <v>1257321.0700000003</v>
      </c>
      <c r="J49" s="1819">
        <f t="shared" si="2"/>
        <v>118.51620303057075</v>
      </c>
      <c r="K49" s="1820">
        <f t="shared" si="3"/>
        <v>93.937889066539185</v>
      </c>
      <c r="L49" s="484"/>
    </row>
    <row r="50" spans="1:12" s="22" customFormat="1" ht="19.5" customHeight="1" x14ac:dyDescent="0.25">
      <c r="A50" s="1707"/>
      <c r="B50" s="1707"/>
      <c r="C50" s="1773">
        <v>311</v>
      </c>
      <c r="D50" s="1707"/>
      <c r="E50" s="1774" t="s">
        <v>494</v>
      </c>
      <c r="F50" s="1733">
        <f>F51+F52</f>
        <v>877153.42225761502</v>
      </c>
      <c r="G50" s="1733">
        <f>'izvršenje I-XII 2023'!D40</f>
        <v>1103550</v>
      </c>
      <c r="H50" s="1734">
        <f t="shared" si="4"/>
        <v>1103550</v>
      </c>
      <c r="I50" s="1806">
        <f>I51+I52</f>
        <v>1042185.8200000003</v>
      </c>
      <c r="J50" s="1819">
        <f t="shared" si="2"/>
        <v>118.8145418526243</v>
      </c>
      <c r="K50" s="1820">
        <f t="shared" si="3"/>
        <v>94.439383806805338</v>
      </c>
      <c r="L50" s="484"/>
    </row>
    <row r="51" spans="1:12" s="22" customFormat="1" ht="19.5" customHeight="1" x14ac:dyDescent="0.25">
      <c r="A51" s="1694"/>
      <c r="B51" s="1694"/>
      <c r="C51" s="1695"/>
      <c r="D51" s="1694">
        <v>3111</v>
      </c>
      <c r="E51" s="1681" t="s">
        <v>493</v>
      </c>
      <c r="F51" s="1736">
        <f>'izvršenje I-XII 2023'!C37+'izvršenje I-XII 2023'!C38</f>
        <v>852086.34415024228</v>
      </c>
      <c r="G51" s="1736"/>
      <c r="H51" s="1737">
        <f t="shared" si="4"/>
        <v>0</v>
      </c>
      <c r="I51" s="1808">
        <f>'izvršenje I-XII 2023'!E37+'izvršenje I-XII 2023'!E38</f>
        <v>1005493.8200000003</v>
      </c>
      <c r="J51" s="1819">
        <f t="shared" si="2"/>
        <v>118.00374773084133</v>
      </c>
      <c r="K51" s="1820" t="e">
        <f t="shared" si="3"/>
        <v>#DIV/0!</v>
      </c>
      <c r="L51" s="484"/>
    </row>
    <row r="52" spans="1:12" s="22" customFormat="1" ht="19.5" customHeight="1" x14ac:dyDescent="0.25">
      <c r="A52" s="1694"/>
      <c r="B52" s="1694"/>
      <c r="C52" s="1698"/>
      <c r="D52" s="1685">
        <v>3113</v>
      </c>
      <c r="E52" s="1679" t="s">
        <v>16</v>
      </c>
      <c r="F52" s="1736">
        <f>'izvršenje I-XII 2023'!C39</f>
        <v>25067.078107372748</v>
      </c>
      <c r="G52" s="1736"/>
      <c r="H52" s="1737">
        <f t="shared" si="4"/>
        <v>0</v>
      </c>
      <c r="I52" s="1807">
        <f>'izvršenje I-XII 2023'!E39</f>
        <v>36692</v>
      </c>
      <c r="J52" s="1819">
        <f t="shared" si="2"/>
        <v>146.37525699179164</v>
      </c>
      <c r="K52" s="1820" t="e">
        <f t="shared" si="3"/>
        <v>#DIV/0!</v>
      </c>
      <c r="L52" s="484"/>
    </row>
    <row r="53" spans="1:12" s="22" customFormat="1" ht="19.5" customHeight="1" x14ac:dyDescent="0.25">
      <c r="A53" s="1694"/>
      <c r="B53" s="1694"/>
      <c r="C53" s="1695">
        <v>312</v>
      </c>
      <c r="D53" s="1694"/>
      <c r="E53" s="1678" t="s">
        <v>492</v>
      </c>
      <c r="F53" s="1736">
        <f>F54</f>
        <v>42429.027805428363</v>
      </c>
      <c r="G53" s="1736">
        <f>'izvršenje I-XII 2023'!D46</f>
        <v>53500</v>
      </c>
      <c r="H53" s="1737">
        <f t="shared" si="4"/>
        <v>53500</v>
      </c>
      <c r="I53" s="1808">
        <f>I54</f>
        <v>48000.87</v>
      </c>
      <c r="J53" s="1819">
        <f t="shared" si="2"/>
        <v>113.13214674661667</v>
      </c>
      <c r="K53" s="1820">
        <f t="shared" si="3"/>
        <v>89.7212523364486</v>
      </c>
      <c r="L53" s="484"/>
    </row>
    <row r="54" spans="1:12" s="22" customFormat="1" ht="19.5" customHeight="1" x14ac:dyDescent="0.25">
      <c r="A54" s="1694"/>
      <c r="B54" s="1697"/>
      <c r="C54" s="1695"/>
      <c r="D54" s="1685">
        <v>3121</v>
      </c>
      <c r="E54" s="1679" t="s">
        <v>491</v>
      </c>
      <c r="F54" s="1736">
        <f>'izvršenje I-XII 2023'!C46</f>
        <v>42429.027805428363</v>
      </c>
      <c r="G54" s="1736"/>
      <c r="H54" s="1737">
        <f t="shared" si="4"/>
        <v>0</v>
      </c>
      <c r="I54" s="1807">
        <f>'izvršenje I-XII 2023'!E46</f>
        <v>48000.87</v>
      </c>
      <c r="J54" s="1819">
        <f t="shared" si="2"/>
        <v>113.13214674661667</v>
      </c>
      <c r="K54" s="1820" t="e">
        <f t="shared" si="3"/>
        <v>#DIV/0!</v>
      </c>
      <c r="L54" s="484"/>
    </row>
    <row r="55" spans="1:12" s="22" customFormat="1" ht="19.5" customHeight="1" x14ac:dyDescent="0.25">
      <c r="A55" s="1694"/>
      <c r="B55" s="1697"/>
      <c r="C55" s="1695">
        <v>313</v>
      </c>
      <c r="D55" s="1685"/>
      <c r="E55" s="1678" t="s">
        <v>25</v>
      </c>
      <c r="F55" s="1736">
        <f>F56</f>
        <v>141302.92919238171</v>
      </c>
      <c r="G55" s="1736">
        <f>'izvršenje I-XII 2023'!D50</f>
        <v>181410</v>
      </c>
      <c r="H55" s="1737">
        <f t="shared" si="4"/>
        <v>181410</v>
      </c>
      <c r="I55" s="1808">
        <f>I56</f>
        <v>167134.38</v>
      </c>
      <c r="J55" s="1819">
        <f t="shared" si="2"/>
        <v>118.28090256533123</v>
      </c>
      <c r="K55" s="1820">
        <f t="shared" si="3"/>
        <v>92.130742516950562</v>
      </c>
      <c r="L55" s="484"/>
    </row>
    <row r="56" spans="1:12" s="22" customFormat="1" ht="19.5" customHeight="1" thickBot="1" x14ac:dyDescent="0.3">
      <c r="A56" s="1711"/>
      <c r="B56" s="1721"/>
      <c r="C56" s="1700"/>
      <c r="D56" s="1712">
        <v>3132</v>
      </c>
      <c r="E56" s="1713" t="s">
        <v>490</v>
      </c>
      <c r="F56" s="1728">
        <f>'izvršenje I-XII 2023'!C50</f>
        <v>141302.92919238171</v>
      </c>
      <c r="G56" s="1728"/>
      <c r="H56" s="1739">
        <f t="shared" si="4"/>
        <v>0</v>
      </c>
      <c r="I56" s="1809">
        <f>'izvršenje I-XII 2023'!E50</f>
        <v>167134.38</v>
      </c>
      <c r="J56" s="1819">
        <f t="shared" si="2"/>
        <v>118.28090256533123</v>
      </c>
      <c r="K56" s="1820" t="e">
        <f t="shared" si="3"/>
        <v>#DIV/0!</v>
      </c>
      <c r="L56" s="484"/>
    </row>
    <row r="57" spans="1:12" s="22" customFormat="1" ht="19.5" customHeight="1" thickBot="1" x14ac:dyDescent="0.3">
      <c r="A57" s="1716"/>
      <c r="B57" s="1722">
        <v>32</v>
      </c>
      <c r="C57" s="1777"/>
      <c r="D57" s="1778"/>
      <c r="E57" s="1779" t="s">
        <v>489</v>
      </c>
      <c r="F57" s="1732">
        <f>F58+F63+F70+F80+F82</f>
        <v>403111.3146194173</v>
      </c>
      <c r="G57" s="1732">
        <f>G58+G63+G70+G80+G82</f>
        <v>845955</v>
      </c>
      <c r="H57" s="1730">
        <f t="shared" si="4"/>
        <v>845955</v>
      </c>
      <c r="I57" s="1805">
        <f>I58+I63+I70+I80+I82</f>
        <v>762452.40999999992</v>
      </c>
      <c r="J57" s="1819">
        <f t="shared" si="2"/>
        <v>189.14190258336987</v>
      </c>
      <c r="K57" s="1820">
        <f t="shared" si="3"/>
        <v>90.129192451135097</v>
      </c>
      <c r="L57" s="484"/>
    </row>
    <row r="58" spans="1:12" s="22" customFormat="1" ht="19.5" customHeight="1" x14ac:dyDescent="0.25">
      <c r="A58" s="1707"/>
      <c r="B58" s="1714"/>
      <c r="C58" s="1773">
        <v>321</v>
      </c>
      <c r="D58" s="1776"/>
      <c r="E58" s="1708" t="s">
        <v>30</v>
      </c>
      <c r="F58" s="1733">
        <f>F59+F60+F61+F62</f>
        <v>79580.540181830249</v>
      </c>
      <c r="G58" s="1733">
        <f>'izvršenje I-XII 2023'!D66</f>
        <v>351318</v>
      </c>
      <c r="H58" s="1734">
        <f t="shared" si="4"/>
        <v>351318</v>
      </c>
      <c r="I58" s="1806">
        <f>I59+I60+I61+I62</f>
        <v>316804.62999999989</v>
      </c>
      <c r="J58" s="1819">
        <f t="shared" si="2"/>
        <v>398.09308817978143</v>
      </c>
      <c r="K58" s="1820">
        <f t="shared" si="3"/>
        <v>90.176031401749952</v>
      </c>
      <c r="L58" s="484"/>
    </row>
    <row r="59" spans="1:12" s="22" customFormat="1" ht="19.5" customHeight="1" x14ac:dyDescent="0.25">
      <c r="A59" s="1694"/>
      <c r="B59" s="1697"/>
      <c r="C59" s="1695"/>
      <c r="D59" s="1694">
        <v>3211</v>
      </c>
      <c r="E59" s="1682" t="s">
        <v>488</v>
      </c>
      <c r="F59" s="1742">
        <f>'izvršenje I-XII 2023'!C57</f>
        <v>29198.510850089588</v>
      </c>
      <c r="G59" s="1736"/>
      <c r="H59" s="1737">
        <f t="shared" si="4"/>
        <v>0</v>
      </c>
      <c r="I59" s="1807">
        <f>'izvršenje I-XII 2023'!E57</f>
        <v>173935.22999999998</v>
      </c>
      <c r="J59" s="1819">
        <f t="shared" si="2"/>
        <v>595.69897551630208</v>
      </c>
      <c r="K59" s="1820" t="e">
        <f t="shared" si="3"/>
        <v>#DIV/0!</v>
      </c>
      <c r="L59" s="484"/>
    </row>
    <row r="60" spans="1:12" s="22" customFormat="1" ht="19.5" customHeight="1" x14ac:dyDescent="0.25">
      <c r="A60" s="1694"/>
      <c r="B60" s="1697"/>
      <c r="C60" s="1695"/>
      <c r="D60" s="1694">
        <v>3212</v>
      </c>
      <c r="E60" s="1679" t="s">
        <v>31</v>
      </c>
      <c r="F60" s="1736">
        <f>'izvršenje I-XII 2023'!C59</f>
        <v>25844.063972393655</v>
      </c>
      <c r="G60" s="1736"/>
      <c r="H60" s="1737">
        <f t="shared" si="4"/>
        <v>0</v>
      </c>
      <c r="I60" s="1807">
        <f>'izvršenje I-XII 2023'!E59</f>
        <v>25197.459999999995</v>
      </c>
      <c r="J60" s="1819">
        <f t="shared" si="2"/>
        <v>97.498056137438923</v>
      </c>
      <c r="K60" s="1820" t="e">
        <f t="shared" si="3"/>
        <v>#DIV/0!</v>
      </c>
      <c r="L60" s="484"/>
    </row>
    <row r="61" spans="1:12" s="22" customFormat="1" ht="19.5" customHeight="1" x14ac:dyDescent="0.25">
      <c r="A61" s="1694"/>
      <c r="B61" s="1697"/>
      <c r="C61" s="1695"/>
      <c r="D61" s="1694">
        <v>3213</v>
      </c>
      <c r="E61" s="1678" t="s">
        <v>35</v>
      </c>
      <c r="F61" s="1736">
        <f>'izvršenje I-XII 2023'!C62</f>
        <v>21420.100869334397</v>
      </c>
      <c r="G61" s="1736"/>
      <c r="H61" s="1737">
        <f t="shared" si="4"/>
        <v>0</v>
      </c>
      <c r="I61" s="1807">
        <f>'izvršenje I-XII 2023'!E62</f>
        <v>117275.4399999999</v>
      </c>
      <c r="J61" s="1819">
        <f t="shared" si="2"/>
        <v>547.50181017071975</v>
      </c>
      <c r="K61" s="1820" t="e">
        <f t="shared" si="3"/>
        <v>#DIV/0!</v>
      </c>
      <c r="L61" s="484"/>
    </row>
    <row r="62" spans="1:12" s="22" customFormat="1" ht="19.5" customHeight="1" x14ac:dyDescent="0.25">
      <c r="A62" s="1694"/>
      <c r="B62" s="1697"/>
      <c r="C62" s="1695"/>
      <c r="D62" s="1686">
        <v>3214</v>
      </c>
      <c r="E62" s="1678" t="s">
        <v>36</v>
      </c>
      <c r="F62" s="1736">
        <f>'izvršenje I-XII 2023'!C65</f>
        <v>3117.8644900126087</v>
      </c>
      <c r="G62" s="1736"/>
      <c r="H62" s="1737">
        <f t="shared" si="4"/>
        <v>0</v>
      </c>
      <c r="I62" s="1807">
        <f>'izvršenje I-XII 2023'!E65</f>
        <v>396.5</v>
      </c>
      <c r="J62" s="1819">
        <f t="shared" si="2"/>
        <v>12.717037615653288</v>
      </c>
      <c r="K62" s="1820" t="e">
        <f t="shared" si="3"/>
        <v>#DIV/0!</v>
      </c>
      <c r="L62" s="484"/>
    </row>
    <row r="63" spans="1:12" s="22" customFormat="1" ht="19.5" customHeight="1" x14ac:dyDescent="0.25">
      <c r="A63" s="1694"/>
      <c r="B63" s="1697"/>
      <c r="C63" s="1695">
        <v>322</v>
      </c>
      <c r="D63" s="1694"/>
      <c r="E63" s="1678" t="s">
        <v>53</v>
      </c>
      <c r="F63" s="1736">
        <f>F64+F65+F66+F67+F68+F69</f>
        <v>44240.626451655706</v>
      </c>
      <c r="G63" s="1736">
        <f>'izvršenje I-XII 2023'!D87</f>
        <v>75160</v>
      </c>
      <c r="H63" s="1737">
        <f t="shared" si="4"/>
        <v>75160</v>
      </c>
      <c r="I63" s="1808">
        <f>I64+I65+I66+I67+I68+I69</f>
        <v>67536.990000000005</v>
      </c>
      <c r="J63" s="1819">
        <f t="shared" si="2"/>
        <v>152.65830395462774</v>
      </c>
      <c r="K63" s="1820">
        <f t="shared" si="3"/>
        <v>89.857623736029808</v>
      </c>
      <c r="L63" s="484"/>
    </row>
    <row r="64" spans="1:12" s="22" customFormat="1" ht="19.5" customHeight="1" x14ac:dyDescent="0.25">
      <c r="A64" s="1694"/>
      <c r="B64" s="1697"/>
      <c r="C64" s="1695"/>
      <c r="D64" s="1694">
        <v>3221</v>
      </c>
      <c r="E64" s="1678" t="s">
        <v>43</v>
      </c>
      <c r="F64" s="1736">
        <f>'izvršenje I-XII 2023'!C72</f>
        <v>20254.489348994623</v>
      </c>
      <c r="G64" s="1736"/>
      <c r="H64" s="1737">
        <f t="shared" si="4"/>
        <v>0</v>
      </c>
      <c r="I64" s="1807">
        <f>'izvršenje I-XII 2023'!E72</f>
        <v>26324.639999999999</v>
      </c>
      <c r="J64" s="1819">
        <f t="shared" si="2"/>
        <v>129.96940849218043</v>
      </c>
      <c r="K64" s="1820" t="e">
        <f t="shared" si="3"/>
        <v>#DIV/0!</v>
      </c>
      <c r="L64" s="484"/>
    </row>
    <row r="65" spans="1:12" s="22" customFormat="1" ht="19.5" customHeight="1" x14ac:dyDescent="0.25">
      <c r="A65" s="1694"/>
      <c r="B65" s="1697"/>
      <c r="C65" s="1695"/>
      <c r="D65" s="1694">
        <v>3222</v>
      </c>
      <c r="E65" s="1678" t="s">
        <v>148</v>
      </c>
      <c r="F65" s="1736">
        <f>'izvršenje I-XII 2023'!C75</f>
        <v>256.15502024022828</v>
      </c>
      <c r="G65" s="1736"/>
      <c r="H65" s="1737">
        <f t="shared" si="4"/>
        <v>0</v>
      </c>
      <c r="I65" s="1807">
        <f>'izvršenje I-XII 2023'!E75</f>
        <v>19.13</v>
      </c>
      <c r="J65" s="1819">
        <f t="shared" si="2"/>
        <v>7.4681339378238345</v>
      </c>
      <c r="K65" s="1820" t="e">
        <f t="shared" si="3"/>
        <v>#DIV/0!</v>
      </c>
      <c r="L65" s="484"/>
    </row>
    <row r="66" spans="1:12" s="22" customFormat="1" ht="19.5" customHeight="1" x14ac:dyDescent="0.25">
      <c r="A66" s="1694"/>
      <c r="B66" s="1697"/>
      <c r="C66" s="1695"/>
      <c r="D66" s="1694">
        <v>3223</v>
      </c>
      <c r="E66" s="1678" t="s">
        <v>47</v>
      </c>
      <c r="F66" s="1736">
        <f>'izvršenje I-XII 2023'!C79</f>
        <v>13980.768465060719</v>
      </c>
      <c r="G66" s="1736"/>
      <c r="H66" s="1737">
        <f t="shared" si="4"/>
        <v>0</v>
      </c>
      <c r="I66" s="1807">
        <f>'izvršenje I-XII 2023'!E79</f>
        <v>30939.219999999998</v>
      </c>
      <c r="J66" s="1819">
        <f t="shared" si="2"/>
        <v>221.29842202394005</v>
      </c>
      <c r="K66" s="1820" t="e">
        <f t="shared" si="3"/>
        <v>#DIV/0!</v>
      </c>
      <c r="L66" s="484"/>
    </row>
    <row r="67" spans="1:12" s="22" customFormat="1" ht="19.5" customHeight="1" x14ac:dyDescent="0.25">
      <c r="A67" s="1694"/>
      <c r="B67" s="1697"/>
      <c r="C67" s="1695"/>
      <c r="D67" s="1686">
        <v>3224</v>
      </c>
      <c r="E67" s="1678" t="s">
        <v>49</v>
      </c>
      <c r="F67" s="1736">
        <f>'izvršenje I-XII 2023'!C82</f>
        <v>6335.8524122370427</v>
      </c>
      <c r="G67" s="1736"/>
      <c r="H67" s="1737">
        <f t="shared" si="4"/>
        <v>0</v>
      </c>
      <c r="I67" s="1807">
        <f>'izvršenje I-XII 2023'!E82</f>
        <v>7698.72</v>
      </c>
      <c r="J67" s="1819">
        <f t="shared" si="2"/>
        <v>121.51040616304003</v>
      </c>
      <c r="K67" s="1820" t="e">
        <f t="shared" si="3"/>
        <v>#DIV/0!</v>
      </c>
      <c r="L67" s="484"/>
    </row>
    <row r="68" spans="1:12" s="22" customFormat="1" ht="19.5" customHeight="1" x14ac:dyDescent="0.25">
      <c r="A68" s="1694"/>
      <c r="B68" s="1697"/>
      <c r="C68" s="1695"/>
      <c r="D68" s="1686">
        <v>3225</v>
      </c>
      <c r="E68" s="1678" t="s">
        <v>51</v>
      </c>
      <c r="F68" s="1736">
        <f>'izvršenje I-XII 2023'!C84</f>
        <v>123.42823014134979</v>
      </c>
      <c r="G68" s="1736"/>
      <c r="H68" s="1737">
        <f t="shared" si="4"/>
        <v>0</v>
      </c>
      <c r="I68" s="1807">
        <f>'izvršenje I-XII 2023'!E84</f>
        <v>1298.4599999999998</v>
      </c>
      <c r="J68" s="1819">
        <f t="shared" si="2"/>
        <v>1051.9959643859477</v>
      </c>
      <c r="K68" s="1820" t="e">
        <f t="shared" si="3"/>
        <v>#DIV/0!</v>
      </c>
      <c r="L68" s="484"/>
    </row>
    <row r="69" spans="1:12" s="22" customFormat="1" ht="19.5" customHeight="1" x14ac:dyDescent="0.25">
      <c r="A69" s="1694"/>
      <c r="B69" s="1697"/>
      <c r="C69" s="1695"/>
      <c r="D69" s="1686">
        <v>3227</v>
      </c>
      <c r="E69" s="1678" t="s">
        <v>52</v>
      </c>
      <c r="F69" s="1736">
        <f>'izvršenje I-XII 2023'!C86</f>
        <v>3289.9329749817502</v>
      </c>
      <c r="G69" s="1736"/>
      <c r="H69" s="1737">
        <f t="shared" si="4"/>
        <v>0</v>
      </c>
      <c r="I69" s="1807">
        <f>'izvršenje I-XII 2023'!E86</f>
        <v>1256.82</v>
      </c>
      <c r="J69" s="1819">
        <f t="shared" si="2"/>
        <v>38.201994069711155</v>
      </c>
      <c r="K69" s="1820" t="e">
        <f t="shared" si="3"/>
        <v>#DIV/0!</v>
      </c>
      <c r="L69" s="484"/>
    </row>
    <row r="70" spans="1:12" s="22" customFormat="1" ht="19.5" customHeight="1" x14ac:dyDescent="0.25">
      <c r="A70" s="1694"/>
      <c r="B70" s="1697"/>
      <c r="C70" s="1695">
        <v>323</v>
      </c>
      <c r="D70" s="1694"/>
      <c r="E70" s="1678" t="s">
        <v>90</v>
      </c>
      <c r="F70" s="1736">
        <f>F71+F72+F73+F74+F75+F76+F77+F78+F79</f>
        <v>251955.22861503746</v>
      </c>
      <c r="G70" s="1736">
        <f>'izvršenje I-XII 2023'!D130</f>
        <v>281361</v>
      </c>
      <c r="H70" s="1737">
        <f t="shared" si="4"/>
        <v>281361</v>
      </c>
      <c r="I70" s="1808">
        <f>I71+I72+I73+I74+I75+I76+I77+I78+I79</f>
        <v>271036.02</v>
      </c>
      <c r="J70" s="1819">
        <f t="shared" si="2"/>
        <v>107.57308807991284</v>
      </c>
      <c r="K70" s="1820">
        <f t="shared" si="3"/>
        <v>96.33034429078657</v>
      </c>
      <c r="L70" s="484"/>
    </row>
    <row r="71" spans="1:12" s="22" customFormat="1" ht="19.5" customHeight="1" x14ac:dyDescent="0.25">
      <c r="A71" s="1694"/>
      <c r="B71" s="1697"/>
      <c r="C71" s="1695"/>
      <c r="D71" s="1686">
        <v>3231</v>
      </c>
      <c r="E71" s="1678" t="s">
        <v>150</v>
      </c>
      <c r="F71" s="1736">
        <f>'izvršenje I-XII 2023'!C92</f>
        <v>7790.2077111951685</v>
      </c>
      <c r="G71" s="1736"/>
      <c r="H71" s="1737">
        <f t="shared" si="4"/>
        <v>0</v>
      </c>
      <c r="I71" s="1807">
        <f>'izvršenje I-XII 2023'!E92</f>
        <v>49484.24</v>
      </c>
      <c r="J71" s="1819">
        <f t="shared" si="2"/>
        <v>635.21079070699329</v>
      </c>
      <c r="K71" s="1820" t="e">
        <f t="shared" si="3"/>
        <v>#DIV/0!</v>
      </c>
      <c r="L71" s="484"/>
    </row>
    <row r="72" spans="1:12" s="22" customFormat="1" ht="19.5" customHeight="1" x14ac:dyDescent="0.25">
      <c r="A72" s="1694"/>
      <c r="B72" s="1697"/>
      <c r="C72" s="1695"/>
      <c r="D72" s="1686">
        <v>3232</v>
      </c>
      <c r="E72" s="1678" t="s">
        <v>61</v>
      </c>
      <c r="F72" s="1736">
        <f>'izvršenje I-XII 2023'!C96</f>
        <v>5195.1781803702961</v>
      </c>
      <c r="G72" s="1736"/>
      <c r="H72" s="1737">
        <f t="shared" si="4"/>
        <v>0</v>
      </c>
      <c r="I72" s="1807">
        <f>'izvršenje I-XII 2023'!E96</f>
        <v>20873.239999999998</v>
      </c>
      <c r="J72" s="1819">
        <f t="shared" si="2"/>
        <v>401.78102223458711</v>
      </c>
      <c r="K72" s="1820" t="e">
        <f t="shared" si="3"/>
        <v>#DIV/0!</v>
      </c>
      <c r="L72" s="484"/>
    </row>
    <row r="73" spans="1:12" s="22" customFormat="1" ht="19.5" customHeight="1" x14ac:dyDescent="0.25">
      <c r="A73" s="1694"/>
      <c r="B73" s="1697"/>
      <c r="C73" s="1695"/>
      <c r="D73" s="1686">
        <v>3233</v>
      </c>
      <c r="E73" s="1678" t="s">
        <v>64</v>
      </c>
      <c r="F73" s="1736">
        <f>'izvršenje I-XII 2023'!C101</f>
        <v>3194.1734687105977</v>
      </c>
      <c r="G73" s="1736"/>
      <c r="H73" s="1737">
        <f t="shared" si="4"/>
        <v>0</v>
      </c>
      <c r="I73" s="1807">
        <f>'izvršenje I-XII 2023'!E101</f>
        <v>3186.19</v>
      </c>
      <c r="J73" s="1819">
        <f t="shared" si="2"/>
        <v>99.750061517046532</v>
      </c>
      <c r="K73" s="1820" t="e">
        <f t="shared" si="3"/>
        <v>#DIV/0!</v>
      </c>
      <c r="L73" s="484"/>
    </row>
    <row r="74" spans="1:12" s="22" customFormat="1" ht="19.5" customHeight="1" x14ac:dyDescent="0.25">
      <c r="A74" s="1694"/>
      <c r="B74" s="1697"/>
      <c r="C74" s="1695"/>
      <c r="D74" s="1686">
        <v>3234</v>
      </c>
      <c r="E74" s="1678" t="s">
        <v>69</v>
      </c>
      <c r="F74" s="1736">
        <f>'izvršenje I-XII 2023'!C106</f>
        <v>6630.1612582122234</v>
      </c>
      <c r="G74" s="1736"/>
      <c r="H74" s="1737">
        <f t="shared" si="4"/>
        <v>0</v>
      </c>
      <c r="I74" s="1807">
        <f>'izvršenje I-XII 2023'!E106</f>
        <v>8638.2200000000012</v>
      </c>
      <c r="J74" s="1819">
        <f t="shared" si="2"/>
        <v>130.28672551969328</v>
      </c>
      <c r="K74" s="1820" t="e">
        <f t="shared" si="3"/>
        <v>#DIV/0!</v>
      </c>
      <c r="L74" s="484"/>
    </row>
    <row r="75" spans="1:12" s="22" customFormat="1" ht="19.5" customHeight="1" x14ac:dyDescent="0.25">
      <c r="A75" s="1694"/>
      <c r="B75" s="1697"/>
      <c r="C75" s="1695"/>
      <c r="D75" s="1686">
        <v>3235</v>
      </c>
      <c r="E75" s="1678" t="s">
        <v>72</v>
      </c>
      <c r="F75" s="1736">
        <f>'izvršenje I-XII 2023'!C109</f>
        <v>76284.253766009686</v>
      </c>
      <c r="G75" s="1736"/>
      <c r="H75" s="1737">
        <f t="shared" si="4"/>
        <v>0</v>
      </c>
      <c r="I75" s="1807">
        <f>'izvršenje I-XII 2023'!E109</f>
        <v>2006.51</v>
      </c>
      <c r="J75" s="1819">
        <f t="shared" ref="J75:J133" si="5">I75/F75*100</f>
        <v>2.6303069125571623</v>
      </c>
      <c r="K75" s="1820" t="e">
        <f t="shared" ref="K75:K133" si="6">I75/H75*100</f>
        <v>#DIV/0!</v>
      </c>
      <c r="L75" s="484"/>
    </row>
    <row r="76" spans="1:12" s="22" customFormat="1" ht="19.5" customHeight="1" x14ac:dyDescent="0.25">
      <c r="A76" s="1694"/>
      <c r="B76" s="1697"/>
      <c r="C76" s="1695"/>
      <c r="D76" s="1686">
        <v>3236</v>
      </c>
      <c r="E76" s="1678" t="s">
        <v>74</v>
      </c>
      <c r="F76" s="1736">
        <f>'izvršenje I-XII 2023'!C112</f>
        <v>1692.2158072864822</v>
      </c>
      <c r="G76" s="1736"/>
      <c r="H76" s="1737">
        <f t="shared" si="4"/>
        <v>0</v>
      </c>
      <c r="I76" s="1807">
        <f>'izvršenje I-XII 2023'!E112</f>
        <v>3400.91</v>
      </c>
      <c r="J76" s="1819">
        <f t="shared" si="5"/>
        <v>200.97377564705883</v>
      </c>
      <c r="K76" s="1820" t="e">
        <f t="shared" si="6"/>
        <v>#DIV/0!</v>
      </c>
      <c r="L76" s="484"/>
    </row>
    <row r="77" spans="1:12" s="22" customFormat="1" ht="19.5" customHeight="1" x14ac:dyDescent="0.25">
      <c r="A77" s="1694"/>
      <c r="B77" s="1697"/>
      <c r="C77" s="1695"/>
      <c r="D77" s="1686">
        <v>3237</v>
      </c>
      <c r="E77" s="1678" t="s">
        <v>79</v>
      </c>
      <c r="F77" s="1736">
        <f>'izvršenje I-XII 2023'!C117</f>
        <v>111849.98208242086</v>
      </c>
      <c r="G77" s="1736"/>
      <c r="H77" s="1737">
        <f t="shared" si="4"/>
        <v>0</v>
      </c>
      <c r="I77" s="1807">
        <f>'izvršenje I-XII 2023'!E117</f>
        <v>102027.72</v>
      </c>
      <c r="J77" s="1819">
        <f t="shared" si="5"/>
        <v>91.218360611642339</v>
      </c>
      <c r="K77" s="1820" t="e">
        <f t="shared" si="6"/>
        <v>#DIV/0!</v>
      </c>
      <c r="L77" s="484"/>
    </row>
    <row r="78" spans="1:12" s="22" customFormat="1" ht="19.5" customHeight="1" x14ac:dyDescent="0.25">
      <c r="A78" s="1694"/>
      <c r="B78" s="1697"/>
      <c r="C78" s="1695"/>
      <c r="D78" s="1686">
        <v>3238</v>
      </c>
      <c r="E78" s="1678" t="s">
        <v>82</v>
      </c>
      <c r="F78" s="1736">
        <f>'izvršenje I-XII 2023'!C121</f>
        <v>1333.2669719291262</v>
      </c>
      <c r="G78" s="1736"/>
      <c r="H78" s="1737">
        <f t="shared" si="4"/>
        <v>0</v>
      </c>
      <c r="I78" s="1807">
        <f>'izvršenje I-XII 2023'!E121</f>
        <v>200.54</v>
      </c>
      <c r="J78" s="1819">
        <f t="shared" si="5"/>
        <v>15.041248618784527</v>
      </c>
      <c r="K78" s="1820" t="e">
        <f t="shared" si="6"/>
        <v>#DIV/0!</v>
      </c>
      <c r="L78" s="484"/>
    </row>
    <row r="79" spans="1:12" s="22" customFormat="1" ht="19.5" customHeight="1" x14ac:dyDescent="0.25">
      <c r="A79" s="1694"/>
      <c r="B79" s="1697"/>
      <c r="C79" s="1695"/>
      <c r="D79" s="1686">
        <v>3239</v>
      </c>
      <c r="E79" s="1678" t="s">
        <v>89</v>
      </c>
      <c r="F79" s="1736">
        <f>'izvršenje I-XII 2023'!C129</f>
        <v>37985.789368903039</v>
      </c>
      <c r="G79" s="1736"/>
      <c r="H79" s="1737">
        <f t="shared" si="4"/>
        <v>0</v>
      </c>
      <c r="I79" s="1807">
        <f>'izvršenje I-XII 2023'!E129</f>
        <v>81218.45</v>
      </c>
      <c r="J79" s="1819">
        <f t="shared" si="5"/>
        <v>213.81272141336427</v>
      </c>
      <c r="K79" s="1820" t="e">
        <f t="shared" si="6"/>
        <v>#DIV/0!</v>
      </c>
      <c r="L79" s="484"/>
    </row>
    <row r="80" spans="1:12" s="22" customFormat="1" ht="19.5" customHeight="1" x14ac:dyDescent="0.25">
      <c r="A80" s="1694"/>
      <c r="B80" s="1697"/>
      <c r="C80" s="1695">
        <v>324</v>
      </c>
      <c r="D80" s="1694"/>
      <c r="E80" s="1678" t="s">
        <v>93</v>
      </c>
      <c r="F80" s="1736">
        <f>F81</f>
        <v>0</v>
      </c>
      <c r="G80" s="1736">
        <f>G81</f>
        <v>0</v>
      </c>
      <c r="H80" s="1737">
        <f t="shared" si="4"/>
        <v>0</v>
      </c>
      <c r="I80" s="1808">
        <f>I81</f>
        <v>0</v>
      </c>
      <c r="J80" s="1819" t="e">
        <f t="shared" si="5"/>
        <v>#DIV/0!</v>
      </c>
      <c r="K80" s="1820" t="e">
        <f t="shared" si="6"/>
        <v>#DIV/0!</v>
      </c>
      <c r="L80" s="484"/>
    </row>
    <row r="81" spans="1:12" s="22" customFormat="1" ht="19.5" customHeight="1" x14ac:dyDescent="0.25">
      <c r="A81" s="1694"/>
      <c r="B81" s="1697"/>
      <c r="C81" s="1695"/>
      <c r="D81" s="1694">
        <v>3241</v>
      </c>
      <c r="E81" s="1679" t="s">
        <v>372</v>
      </c>
      <c r="F81" s="1736">
        <v>0</v>
      </c>
      <c r="G81" s="1736"/>
      <c r="H81" s="1737">
        <f t="shared" si="4"/>
        <v>0</v>
      </c>
      <c r="I81" s="1807">
        <v>0</v>
      </c>
      <c r="J81" s="1819" t="e">
        <f t="shared" si="5"/>
        <v>#DIV/0!</v>
      </c>
      <c r="K81" s="1820" t="e">
        <f t="shared" si="6"/>
        <v>#DIV/0!</v>
      </c>
      <c r="L81" s="484"/>
    </row>
    <row r="82" spans="1:12" s="22" customFormat="1" ht="19.5" customHeight="1" x14ac:dyDescent="0.25">
      <c r="A82" s="1694"/>
      <c r="B82" s="1697"/>
      <c r="C82" s="1695">
        <v>329</v>
      </c>
      <c r="D82" s="1694"/>
      <c r="E82" s="1678" t="s">
        <v>105</v>
      </c>
      <c r="F82" s="1736">
        <f>F83+F84+F85+F86+F87+F88</f>
        <v>27334.919370893884</v>
      </c>
      <c r="G82" s="1736">
        <f>'izvršenje I-XII 2023'!D150</f>
        <v>138116</v>
      </c>
      <c r="H82" s="1737">
        <f t="shared" si="4"/>
        <v>138116</v>
      </c>
      <c r="I82" s="1808">
        <f>I83+I84+I85+I86+I87+I88</f>
        <v>107074.77000000002</v>
      </c>
      <c r="J82" s="1819">
        <f t="shared" si="5"/>
        <v>391.71423389678193</v>
      </c>
      <c r="K82" s="1820">
        <f t="shared" si="6"/>
        <v>77.525246893915281</v>
      </c>
      <c r="L82" s="484"/>
    </row>
    <row r="83" spans="1:12" s="22" customFormat="1" ht="19.5" customHeight="1" x14ac:dyDescent="0.25">
      <c r="A83" s="1694"/>
      <c r="B83" s="1697"/>
      <c r="C83" s="1695"/>
      <c r="D83" s="1694">
        <v>3292</v>
      </c>
      <c r="E83" s="1678" t="s">
        <v>96</v>
      </c>
      <c r="F83" s="1736">
        <f>'izvršenje I-XII 2023'!C135</f>
        <v>1000.7299754462804</v>
      </c>
      <c r="G83" s="1736"/>
      <c r="H83" s="1737">
        <f t="shared" si="4"/>
        <v>0</v>
      </c>
      <c r="I83" s="1807">
        <f>'izvršenje I-XII 2023'!E135</f>
        <v>2646.13</v>
      </c>
      <c r="J83" s="1819">
        <f t="shared" si="5"/>
        <v>264.4199799071618</v>
      </c>
      <c r="K83" s="1820" t="e">
        <f t="shared" si="6"/>
        <v>#DIV/0!</v>
      </c>
      <c r="L83" s="484"/>
    </row>
    <row r="84" spans="1:12" s="22" customFormat="1" ht="19.5" customHeight="1" x14ac:dyDescent="0.25">
      <c r="A84" s="1694"/>
      <c r="B84" s="1697"/>
      <c r="C84" s="1695"/>
      <c r="D84" s="1686">
        <v>3293</v>
      </c>
      <c r="E84" s="1678" t="s">
        <v>94</v>
      </c>
      <c r="F84" s="1736">
        <f>'izvršenje I-XII 2023'!C137</f>
        <v>10833.111686243279</v>
      </c>
      <c r="G84" s="1736"/>
      <c r="H84" s="1737">
        <f t="shared" si="4"/>
        <v>0</v>
      </c>
      <c r="I84" s="1807">
        <f>'izvršenje I-XII 2023'!E137</f>
        <v>87131.62000000001</v>
      </c>
      <c r="J84" s="1819">
        <f t="shared" si="5"/>
        <v>804.3083328555216</v>
      </c>
      <c r="K84" s="1820" t="e">
        <f t="shared" si="6"/>
        <v>#DIV/0!</v>
      </c>
      <c r="L84" s="484"/>
    </row>
    <row r="85" spans="1:12" s="22" customFormat="1" ht="19.5" customHeight="1" x14ac:dyDescent="0.25">
      <c r="A85" s="1694"/>
      <c r="B85" s="1697"/>
      <c r="C85" s="1695"/>
      <c r="D85" s="1686">
        <v>3294</v>
      </c>
      <c r="E85" s="1678" t="s">
        <v>98</v>
      </c>
      <c r="F85" s="1736">
        <f>'izvršenje I-XII 2023'!C139</f>
        <v>564.07193576216071</v>
      </c>
      <c r="G85" s="1736"/>
      <c r="H85" s="1737">
        <f t="shared" si="4"/>
        <v>0</v>
      </c>
      <c r="I85" s="1807">
        <f>'izvršenje I-XII 2023'!E139</f>
        <v>565.89</v>
      </c>
      <c r="J85" s="1819">
        <f t="shared" si="5"/>
        <v>100.32231070588236</v>
      </c>
      <c r="K85" s="1820" t="e">
        <f t="shared" si="6"/>
        <v>#DIV/0!</v>
      </c>
      <c r="L85" s="484"/>
    </row>
    <row r="86" spans="1:12" s="22" customFormat="1" ht="19.5" customHeight="1" x14ac:dyDescent="0.25">
      <c r="A86" s="1694"/>
      <c r="B86" s="1697"/>
      <c r="C86" s="1695"/>
      <c r="D86" s="1686">
        <v>3295</v>
      </c>
      <c r="E86" s="1678" t="s">
        <v>103</v>
      </c>
      <c r="F86" s="1736">
        <f>'izvršenje I-XII 2023'!C144</f>
        <v>3374.4774039418671</v>
      </c>
      <c r="G86" s="1736"/>
      <c r="H86" s="1737">
        <f t="shared" si="4"/>
        <v>0</v>
      </c>
      <c r="I86" s="1807">
        <f>'izvršenje I-XII 2023'!E144</f>
        <v>3688.08</v>
      </c>
      <c r="J86" s="1819">
        <f t="shared" si="5"/>
        <v>109.29336778761063</v>
      </c>
      <c r="K86" s="1820" t="e">
        <f t="shared" si="6"/>
        <v>#DIV/0!</v>
      </c>
      <c r="L86" s="484"/>
    </row>
    <row r="87" spans="1:12" s="22" customFormat="1" ht="19.5" customHeight="1" x14ac:dyDescent="0.25">
      <c r="A87" s="1694"/>
      <c r="B87" s="1697"/>
      <c r="C87" s="1695"/>
      <c r="D87" s="1686">
        <v>3296</v>
      </c>
      <c r="E87" s="1678" t="s">
        <v>164</v>
      </c>
      <c r="F87" s="1736">
        <f>'izvršenje I-XII 2023'!C146</f>
        <v>6293.9637666733024</v>
      </c>
      <c r="G87" s="1736"/>
      <c r="H87" s="1737">
        <f t="shared" si="4"/>
        <v>0</v>
      </c>
      <c r="I87" s="1807">
        <f>'izvršenje I-XII 2023'!E146</f>
        <v>0</v>
      </c>
      <c r="J87" s="1819">
        <f t="shared" si="5"/>
        <v>0</v>
      </c>
      <c r="K87" s="1820" t="e">
        <f t="shared" si="6"/>
        <v>#DIV/0!</v>
      </c>
      <c r="L87" s="484"/>
    </row>
    <row r="88" spans="1:12" s="22" customFormat="1" ht="19.5" customHeight="1" thickBot="1" x14ac:dyDescent="0.3">
      <c r="A88" s="1711"/>
      <c r="B88" s="1721"/>
      <c r="C88" s="1700"/>
      <c r="D88" s="1780">
        <v>3299</v>
      </c>
      <c r="E88" s="1745" t="s">
        <v>105</v>
      </c>
      <c r="F88" s="1728">
        <f>'izvršenje I-XII 2023'!C149</f>
        <v>5268.5646028269957</v>
      </c>
      <c r="G88" s="1728"/>
      <c r="H88" s="1739">
        <f t="shared" si="4"/>
        <v>0</v>
      </c>
      <c r="I88" s="1809">
        <f>'izvršenje I-XII 2023'!E149</f>
        <v>13043.050000000001</v>
      </c>
      <c r="J88" s="1819">
        <f t="shared" si="5"/>
        <v>247.56363418228537</v>
      </c>
      <c r="K88" s="1820" t="e">
        <f t="shared" si="6"/>
        <v>#DIV/0!</v>
      </c>
      <c r="L88" s="484"/>
    </row>
    <row r="89" spans="1:12" s="22" customFormat="1" ht="19.5" customHeight="1" thickBot="1" x14ac:dyDescent="0.3">
      <c r="A89" s="1716"/>
      <c r="B89" s="1722">
        <v>34</v>
      </c>
      <c r="C89" s="1777"/>
      <c r="D89" s="1717"/>
      <c r="E89" s="1724" t="s">
        <v>495</v>
      </c>
      <c r="F89" s="1732">
        <f>F90+F92</f>
        <v>11977.260601234322</v>
      </c>
      <c r="G89" s="1732">
        <f>'izvršenje I-XII 2023'!D163+'izvršenje I-XII 2023'!D152</f>
        <v>14005</v>
      </c>
      <c r="H89" s="1730">
        <f t="shared" si="4"/>
        <v>14005</v>
      </c>
      <c r="I89" s="1805">
        <f>I90+I92</f>
        <v>10920.9</v>
      </c>
      <c r="J89" s="1819">
        <f t="shared" si="5"/>
        <v>91.180282066122373</v>
      </c>
      <c r="K89" s="1820">
        <f t="shared" si="6"/>
        <v>77.978579078900395</v>
      </c>
      <c r="L89" s="484"/>
    </row>
    <row r="90" spans="1:12" s="22" customFormat="1" ht="19.5" customHeight="1" x14ac:dyDescent="0.25">
      <c r="A90" s="1707"/>
      <c r="B90" s="1714"/>
      <c r="C90" s="1773">
        <v>342</v>
      </c>
      <c r="D90" s="1707"/>
      <c r="E90" s="1708" t="s">
        <v>257</v>
      </c>
      <c r="F90" s="1733">
        <f>F91</f>
        <v>3749.9435928064236</v>
      </c>
      <c r="G90" s="1733"/>
      <c r="H90" s="1734">
        <f t="shared" si="4"/>
        <v>0</v>
      </c>
      <c r="I90" s="1806">
        <f>I91</f>
        <v>6596.21</v>
      </c>
      <c r="J90" s="1819">
        <f t="shared" si="5"/>
        <v>175.90157923051467</v>
      </c>
      <c r="K90" s="1820" t="e">
        <f t="shared" si="6"/>
        <v>#DIV/0!</v>
      </c>
      <c r="L90" s="484"/>
    </row>
    <row r="91" spans="1:12" s="22" customFormat="1" ht="19.5" customHeight="1" x14ac:dyDescent="0.25">
      <c r="A91" s="1694"/>
      <c r="B91" s="1697"/>
      <c r="C91" s="1695"/>
      <c r="D91" s="1694">
        <v>3422</v>
      </c>
      <c r="E91" s="1683" t="s">
        <v>373</v>
      </c>
      <c r="F91" s="1736">
        <f>'izvršenje I-XII 2023'!C151</f>
        <v>3749.9435928064236</v>
      </c>
      <c r="G91" s="1736"/>
      <c r="H91" s="1737">
        <f t="shared" si="4"/>
        <v>0</v>
      </c>
      <c r="I91" s="1807">
        <f>'izvršenje I-XII 2023'!E151</f>
        <v>6596.21</v>
      </c>
      <c r="J91" s="1819">
        <f t="shared" si="5"/>
        <v>175.90157923051467</v>
      </c>
      <c r="K91" s="1820" t="e">
        <f t="shared" si="6"/>
        <v>#DIV/0!</v>
      </c>
      <c r="L91" s="484"/>
    </row>
    <row r="92" spans="1:12" s="22" customFormat="1" ht="19.5" customHeight="1" x14ac:dyDescent="0.25">
      <c r="A92" s="1694"/>
      <c r="B92" s="1697"/>
      <c r="C92" s="1695">
        <v>343</v>
      </c>
      <c r="D92" s="1694"/>
      <c r="E92" s="1678" t="s">
        <v>110</v>
      </c>
      <c r="F92" s="1736">
        <f>F93+F94+F95</f>
        <v>8227.3170084278991</v>
      </c>
      <c r="G92" s="1736"/>
      <c r="H92" s="1737">
        <f t="shared" si="4"/>
        <v>0</v>
      </c>
      <c r="I92" s="1808">
        <f>I93+I94+I95</f>
        <v>4324.6899999999996</v>
      </c>
      <c r="J92" s="1819">
        <f t="shared" si="5"/>
        <v>52.565009900188286</v>
      </c>
      <c r="K92" s="1820" t="e">
        <f t="shared" si="6"/>
        <v>#DIV/0!</v>
      </c>
      <c r="L92" s="484"/>
    </row>
    <row r="93" spans="1:12" s="22" customFormat="1" ht="19.5" customHeight="1" x14ac:dyDescent="0.25">
      <c r="A93" s="1694"/>
      <c r="B93" s="1697"/>
      <c r="C93" s="1695"/>
      <c r="D93" s="1694">
        <v>3431</v>
      </c>
      <c r="E93" s="1678" t="s">
        <v>108</v>
      </c>
      <c r="F93" s="1736">
        <f>'izvršenje I-XII 2023'!C155</f>
        <v>1479.7040281372354</v>
      </c>
      <c r="G93" s="1736"/>
      <c r="H93" s="1737">
        <f t="shared" si="4"/>
        <v>0</v>
      </c>
      <c r="I93" s="1807">
        <f>'izvršenje I-XII 2023'!E155</f>
        <v>1385.51</v>
      </c>
      <c r="J93" s="1819">
        <f t="shared" si="5"/>
        <v>93.634265613521777</v>
      </c>
      <c r="K93" s="1820" t="e">
        <f t="shared" si="6"/>
        <v>#DIV/0!</v>
      </c>
      <c r="L93" s="484"/>
    </row>
    <row r="94" spans="1:12" s="22" customFormat="1" ht="19.5" customHeight="1" x14ac:dyDescent="0.25">
      <c r="A94" s="1694"/>
      <c r="B94" s="1697"/>
      <c r="C94" s="1695"/>
      <c r="D94" s="1686">
        <v>3433</v>
      </c>
      <c r="E94" s="1678" t="s">
        <v>165</v>
      </c>
      <c r="F94" s="1736">
        <f>'izvršenje I-XII 2023'!C160</f>
        <v>5888.0084942597387</v>
      </c>
      <c r="G94" s="1736"/>
      <c r="H94" s="1737">
        <f t="shared" si="4"/>
        <v>0</v>
      </c>
      <c r="I94" s="1807">
        <f>'izvršenje I-XII 2023'!E160</f>
        <v>1.85</v>
      </c>
      <c r="J94" s="1819">
        <f t="shared" si="5"/>
        <v>3.1419791629097991E-2</v>
      </c>
      <c r="K94" s="1820" t="e">
        <f t="shared" si="6"/>
        <v>#DIV/0!</v>
      </c>
      <c r="L94" s="484"/>
    </row>
    <row r="95" spans="1:12" s="22" customFormat="1" ht="19.5" customHeight="1" thickBot="1" x14ac:dyDescent="0.3">
      <c r="A95" s="1711"/>
      <c r="B95" s="1721"/>
      <c r="C95" s="1700"/>
      <c r="D95" s="1780">
        <v>3434</v>
      </c>
      <c r="E95" s="1745" t="s">
        <v>165</v>
      </c>
      <c r="F95" s="1728">
        <f>'izvršenje I-XII 2023'!C162</f>
        <v>859.60448603092436</v>
      </c>
      <c r="G95" s="1728"/>
      <c r="H95" s="1739">
        <f t="shared" si="4"/>
        <v>0</v>
      </c>
      <c r="I95" s="1809">
        <f>'izvršenje I-XII 2023'!E162</f>
        <v>2937.33</v>
      </c>
      <c r="J95" s="1819">
        <f t="shared" si="5"/>
        <v>341.70715110650656</v>
      </c>
      <c r="K95" s="1820" t="e">
        <f t="shared" si="6"/>
        <v>#DIV/0!</v>
      </c>
      <c r="L95" s="484"/>
    </row>
    <row r="96" spans="1:12" s="22" customFormat="1" ht="19.5" customHeight="1" thickBot="1" x14ac:dyDescent="0.3">
      <c r="A96" s="1716"/>
      <c r="B96" s="1722">
        <v>35</v>
      </c>
      <c r="C96" s="1777"/>
      <c r="D96" s="1717"/>
      <c r="E96" s="1724" t="s">
        <v>496</v>
      </c>
      <c r="F96" s="1732">
        <f>F97</f>
        <v>99471.35841794411</v>
      </c>
      <c r="G96" s="1732">
        <f>'izvršenje I-XII 2023'!D165</f>
        <v>299368</v>
      </c>
      <c r="H96" s="1730">
        <f t="shared" si="4"/>
        <v>299368</v>
      </c>
      <c r="I96" s="1805">
        <f>I97</f>
        <v>74671.489999999991</v>
      </c>
      <c r="J96" s="1819">
        <f t="shared" si="5"/>
        <v>75.068332420128741</v>
      </c>
      <c r="K96" s="1820">
        <f t="shared" si="6"/>
        <v>24.94304334464605</v>
      </c>
      <c r="L96" s="484"/>
    </row>
    <row r="97" spans="1:12" s="22" customFormat="1" ht="19.5" customHeight="1" x14ac:dyDescent="0.25">
      <c r="A97" s="1707"/>
      <c r="B97" s="1714"/>
      <c r="C97" s="1773">
        <v>353</v>
      </c>
      <c r="D97" s="1707"/>
      <c r="E97" s="1708" t="s">
        <v>177</v>
      </c>
      <c r="F97" s="1733">
        <f>F98</f>
        <v>99471.35841794411</v>
      </c>
      <c r="G97" s="1733"/>
      <c r="H97" s="1734">
        <f t="shared" si="4"/>
        <v>0</v>
      </c>
      <c r="I97" s="1806">
        <f>I98</f>
        <v>74671.489999999991</v>
      </c>
      <c r="J97" s="1819">
        <f t="shared" si="5"/>
        <v>75.068332420128741</v>
      </c>
      <c r="K97" s="1820" t="e">
        <f t="shared" si="6"/>
        <v>#DIV/0!</v>
      </c>
      <c r="L97" s="484"/>
    </row>
    <row r="98" spans="1:12" s="22" customFormat="1" ht="19.5" customHeight="1" thickBot="1" x14ac:dyDescent="0.3">
      <c r="A98" s="1711"/>
      <c r="B98" s="1721"/>
      <c r="C98" s="1700"/>
      <c r="D98" s="1711">
        <v>35311</v>
      </c>
      <c r="E98" s="1713" t="s">
        <v>177</v>
      </c>
      <c r="F98" s="1728">
        <f>'izvršenje I-XII 2023'!C164</f>
        <v>99471.35841794411</v>
      </c>
      <c r="G98" s="1728"/>
      <c r="H98" s="1739">
        <f t="shared" si="4"/>
        <v>0</v>
      </c>
      <c r="I98" s="1809">
        <f>'izvršenje I-XII 2023'!E164</f>
        <v>74671.489999999991</v>
      </c>
      <c r="J98" s="1819">
        <f t="shared" si="5"/>
        <v>75.068332420128741</v>
      </c>
      <c r="K98" s="1820" t="e">
        <f t="shared" si="6"/>
        <v>#DIV/0!</v>
      </c>
      <c r="L98" s="484"/>
    </row>
    <row r="99" spans="1:12" s="22" customFormat="1" ht="19.5" customHeight="1" thickBot="1" x14ac:dyDescent="0.3">
      <c r="A99" s="1716"/>
      <c r="B99" s="1722">
        <v>36</v>
      </c>
      <c r="C99" s="1777"/>
      <c r="D99" s="1717"/>
      <c r="E99" s="1779" t="s">
        <v>497</v>
      </c>
      <c r="F99" s="1732">
        <f>F100+F102</f>
        <v>59595.16225363328</v>
      </c>
      <c r="G99" s="1732">
        <f>'izvršenje I-XII 2023'!D167+'izvršenje I-XII 2023'!D169</f>
        <v>27000</v>
      </c>
      <c r="H99" s="1730">
        <f t="shared" si="4"/>
        <v>27000</v>
      </c>
      <c r="I99" s="1805">
        <f>I100+I102</f>
        <v>59778.99</v>
      </c>
      <c r="J99" s="1819">
        <f t="shared" si="5"/>
        <v>100.30846085389339</v>
      </c>
      <c r="K99" s="1820">
        <f t="shared" si="6"/>
        <v>221.40366666666665</v>
      </c>
      <c r="L99" s="484"/>
    </row>
    <row r="100" spans="1:12" s="22" customFormat="1" ht="19.5" customHeight="1" x14ac:dyDescent="0.25">
      <c r="A100" s="1707"/>
      <c r="B100" s="1714"/>
      <c r="C100" s="1773">
        <v>368</v>
      </c>
      <c r="D100" s="1707"/>
      <c r="E100" s="1708" t="s">
        <v>179</v>
      </c>
      <c r="F100" s="1733">
        <f>F101</f>
        <v>2498.4537792819692</v>
      </c>
      <c r="G100" s="1733"/>
      <c r="H100" s="1734">
        <f t="shared" si="4"/>
        <v>0</v>
      </c>
      <c r="I100" s="1806">
        <f>I101</f>
        <v>5427.17</v>
      </c>
      <c r="J100" s="1819">
        <f t="shared" si="5"/>
        <v>217.22114873622814</v>
      </c>
      <c r="K100" s="1820" t="e">
        <f t="shared" si="6"/>
        <v>#DIV/0!</v>
      </c>
      <c r="L100" s="484"/>
    </row>
    <row r="101" spans="1:12" s="22" customFormat="1" ht="19.5" customHeight="1" x14ac:dyDescent="0.25">
      <c r="A101" s="1694"/>
      <c r="B101" s="1697"/>
      <c r="C101" s="1695"/>
      <c r="D101" s="1694">
        <v>3681</v>
      </c>
      <c r="E101" s="1679" t="s">
        <v>178</v>
      </c>
      <c r="F101" s="1736">
        <f>'izvršenje I-XII 2023'!C166</f>
        <v>2498.4537792819692</v>
      </c>
      <c r="G101" s="1736"/>
      <c r="H101" s="1737">
        <f t="shared" si="4"/>
        <v>0</v>
      </c>
      <c r="I101" s="1807">
        <f>'izvršenje I-XII 2023'!E166</f>
        <v>5427.17</v>
      </c>
      <c r="J101" s="1819">
        <f t="shared" si="5"/>
        <v>217.22114873622814</v>
      </c>
      <c r="K101" s="1820" t="e">
        <f t="shared" si="6"/>
        <v>#DIV/0!</v>
      </c>
      <c r="L101" s="484"/>
    </row>
    <row r="102" spans="1:12" s="22" customFormat="1" ht="19.5" customHeight="1" x14ac:dyDescent="0.25">
      <c r="A102" s="1694"/>
      <c r="B102" s="1697"/>
      <c r="C102" s="1695">
        <v>369</v>
      </c>
      <c r="D102" s="1694"/>
      <c r="E102" s="1678" t="s">
        <v>181</v>
      </c>
      <c r="F102" s="1736">
        <f>F103</f>
        <v>57096.708474351311</v>
      </c>
      <c r="G102" s="1736"/>
      <c r="H102" s="1737">
        <f t="shared" si="4"/>
        <v>0</v>
      </c>
      <c r="I102" s="1808">
        <f>I103</f>
        <v>54351.82</v>
      </c>
      <c r="J102" s="1819">
        <f t="shared" si="5"/>
        <v>95.192562675334685</v>
      </c>
      <c r="K102" s="1820" t="e">
        <f t="shared" si="6"/>
        <v>#DIV/0!</v>
      </c>
      <c r="L102" s="484"/>
    </row>
    <row r="103" spans="1:12" s="22" customFormat="1" ht="19.5" customHeight="1" thickBot="1" x14ac:dyDescent="0.3">
      <c r="A103" s="1711"/>
      <c r="B103" s="1721"/>
      <c r="C103" s="1700"/>
      <c r="D103" s="1711">
        <v>3693</v>
      </c>
      <c r="E103" s="1713" t="s">
        <v>180</v>
      </c>
      <c r="F103" s="1728">
        <f>'izvršenje I-XII 2023'!C168</f>
        <v>57096.708474351311</v>
      </c>
      <c r="G103" s="1728"/>
      <c r="H103" s="1739">
        <f t="shared" si="4"/>
        <v>0</v>
      </c>
      <c r="I103" s="1809">
        <f>'izvršenje I-XII 2023'!E168</f>
        <v>54351.82</v>
      </c>
      <c r="J103" s="1819">
        <f t="shared" si="5"/>
        <v>95.192562675334685</v>
      </c>
      <c r="K103" s="1820" t="e">
        <f t="shared" si="6"/>
        <v>#DIV/0!</v>
      </c>
      <c r="L103" s="484"/>
    </row>
    <row r="104" spans="1:12" s="22" customFormat="1" ht="19.5" customHeight="1" thickBot="1" x14ac:dyDescent="0.3">
      <c r="A104" s="1716"/>
      <c r="B104" s="1717">
        <v>37</v>
      </c>
      <c r="C104" s="1777"/>
      <c r="D104" s="1717"/>
      <c r="E104" s="1724"/>
      <c r="F104" s="1732">
        <f>F105</f>
        <v>0</v>
      </c>
      <c r="G104" s="1732">
        <v>0</v>
      </c>
      <c r="H104" s="1730">
        <f t="shared" si="4"/>
        <v>0</v>
      </c>
      <c r="I104" s="1805">
        <f>I105</f>
        <v>0</v>
      </c>
      <c r="J104" s="1819" t="e">
        <f t="shared" si="5"/>
        <v>#DIV/0!</v>
      </c>
      <c r="K104" s="1820" t="e">
        <f t="shared" si="6"/>
        <v>#DIV/0!</v>
      </c>
      <c r="L104" s="484"/>
    </row>
    <row r="105" spans="1:12" s="22" customFormat="1" ht="19.5" customHeight="1" x14ac:dyDescent="0.25">
      <c r="A105" s="1707"/>
      <c r="B105" s="1707"/>
      <c r="C105" s="1773">
        <v>372</v>
      </c>
      <c r="D105" s="1707"/>
      <c r="E105" s="1708" t="s">
        <v>113</v>
      </c>
      <c r="F105" s="1733">
        <f>F106+F107</f>
        <v>0</v>
      </c>
      <c r="G105" s="1733"/>
      <c r="H105" s="1734">
        <f t="shared" si="4"/>
        <v>0</v>
      </c>
      <c r="I105" s="1806">
        <f>I106+I107</f>
        <v>0</v>
      </c>
      <c r="J105" s="1819" t="e">
        <f t="shared" si="5"/>
        <v>#DIV/0!</v>
      </c>
      <c r="K105" s="1820" t="e">
        <f t="shared" si="6"/>
        <v>#DIV/0!</v>
      </c>
      <c r="L105" s="484"/>
    </row>
    <row r="106" spans="1:12" s="22" customFormat="1" ht="19.5" customHeight="1" x14ac:dyDescent="0.25">
      <c r="A106" s="1694"/>
      <c r="B106" s="1694"/>
      <c r="C106" s="1695"/>
      <c r="D106" s="1694">
        <v>3721</v>
      </c>
      <c r="E106" s="1679" t="s">
        <v>112</v>
      </c>
      <c r="F106" s="1736">
        <f>'izvršenje I-XII 2023'!C170+'izvršenje I-XII 2023'!C171</f>
        <v>0</v>
      </c>
      <c r="G106" s="1736"/>
      <c r="H106" s="1737">
        <f t="shared" si="4"/>
        <v>0</v>
      </c>
      <c r="I106" s="1807">
        <v>0</v>
      </c>
      <c r="J106" s="1819" t="e">
        <f t="shared" si="5"/>
        <v>#DIV/0!</v>
      </c>
      <c r="K106" s="1820" t="e">
        <f t="shared" si="6"/>
        <v>#DIV/0!</v>
      </c>
      <c r="L106" s="484"/>
    </row>
    <row r="107" spans="1:12" s="22" customFormat="1" ht="19.5" customHeight="1" thickBot="1" x14ac:dyDescent="0.3">
      <c r="A107" s="1711"/>
      <c r="B107" s="1711"/>
      <c r="C107" s="1700"/>
      <c r="D107" s="1711">
        <v>3722</v>
      </c>
      <c r="E107" s="1713" t="s">
        <v>145</v>
      </c>
      <c r="F107" s="1728">
        <v>0</v>
      </c>
      <c r="G107" s="1728"/>
      <c r="H107" s="1739">
        <f t="shared" si="4"/>
        <v>0</v>
      </c>
      <c r="I107" s="1809">
        <v>0</v>
      </c>
      <c r="J107" s="1819" t="e">
        <f t="shared" si="5"/>
        <v>#DIV/0!</v>
      </c>
      <c r="K107" s="1820" t="e">
        <f t="shared" si="6"/>
        <v>#DIV/0!</v>
      </c>
      <c r="L107" s="484"/>
    </row>
    <row r="108" spans="1:12" s="22" customFormat="1" ht="19.5" customHeight="1" thickBot="1" x14ac:dyDescent="0.3">
      <c r="A108" s="1716"/>
      <c r="B108" s="1717">
        <v>38</v>
      </c>
      <c r="C108" s="1777"/>
      <c r="D108" s="1717"/>
      <c r="E108" s="1779" t="s">
        <v>498</v>
      </c>
      <c r="F108" s="1732">
        <f>F109</f>
        <v>410110.65896874375</v>
      </c>
      <c r="G108" s="1732">
        <f>'izvršenje I-XII 2023'!D175</f>
        <v>482400</v>
      </c>
      <c r="H108" s="1730">
        <f t="shared" si="4"/>
        <v>482400</v>
      </c>
      <c r="I108" s="1805">
        <f>I109</f>
        <v>259451.6</v>
      </c>
      <c r="J108" s="1819">
        <f t="shared" si="5"/>
        <v>63.263803153132358</v>
      </c>
      <c r="K108" s="1820">
        <f t="shared" si="6"/>
        <v>53.783499170812611</v>
      </c>
      <c r="L108" s="484"/>
    </row>
    <row r="109" spans="1:12" s="22" customFormat="1" ht="19.5" customHeight="1" x14ac:dyDescent="0.25">
      <c r="A109" s="1707"/>
      <c r="B109" s="1707"/>
      <c r="C109" s="1773">
        <v>381</v>
      </c>
      <c r="D109" s="1707"/>
      <c r="E109" s="1781" t="s">
        <v>183</v>
      </c>
      <c r="F109" s="1733">
        <f>F110+F111</f>
        <v>410110.65896874375</v>
      </c>
      <c r="G109" s="1733"/>
      <c r="H109" s="1734">
        <f t="shared" si="4"/>
        <v>0</v>
      </c>
      <c r="I109" s="1806">
        <f>I110+I111</f>
        <v>259451.6</v>
      </c>
      <c r="J109" s="1819">
        <f t="shared" si="5"/>
        <v>63.263803153132358</v>
      </c>
      <c r="K109" s="1820" t="e">
        <f t="shared" si="6"/>
        <v>#DIV/0!</v>
      </c>
      <c r="L109" s="484"/>
    </row>
    <row r="110" spans="1:12" s="22" customFormat="1" ht="19.5" customHeight="1" x14ac:dyDescent="0.25">
      <c r="A110" s="1694"/>
      <c r="B110" s="1694"/>
      <c r="C110" s="1695"/>
      <c r="D110" s="1685">
        <v>3813</v>
      </c>
      <c r="E110" s="1679" t="s">
        <v>182</v>
      </c>
      <c r="F110" s="1736">
        <f>'izvršenje I-XII 2023'!C173</f>
        <v>410110.65896874375</v>
      </c>
      <c r="G110" s="1736"/>
      <c r="H110" s="1737">
        <f t="shared" si="4"/>
        <v>0</v>
      </c>
      <c r="I110" s="1807">
        <f>'izvršenje I-XII 2023'!E173</f>
        <v>258058.97</v>
      </c>
      <c r="J110" s="1819">
        <f t="shared" si="5"/>
        <v>62.924228950525219</v>
      </c>
      <c r="K110" s="1820" t="e">
        <f t="shared" si="6"/>
        <v>#DIV/0!</v>
      </c>
      <c r="L110" s="484"/>
    </row>
    <row r="111" spans="1:12" s="22" customFormat="1" ht="19.5" customHeight="1" x14ac:dyDescent="0.25">
      <c r="A111" s="1694"/>
      <c r="B111" s="1694"/>
      <c r="C111" s="1695"/>
      <c r="D111" s="1685">
        <v>3812</v>
      </c>
      <c r="E111" s="1679" t="s">
        <v>274</v>
      </c>
      <c r="F111" s="1736">
        <f>'izvršenje I-XII 2023'!C174</f>
        <v>0</v>
      </c>
      <c r="G111" s="1736"/>
      <c r="H111" s="1737">
        <f t="shared" ref="H111:H131" si="7">G111*12/12</f>
        <v>0</v>
      </c>
      <c r="I111" s="1807">
        <f>'izvršenje I-XII 2023'!E174</f>
        <v>1392.63</v>
      </c>
      <c r="J111" s="1819" t="e">
        <f t="shared" si="5"/>
        <v>#DIV/0!</v>
      </c>
      <c r="K111" s="1820" t="e">
        <f t="shared" si="6"/>
        <v>#DIV/0!</v>
      </c>
      <c r="L111" s="484"/>
    </row>
    <row r="112" spans="1:12" s="22" customFormat="1" ht="19.5" customHeight="1" x14ac:dyDescent="0.25">
      <c r="A112" s="1694"/>
      <c r="B112" s="1697"/>
      <c r="C112" s="1698"/>
      <c r="D112" s="1696" t="s">
        <v>317</v>
      </c>
      <c r="E112" s="1684"/>
      <c r="F112" s="1736"/>
      <c r="G112" s="1736"/>
      <c r="H112" s="1737"/>
      <c r="I112" s="1807"/>
      <c r="J112" s="1819" t="e">
        <f t="shared" si="5"/>
        <v>#DIV/0!</v>
      </c>
      <c r="K112" s="1820" t="e">
        <f t="shared" si="6"/>
        <v>#DIV/0!</v>
      </c>
      <c r="L112" s="484"/>
    </row>
    <row r="113" spans="1:12" s="22" customFormat="1" ht="19.5" customHeight="1" thickBot="1" x14ac:dyDescent="0.3">
      <c r="A113" s="1711"/>
      <c r="B113" s="1711"/>
      <c r="C113" s="1782"/>
      <c r="D113" s="1719"/>
      <c r="E113" s="1783"/>
      <c r="F113" s="1728"/>
      <c r="G113" s="1728"/>
      <c r="H113" s="1739"/>
      <c r="I113" s="1809"/>
      <c r="J113" s="1819"/>
      <c r="K113" s="1820"/>
      <c r="L113" s="484"/>
    </row>
    <row r="114" spans="1:12" s="22" customFormat="1" ht="19.5" customHeight="1" thickBot="1" x14ac:dyDescent="0.3">
      <c r="A114" s="1784">
        <v>4</v>
      </c>
      <c r="B114" s="1785"/>
      <c r="C114" s="1786"/>
      <c r="D114" s="1785"/>
      <c r="E114" s="1706" t="s">
        <v>320</v>
      </c>
      <c r="F114" s="1732">
        <f>F115+F118+F129</f>
        <v>2179856.0899860635</v>
      </c>
      <c r="G114" s="1732">
        <f>G115+G118+G129</f>
        <v>1973613</v>
      </c>
      <c r="H114" s="1730">
        <f t="shared" si="7"/>
        <v>1973613</v>
      </c>
      <c r="I114" s="1805">
        <f>I115+I118+I129</f>
        <v>1963285.75</v>
      </c>
      <c r="J114" s="1819">
        <f t="shared" si="5"/>
        <v>90.06492488284178</v>
      </c>
      <c r="K114" s="1820">
        <f t="shared" si="6"/>
        <v>99.476733787221704</v>
      </c>
      <c r="L114" s="484"/>
    </row>
    <row r="115" spans="1:12" s="22" customFormat="1" ht="19.5" customHeight="1" thickBot="1" x14ac:dyDescent="0.3">
      <c r="A115" s="1787"/>
      <c r="B115" s="1709">
        <v>41</v>
      </c>
      <c r="C115" s="1775"/>
      <c r="D115" s="1709"/>
      <c r="E115" s="1710" t="s">
        <v>321</v>
      </c>
      <c r="F115" s="1732">
        <f>F116</f>
        <v>68887.11925144335</v>
      </c>
      <c r="G115" s="1732">
        <f>'izvršenje I-XII 2023'!D179</f>
        <v>200</v>
      </c>
      <c r="H115" s="1730">
        <f t="shared" si="7"/>
        <v>200</v>
      </c>
      <c r="I115" s="1805">
        <f>I116</f>
        <v>195</v>
      </c>
      <c r="J115" s="1819">
        <f t="shared" si="5"/>
        <v>0.28307178775793312</v>
      </c>
      <c r="K115" s="1820">
        <f t="shared" si="6"/>
        <v>97.5</v>
      </c>
      <c r="L115" s="484"/>
    </row>
    <row r="116" spans="1:12" s="22" customFormat="1" ht="19.5" customHeight="1" x14ac:dyDescent="0.25">
      <c r="A116" s="1703"/>
      <c r="B116" s="1703"/>
      <c r="C116" s="1773">
        <v>412</v>
      </c>
      <c r="D116" s="1707"/>
      <c r="E116" s="1708" t="s">
        <v>254</v>
      </c>
      <c r="F116" s="1733">
        <f>F117</f>
        <v>68887.11925144335</v>
      </c>
      <c r="G116" s="1733"/>
      <c r="H116" s="1734">
        <f t="shared" si="7"/>
        <v>0</v>
      </c>
      <c r="I116" s="1806">
        <f>I117</f>
        <v>195</v>
      </c>
      <c r="J116" s="1819">
        <f t="shared" si="5"/>
        <v>0.28307178775793312</v>
      </c>
      <c r="K116" s="1820" t="e">
        <f t="shared" si="6"/>
        <v>#DIV/0!</v>
      </c>
      <c r="L116" s="484"/>
    </row>
    <row r="117" spans="1:12" s="22" customFormat="1" ht="19.5" customHeight="1" thickBot="1" x14ac:dyDescent="0.3">
      <c r="A117" s="1699"/>
      <c r="B117" s="1699" t="s">
        <v>315</v>
      </c>
      <c r="C117" s="1700"/>
      <c r="D117" s="1711">
        <v>4121</v>
      </c>
      <c r="E117" s="1713" t="s">
        <v>255</v>
      </c>
      <c r="F117" s="1728">
        <f>'izvršenje I-XII 2023'!C179</f>
        <v>68887.11925144335</v>
      </c>
      <c r="G117" s="1728"/>
      <c r="H117" s="1739">
        <f t="shared" si="7"/>
        <v>0</v>
      </c>
      <c r="I117" s="1809">
        <f>'izvršenje I-XII 2023'!E179</f>
        <v>195</v>
      </c>
      <c r="J117" s="1819">
        <f t="shared" si="5"/>
        <v>0.28307178775793312</v>
      </c>
      <c r="K117" s="1820" t="e">
        <f t="shared" si="6"/>
        <v>#DIV/0!</v>
      </c>
      <c r="L117" s="484"/>
    </row>
    <row r="118" spans="1:12" s="22" customFormat="1" ht="19.5" customHeight="1" thickBot="1" x14ac:dyDescent="0.3">
      <c r="A118" s="1789"/>
      <c r="B118" s="1778">
        <v>42</v>
      </c>
      <c r="C118" s="1790"/>
      <c r="D118" s="1778"/>
      <c r="E118" s="1779" t="s">
        <v>499</v>
      </c>
      <c r="F118" s="1731">
        <f>F119+F126+F128</f>
        <v>2220.9423319397438</v>
      </c>
      <c r="G118" s="1731">
        <f>'izvršenje I-XII 2023'!D197+'izvršenje I-XII 2023'!D199</f>
        <v>1973413</v>
      </c>
      <c r="H118" s="1730">
        <f t="shared" si="7"/>
        <v>1973413</v>
      </c>
      <c r="I118" s="1814">
        <f>I119+I126+I128</f>
        <v>1963090.75</v>
      </c>
      <c r="J118" s="1819">
        <f t="shared" si="5"/>
        <v>88389.992021335405</v>
      </c>
      <c r="K118" s="1820">
        <f t="shared" si="6"/>
        <v>99.476934123774399</v>
      </c>
      <c r="L118" s="484"/>
    </row>
    <row r="119" spans="1:12" s="22" customFormat="1" ht="19.5" customHeight="1" x14ac:dyDescent="0.25">
      <c r="A119" s="1776"/>
      <c r="B119" s="1776"/>
      <c r="C119" s="1788">
        <v>422</v>
      </c>
      <c r="D119" s="1776"/>
      <c r="E119" s="1708" t="s">
        <v>127</v>
      </c>
      <c r="F119" s="1735">
        <f>F120+F121+F122+F123+F124+F125</f>
        <v>1027.31435397173</v>
      </c>
      <c r="G119" s="1735"/>
      <c r="H119" s="1734">
        <f t="shared" si="7"/>
        <v>0</v>
      </c>
      <c r="I119" s="1824">
        <f>I120+I121+I122+I123+I124+I125</f>
        <v>1961854.18</v>
      </c>
      <c r="J119" s="1819">
        <f t="shared" si="5"/>
        <v>190969.21720359675</v>
      </c>
      <c r="K119" s="1820" t="e">
        <f t="shared" si="6"/>
        <v>#DIV/0!</v>
      </c>
      <c r="L119" s="484"/>
    </row>
    <row r="120" spans="1:12" s="22" customFormat="1" ht="19.5" customHeight="1" x14ac:dyDescent="0.25">
      <c r="A120" s="1688"/>
      <c r="B120" s="1688"/>
      <c r="C120" s="1689"/>
      <c r="D120" s="1688">
        <v>4221</v>
      </c>
      <c r="E120" s="1678" t="s">
        <v>117</v>
      </c>
      <c r="F120" s="1743">
        <f>'izvršenje I-XII 2023'!C183</f>
        <v>894.72426836551858</v>
      </c>
      <c r="G120" s="1743"/>
      <c r="H120" s="1737">
        <f t="shared" si="7"/>
        <v>0</v>
      </c>
      <c r="I120" s="1825">
        <f>'izvršenje I-XII 2023'!E183</f>
        <v>212304.16999999998</v>
      </c>
      <c r="J120" s="1819">
        <f t="shared" si="5"/>
        <v>23728.446573583729</v>
      </c>
      <c r="K120" s="1820" t="e">
        <f t="shared" si="6"/>
        <v>#DIV/0!</v>
      </c>
      <c r="L120" s="484"/>
    </row>
    <row r="121" spans="1:12" s="22" customFormat="1" ht="19.5" customHeight="1" x14ac:dyDescent="0.25">
      <c r="A121" s="1688"/>
      <c r="B121" s="1688"/>
      <c r="C121" s="1689"/>
      <c r="D121" s="1686">
        <v>4222</v>
      </c>
      <c r="E121" s="1678" t="s">
        <v>118</v>
      </c>
      <c r="F121" s="1743">
        <f>'izvršenje I-XII 2023'!C185</f>
        <v>132.59008560621143</v>
      </c>
      <c r="G121" s="1743"/>
      <c r="H121" s="1737">
        <f t="shared" si="7"/>
        <v>0</v>
      </c>
      <c r="I121" s="1825">
        <f>'izvršenje I-XII 2023'!E185</f>
        <v>0</v>
      </c>
      <c r="J121" s="1819">
        <f t="shared" si="5"/>
        <v>0</v>
      </c>
      <c r="K121" s="1820" t="e">
        <f t="shared" si="6"/>
        <v>#DIV/0!</v>
      </c>
      <c r="L121" s="484"/>
    </row>
    <row r="122" spans="1:12" s="22" customFormat="1" ht="19.5" customHeight="1" x14ac:dyDescent="0.25">
      <c r="A122" s="1688"/>
      <c r="B122" s="1688"/>
      <c r="C122" s="1689"/>
      <c r="D122" s="1686">
        <v>4223</v>
      </c>
      <c r="E122" s="1678" t="s">
        <v>130</v>
      </c>
      <c r="F122" s="1743">
        <f>'izvršenje I-XII 2023'!C188</f>
        <v>0</v>
      </c>
      <c r="G122" s="1743"/>
      <c r="H122" s="1737">
        <f t="shared" si="7"/>
        <v>0</v>
      </c>
      <c r="I122" s="1825">
        <f>'izvršenje I-XII 2023'!E188</f>
        <v>5263.54</v>
      </c>
      <c r="J122" s="1819" t="e">
        <f t="shared" si="5"/>
        <v>#DIV/0!</v>
      </c>
      <c r="K122" s="1820" t="e">
        <f t="shared" si="6"/>
        <v>#DIV/0!</v>
      </c>
      <c r="L122" s="484"/>
    </row>
    <row r="123" spans="1:12" s="22" customFormat="1" ht="19.5" customHeight="1" x14ac:dyDescent="0.25">
      <c r="A123" s="1685"/>
      <c r="B123" s="1685"/>
      <c r="C123" s="1687"/>
      <c r="D123" s="1686">
        <v>4224</v>
      </c>
      <c r="E123" s="1678" t="s">
        <v>159</v>
      </c>
      <c r="F123" s="1738">
        <f>'izvršenje I-XII 2023'!C191</f>
        <v>0</v>
      </c>
      <c r="G123" s="1738"/>
      <c r="H123" s="1737">
        <f t="shared" si="7"/>
        <v>0</v>
      </c>
      <c r="I123" s="1807">
        <f>'izvršenje I-XII 2023'!E191</f>
        <v>1654706.54</v>
      </c>
      <c r="J123" s="1819" t="e">
        <f t="shared" si="5"/>
        <v>#DIV/0!</v>
      </c>
      <c r="K123" s="1820" t="e">
        <f t="shared" si="6"/>
        <v>#DIV/0!</v>
      </c>
      <c r="L123" s="484"/>
    </row>
    <row r="124" spans="1:12" s="22" customFormat="1" ht="19.5" customHeight="1" x14ac:dyDescent="0.25">
      <c r="A124" s="1685"/>
      <c r="B124" s="1685"/>
      <c r="C124" s="1687"/>
      <c r="D124" s="1686">
        <v>4226</v>
      </c>
      <c r="E124" s="1678" t="s">
        <v>131</v>
      </c>
      <c r="F124" s="1738">
        <f>'izvršenje I-XII 2023'!C194</f>
        <v>0</v>
      </c>
      <c r="G124" s="1738"/>
      <c r="H124" s="1737">
        <f t="shared" si="7"/>
        <v>0</v>
      </c>
      <c r="I124" s="1807">
        <f>'izvršenje I-XII 2023'!E194</f>
        <v>0</v>
      </c>
      <c r="J124" s="1819" t="e">
        <f t="shared" si="5"/>
        <v>#DIV/0!</v>
      </c>
      <c r="K124" s="1820" t="e">
        <f t="shared" si="6"/>
        <v>#DIV/0!</v>
      </c>
      <c r="L124" s="484"/>
    </row>
    <row r="125" spans="1:12" s="22" customFormat="1" ht="19.5" customHeight="1" x14ac:dyDescent="0.25">
      <c r="A125" s="1685"/>
      <c r="B125" s="1685"/>
      <c r="C125" s="1687"/>
      <c r="D125" s="1686">
        <v>4227</v>
      </c>
      <c r="E125" s="1678" t="s">
        <v>128</v>
      </c>
      <c r="F125" s="1738">
        <f>'izvršenje I-XII 2023'!C196</f>
        <v>0</v>
      </c>
      <c r="G125" s="1738"/>
      <c r="H125" s="1737">
        <f t="shared" si="7"/>
        <v>0</v>
      </c>
      <c r="I125" s="1807">
        <f>'izvršenje I-XII 2023'!E196</f>
        <v>89579.930000000008</v>
      </c>
      <c r="J125" s="1819" t="e">
        <f t="shared" si="5"/>
        <v>#DIV/0!</v>
      </c>
      <c r="K125" s="1820" t="e">
        <f t="shared" si="6"/>
        <v>#DIV/0!</v>
      </c>
      <c r="L125" s="484"/>
    </row>
    <row r="126" spans="1:12" s="22" customFormat="1" ht="19.5" customHeight="1" x14ac:dyDescent="0.25">
      <c r="A126" s="1685"/>
      <c r="B126" s="1685"/>
      <c r="C126" s="1687">
        <v>424</v>
      </c>
      <c r="D126" s="1685"/>
      <c r="E126" s="1678" t="s">
        <v>125</v>
      </c>
      <c r="F126" s="1738">
        <f>F127</f>
        <v>1193.6279779680137</v>
      </c>
      <c r="G126" s="1738">
        <f>'izvršenje I-XII 2023'!D199</f>
        <v>2158</v>
      </c>
      <c r="H126" s="1737">
        <f t="shared" si="7"/>
        <v>2158</v>
      </c>
      <c r="I126" s="1807">
        <f>I127</f>
        <v>1236.57</v>
      </c>
      <c r="J126" s="1819">
        <f t="shared" si="5"/>
        <v>103.59760518558629</v>
      </c>
      <c r="K126" s="1820">
        <f t="shared" si="6"/>
        <v>57.301668211306769</v>
      </c>
      <c r="L126" s="484"/>
    </row>
    <row r="127" spans="1:12" s="22" customFormat="1" ht="19.5" customHeight="1" x14ac:dyDescent="0.25">
      <c r="A127" s="1685"/>
      <c r="B127" s="1685"/>
      <c r="C127" s="1687"/>
      <c r="D127" s="1685">
        <v>4241</v>
      </c>
      <c r="E127" s="1679" t="s">
        <v>374</v>
      </c>
      <c r="F127" s="1738">
        <f>'izvršenje I-XII 2023'!C199</f>
        <v>1193.6279779680137</v>
      </c>
      <c r="G127" s="1738"/>
      <c r="H127" s="1737">
        <f t="shared" si="7"/>
        <v>0</v>
      </c>
      <c r="I127" s="1807">
        <f>'izvršenje I-XII 2023'!E199</f>
        <v>1236.57</v>
      </c>
      <c r="J127" s="1819">
        <f t="shared" si="5"/>
        <v>103.59760518558629</v>
      </c>
      <c r="K127" s="1820" t="e">
        <f t="shared" si="6"/>
        <v>#DIV/0!</v>
      </c>
      <c r="L127" s="484"/>
    </row>
    <row r="128" spans="1:12" s="22" customFormat="1" ht="19.5" customHeight="1" thickBot="1" x14ac:dyDescent="0.3">
      <c r="A128" s="1712"/>
      <c r="B128" s="1712"/>
      <c r="C128" s="1791">
        <v>426</v>
      </c>
      <c r="D128" s="1712"/>
      <c r="E128" s="1745" t="s">
        <v>124</v>
      </c>
      <c r="F128" s="1729">
        <v>0</v>
      </c>
      <c r="G128" s="1729">
        <v>0</v>
      </c>
      <c r="H128" s="1739">
        <f t="shared" si="7"/>
        <v>0</v>
      </c>
      <c r="I128" s="1809">
        <v>0</v>
      </c>
      <c r="J128" s="1819" t="e">
        <f t="shared" si="5"/>
        <v>#DIV/0!</v>
      </c>
      <c r="K128" s="1820" t="e">
        <f t="shared" si="6"/>
        <v>#DIV/0!</v>
      </c>
      <c r="L128" s="484"/>
    </row>
    <row r="129" spans="1:12" s="22" customFormat="1" ht="19.5" customHeight="1" thickBot="1" x14ac:dyDescent="0.3">
      <c r="A129" s="1789"/>
      <c r="B129" s="1778">
        <v>45</v>
      </c>
      <c r="C129" s="1790"/>
      <c r="D129" s="1778"/>
      <c r="E129" s="1779"/>
      <c r="F129" s="1731">
        <f>F130</f>
        <v>2108748.0284026805</v>
      </c>
      <c r="G129" s="1731">
        <f>'izvršenje I-XII 2023'!D204</f>
        <v>0</v>
      </c>
      <c r="H129" s="1730">
        <f t="shared" si="7"/>
        <v>0</v>
      </c>
      <c r="I129" s="1814">
        <f>I130</f>
        <v>0</v>
      </c>
      <c r="J129" s="1819">
        <f t="shared" si="5"/>
        <v>0</v>
      </c>
      <c r="K129" s="1820" t="e">
        <f t="shared" si="6"/>
        <v>#DIV/0!</v>
      </c>
      <c r="L129" s="484"/>
    </row>
    <row r="130" spans="1:12" s="22" customFormat="1" ht="19.5" customHeight="1" x14ac:dyDescent="0.25">
      <c r="A130" s="1776"/>
      <c r="B130" s="1776"/>
      <c r="C130" s="1788">
        <v>451</v>
      </c>
      <c r="D130" s="1776"/>
      <c r="E130" s="1708" t="s">
        <v>184</v>
      </c>
      <c r="F130" s="1735">
        <f>F131</f>
        <v>2108748.0284026805</v>
      </c>
      <c r="G130" s="1735">
        <f>'izvršenje I-XII 2023'!D204</f>
        <v>0</v>
      </c>
      <c r="H130" s="1734">
        <f t="shared" si="7"/>
        <v>0</v>
      </c>
      <c r="I130" s="1824">
        <f>I131</f>
        <v>0</v>
      </c>
      <c r="J130" s="1819">
        <f t="shared" si="5"/>
        <v>0</v>
      </c>
      <c r="K130" s="1820" t="e">
        <f t="shared" si="6"/>
        <v>#DIV/0!</v>
      </c>
      <c r="L130" s="484"/>
    </row>
    <row r="131" spans="1:12" s="22" customFormat="1" ht="19.5" customHeight="1" x14ac:dyDescent="0.25">
      <c r="A131" s="1685"/>
      <c r="B131" s="1685"/>
      <c r="C131" s="1687"/>
      <c r="D131" s="1685">
        <v>4511</v>
      </c>
      <c r="E131" s="1679" t="s">
        <v>184</v>
      </c>
      <c r="F131" s="1738">
        <f>'izvršenje I-XII 2023'!C204</f>
        <v>2108748.0284026805</v>
      </c>
      <c r="G131" s="1738"/>
      <c r="H131" s="1737">
        <f t="shared" si="7"/>
        <v>0</v>
      </c>
      <c r="I131" s="1807">
        <f>'izvršenje I-XII 2023'!E204</f>
        <v>0</v>
      </c>
      <c r="J131" s="1819">
        <f t="shared" si="5"/>
        <v>0</v>
      </c>
      <c r="K131" s="1820" t="e">
        <f t="shared" si="6"/>
        <v>#DIV/0!</v>
      </c>
      <c r="L131" s="484"/>
    </row>
    <row r="132" spans="1:12" s="22" customFormat="1" ht="19.5" customHeight="1" thickBot="1" x14ac:dyDescent="0.3">
      <c r="A132" s="1712"/>
      <c r="B132" s="1712"/>
      <c r="C132" s="1791"/>
      <c r="D132" s="1712"/>
      <c r="E132" s="1713"/>
      <c r="F132" s="1729"/>
      <c r="G132" s="1729"/>
      <c r="H132" s="1729"/>
      <c r="I132" s="1809"/>
      <c r="J132" s="1819"/>
      <c r="K132" s="1820"/>
      <c r="L132" s="484"/>
    </row>
    <row r="133" spans="1:12" s="22" customFormat="1" ht="19.5" customHeight="1" x14ac:dyDescent="0.25">
      <c r="A133" s="1792">
        <v>5</v>
      </c>
      <c r="B133" s="1793"/>
      <c r="C133" s="1746">
        <v>544</v>
      </c>
      <c r="D133" s="1747"/>
      <c r="E133" s="1747" t="s">
        <v>251</v>
      </c>
      <c r="F133" s="1749"/>
      <c r="G133" s="1749">
        <f>'izvršenje I-XII 2023'!D215</f>
        <v>93848</v>
      </c>
      <c r="H133" s="1749"/>
      <c r="I133" s="1811"/>
      <c r="J133" s="1819" t="e">
        <f t="shared" si="5"/>
        <v>#DIV/0!</v>
      </c>
      <c r="K133" s="1820" t="e">
        <f t="shared" si="6"/>
        <v>#DIV/0!</v>
      </c>
      <c r="L133" s="484"/>
    </row>
    <row r="134" spans="1:12" s="22" customFormat="1" ht="19.5" customHeight="1" thickBot="1" x14ac:dyDescent="0.3">
      <c r="A134" s="1794"/>
      <c r="B134" s="1795"/>
      <c r="C134" s="1797"/>
      <c r="D134" s="1752" t="s">
        <v>250</v>
      </c>
      <c r="E134" s="1796"/>
      <c r="F134" s="1754"/>
      <c r="G134" s="1754"/>
      <c r="H134" s="1754"/>
      <c r="I134" s="1812"/>
      <c r="J134" s="1821"/>
      <c r="K134" s="1755"/>
      <c r="L134" s="484"/>
    </row>
  </sheetData>
  <mergeCells count="7">
    <mergeCell ref="A46:E46"/>
    <mergeCell ref="A2:K2"/>
    <mergeCell ref="A4:K4"/>
    <mergeCell ref="A6:K6"/>
    <mergeCell ref="A8:E8"/>
    <mergeCell ref="A9:E9"/>
    <mergeCell ref="A45:E45"/>
  </mergeCells>
  <pageMargins left="0.7" right="0.7" top="0.75" bottom="0.75" header="0.3" footer="0.3"/>
  <pageSetup paperSize="9" scale="8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1"/>
  <sheetViews>
    <sheetView workbookViewId="0">
      <selection sqref="A1:G61"/>
    </sheetView>
  </sheetViews>
  <sheetFormatPr defaultRowHeight="15" x14ac:dyDescent="0.25"/>
  <cols>
    <col min="1" max="1" width="48.5703125" style="426" customWidth="1"/>
    <col min="2" max="5" width="25.28515625" customWidth="1"/>
    <col min="6" max="7" width="15.7109375" style="213" customWidth="1"/>
  </cols>
  <sheetData>
    <row r="1" spans="1:7" ht="18" x14ac:dyDescent="0.25">
      <c r="A1" s="424"/>
      <c r="B1" s="291"/>
      <c r="C1" s="291"/>
      <c r="D1" s="291"/>
      <c r="E1" s="293"/>
      <c r="F1" s="440"/>
      <c r="G1" s="440"/>
    </row>
    <row r="2" spans="1:7" ht="15.75" customHeight="1" x14ac:dyDescent="0.25">
      <c r="A2" s="1945" t="s">
        <v>322</v>
      </c>
      <c r="B2" s="1945"/>
      <c r="C2" s="1945"/>
      <c r="D2" s="1945"/>
      <c r="E2" s="1945"/>
      <c r="F2" s="1945"/>
      <c r="G2" s="1945"/>
    </row>
    <row r="3" spans="1:7" ht="18" x14ac:dyDescent="0.25">
      <c r="A3" s="424"/>
      <c r="B3" s="291"/>
      <c r="C3" s="291"/>
      <c r="D3" s="291"/>
      <c r="E3" s="293"/>
      <c r="F3" s="440"/>
      <c r="G3" s="440"/>
    </row>
    <row r="4" spans="1:7" ht="33.75" customHeight="1" x14ac:dyDescent="0.25">
      <c r="A4" s="425" t="s">
        <v>285</v>
      </c>
      <c r="B4" s="308" t="s">
        <v>341</v>
      </c>
      <c r="C4" s="308" t="s">
        <v>286</v>
      </c>
      <c r="D4" s="308" t="s">
        <v>287</v>
      </c>
      <c r="E4" s="308" t="s">
        <v>342</v>
      </c>
      <c r="F4" s="441" t="s">
        <v>136</v>
      </c>
      <c r="G4" s="441" t="s">
        <v>288</v>
      </c>
    </row>
    <row r="5" spans="1:7" ht="15.75" thickBot="1" x14ac:dyDescent="0.3">
      <c r="A5" s="442">
        <v>1</v>
      </c>
      <c r="B5" s="443">
        <v>2</v>
      </c>
      <c r="C5" s="443">
        <v>3</v>
      </c>
      <c r="D5" s="443">
        <v>4</v>
      </c>
      <c r="E5" s="443">
        <v>5</v>
      </c>
      <c r="F5" s="444" t="s">
        <v>289</v>
      </c>
      <c r="G5" s="444" t="s">
        <v>290</v>
      </c>
    </row>
    <row r="6" spans="1:7" s="434" customFormat="1" ht="33.75" customHeight="1" thickBot="1" x14ac:dyDescent="0.3">
      <c r="A6" s="448" t="s">
        <v>323</v>
      </c>
      <c r="B6" s="449">
        <f>B7+B12+B14+B24+B26</f>
        <v>3920110.85</v>
      </c>
      <c r="C6" s="449">
        <f t="shared" ref="C6:E6" si="0">C7+C12+C14+C24+C26</f>
        <v>5074649</v>
      </c>
      <c r="D6" s="449">
        <f t="shared" si="0"/>
        <v>5074649</v>
      </c>
      <c r="E6" s="449">
        <f t="shared" si="0"/>
        <v>5162360.45</v>
      </c>
      <c r="F6" s="450">
        <f>E6/B6*100</f>
        <v>131.68914470875231</v>
      </c>
      <c r="G6" s="451">
        <f>E6/D6*100</f>
        <v>101.7284239757272</v>
      </c>
    </row>
    <row r="7" spans="1:7" s="434" customFormat="1" ht="33.75" customHeight="1" x14ac:dyDescent="0.25">
      <c r="A7" s="445" t="s">
        <v>324</v>
      </c>
      <c r="B7" s="446">
        <v>269286.18</v>
      </c>
      <c r="C7" s="446">
        <v>285873</v>
      </c>
      <c r="D7" s="446">
        <f>C7/12*12</f>
        <v>285873</v>
      </c>
      <c r="E7" s="447">
        <v>298817.76</v>
      </c>
      <c r="F7" s="447">
        <f>E7/B7*100</f>
        <v>110.9666155166225</v>
      </c>
      <c r="G7" s="447">
        <f>E7/D7*100</f>
        <v>104.52815061233484</v>
      </c>
    </row>
    <row r="8" spans="1:7" s="434" customFormat="1" ht="33.75" customHeight="1" x14ac:dyDescent="0.25">
      <c r="A8" s="427" t="s">
        <v>375</v>
      </c>
      <c r="B8" s="435">
        <v>99635.28</v>
      </c>
      <c r="C8" s="435">
        <v>168735</v>
      </c>
      <c r="D8" s="435">
        <f t="shared" ref="D8:D54" si="1">C8/12*12</f>
        <v>168735</v>
      </c>
      <c r="E8" s="436">
        <v>181959.23</v>
      </c>
      <c r="F8" s="436">
        <f t="shared" ref="F8:F52" si="2">E8/B8*100</f>
        <v>182.6253009977992</v>
      </c>
      <c r="G8" s="436">
        <f t="shared" ref="G8:G52" si="3">E8/D8*100</f>
        <v>107.83727738761965</v>
      </c>
    </row>
    <row r="9" spans="1:7" s="434" customFormat="1" ht="33.75" customHeight="1" x14ac:dyDescent="0.25">
      <c r="A9" s="428" t="s">
        <v>376</v>
      </c>
      <c r="B9" s="435">
        <v>169061.62</v>
      </c>
      <c r="C9" s="435">
        <v>115178</v>
      </c>
      <c r="D9" s="435">
        <f t="shared" si="1"/>
        <v>115178</v>
      </c>
      <c r="E9" s="436">
        <v>115178</v>
      </c>
      <c r="F9" s="436">
        <f t="shared" si="2"/>
        <v>68.127822269773588</v>
      </c>
      <c r="G9" s="436">
        <f t="shared" si="3"/>
        <v>100</v>
      </c>
    </row>
    <row r="10" spans="1:7" s="434" customFormat="1" ht="33.75" customHeight="1" x14ac:dyDescent="0.25">
      <c r="A10" s="428" t="s">
        <v>378</v>
      </c>
      <c r="B10" s="435">
        <v>232.26</v>
      </c>
      <c r="C10" s="435">
        <v>500</v>
      </c>
      <c r="D10" s="435">
        <v>500</v>
      </c>
      <c r="E10" s="436">
        <v>349.4</v>
      </c>
      <c r="F10" s="436">
        <f>E10/B10*100</f>
        <v>150.43485748729873</v>
      </c>
      <c r="G10" s="436">
        <f t="shared" si="3"/>
        <v>69.88</v>
      </c>
    </row>
    <row r="11" spans="1:7" s="434" customFormat="1" ht="33.75" customHeight="1" x14ac:dyDescent="0.25">
      <c r="A11" s="428" t="s">
        <v>377</v>
      </c>
      <c r="B11" s="435">
        <v>357.02</v>
      </c>
      <c r="C11" s="435">
        <v>1460</v>
      </c>
      <c r="D11" s="435">
        <v>1460</v>
      </c>
      <c r="E11" s="436">
        <v>1331.13</v>
      </c>
      <c r="F11" s="436">
        <f t="shared" si="2"/>
        <v>372.84465856254553</v>
      </c>
      <c r="G11" s="436">
        <f t="shared" si="3"/>
        <v>91.173287671232885</v>
      </c>
    </row>
    <row r="12" spans="1:7" s="434" customFormat="1" ht="33.75" customHeight="1" x14ac:dyDescent="0.25">
      <c r="A12" s="314" t="s">
        <v>379</v>
      </c>
      <c r="B12" s="435">
        <v>21824.13</v>
      </c>
      <c r="C12" s="435">
        <v>30527</v>
      </c>
      <c r="D12" s="435">
        <f t="shared" si="1"/>
        <v>30527</v>
      </c>
      <c r="E12" s="436">
        <v>19523.099999999999</v>
      </c>
      <c r="F12" s="436">
        <f t="shared" si="2"/>
        <v>89.456486925251994</v>
      </c>
      <c r="G12" s="436">
        <f t="shared" si="3"/>
        <v>63.953549316998057</v>
      </c>
    </row>
    <row r="13" spans="1:7" s="434" customFormat="1" ht="33.75" customHeight="1" x14ac:dyDescent="0.25">
      <c r="A13" s="429" t="s">
        <v>380</v>
      </c>
      <c r="B13" s="435">
        <v>21824.13</v>
      </c>
      <c r="C13" s="435">
        <v>30527</v>
      </c>
      <c r="D13" s="435">
        <f t="shared" si="1"/>
        <v>30527</v>
      </c>
      <c r="E13" s="436">
        <v>19523.099999999999</v>
      </c>
      <c r="F13" s="436">
        <f t="shared" si="2"/>
        <v>89.456486925251994</v>
      </c>
      <c r="G13" s="436">
        <f t="shared" si="3"/>
        <v>63.953549316998057</v>
      </c>
    </row>
    <row r="14" spans="1:7" s="434" customFormat="1" ht="33.75" customHeight="1" x14ac:dyDescent="0.25">
      <c r="A14" s="314" t="s">
        <v>381</v>
      </c>
      <c r="B14" s="435">
        <v>3628761.64</v>
      </c>
      <c r="C14" s="435">
        <v>3296573</v>
      </c>
      <c r="D14" s="435">
        <f t="shared" si="1"/>
        <v>3296573</v>
      </c>
      <c r="E14" s="436">
        <v>3208776.73</v>
      </c>
      <c r="F14" s="436">
        <f t="shared" si="2"/>
        <v>88.426219419581386</v>
      </c>
      <c r="G14" s="436">
        <f t="shared" si="3"/>
        <v>97.336741215801979</v>
      </c>
    </row>
    <row r="15" spans="1:7" s="434" customFormat="1" ht="33.75" customHeight="1" x14ac:dyDescent="0.25">
      <c r="A15" s="430" t="s">
        <v>382</v>
      </c>
      <c r="B15" s="435">
        <v>1172670.53</v>
      </c>
      <c r="C15" s="435">
        <v>1424713</v>
      </c>
      <c r="D15" s="435">
        <f t="shared" si="1"/>
        <v>1424713</v>
      </c>
      <c r="E15" s="436">
        <v>1224146.69</v>
      </c>
      <c r="F15" s="436">
        <f t="shared" si="2"/>
        <v>104.38965239452209</v>
      </c>
      <c r="G15" s="436">
        <f t="shared" si="3"/>
        <v>85.922335937132601</v>
      </c>
    </row>
    <row r="16" spans="1:7" s="434" customFormat="1" ht="33.75" customHeight="1" x14ac:dyDescent="0.25">
      <c r="A16" s="315" t="s">
        <v>383</v>
      </c>
      <c r="B16" s="435">
        <v>146.96</v>
      </c>
      <c r="C16" s="435">
        <v>0</v>
      </c>
      <c r="D16" s="435">
        <f t="shared" si="1"/>
        <v>0</v>
      </c>
      <c r="E16" s="436">
        <v>0</v>
      </c>
      <c r="F16" s="436">
        <f t="shared" si="2"/>
        <v>0</v>
      </c>
      <c r="G16" s="436" t="e">
        <f t="shared" si="3"/>
        <v>#DIV/0!</v>
      </c>
    </row>
    <row r="17" spans="1:7" s="434" customFormat="1" ht="33.75" customHeight="1" x14ac:dyDescent="0.25">
      <c r="A17" s="429" t="s">
        <v>384</v>
      </c>
      <c r="B17" s="435">
        <v>146.96</v>
      </c>
      <c r="C17" s="435">
        <v>0</v>
      </c>
      <c r="D17" s="435">
        <f t="shared" si="1"/>
        <v>0</v>
      </c>
      <c r="E17" s="436">
        <v>0</v>
      </c>
      <c r="F17" s="436">
        <f t="shared" si="2"/>
        <v>0</v>
      </c>
      <c r="G17" s="436" t="e">
        <f t="shared" si="3"/>
        <v>#DIV/0!</v>
      </c>
    </row>
    <row r="18" spans="1:7" s="434" customFormat="1" ht="33.75" customHeight="1" x14ac:dyDescent="0.25">
      <c r="A18" s="423" t="s">
        <v>397</v>
      </c>
      <c r="B18" s="435">
        <v>1172523.57</v>
      </c>
      <c r="C18" s="435">
        <v>1424713</v>
      </c>
      <c r="D18" s="435">
        <f t="shared" si="1"/>
        <v>1424713</v>
      </c>
      <c r="E18" s="436">
        <v>1224146.69</v>
      </c>
      <c r="F18" s="436">
        <f t="shared" si="2"/>
        <v>104.40273622815104</v>
      </c>
      <c r="G18" s="436">
        <f t="shared" si="3"/>
        <v>85.922335937132601</v>
      </c>
    </row>
    <row r="19" spans="1:7" s="434" customFormat="1" ht="33.75" customHeight="1" x14ac:dyDescent="0.25">
      <c r="A19" s="422" t="s">
        <v>386</v>
      </c>
      <c r="B19" s="435">
        <v>2456091.11</v>
      </c>
      <c r="C19" s="435">
        <v>1871860</v>
      </c>
      <c r="D19" s="435">
        <f t="shared" si="1"/>
        <v>1871860</v>
      </c>
      <c r="E19" s="436">
        <v>1984630.04</v>
      </c>
      <c r="F19" s="436">
        <f t="shared" si="2"/>
        <v>80.8044144583871</v>
      </c>
      <c r="G19" s="436">
        <f t="shared" si="3"/>
        <v>106.02449114784224</v>
      </c>
    </row>
    <row r="20" spans="1:7" s="434" customFormat="1" ht="33.75" customHeight="1" x14ac:dyDescent="0.25">
      <c r="A20" s="324" t="s">
        <v>387</v>
      </c>
      <c r="B20" s="435">
        <v>832.78</v>
      </c>
      <c r="C20" s="435">
        <v>0</v>
      </c>
      <c r="D20" s="435">
        <f t="shared" si="1"/>
        <v>0</v>
      </c>
      <c r="E20" s="436">
        <v>0</v>
      </c>
      <c r="F20" s="436">
        <f t="shared" si="2"/>
        <v>0</v>
      </c>
      <c r="G20" s="436" t="e">
        <f t="shared" si="3"/>
        <v>#DIV/0!</v>
      </c>
    </row>
    <row r="21" spans="1:7" s="434" customFormat="1" ht="33.75" customHeight="1" x14ac:dyDescent="0.25">
      <c r="A21" s="428" t="s">
        <v>388</v>
      </c>
      <c r="B21" s="435">
        <v>832.78</v>
      </c>
      <c r="C21" s="435">
        <v>0</v>
      </c>
      <c r="D21" s="435">
        <f t="shared" si="1"/>
        <v>0</v>
      </c>
      <c r="E21" s="436">
        <v>0</v>
      </c>
      <c r="F21" s="436">
        <f t="shared" si="2"/>
        <v>0</v>
      </c>
      <c r="G21" s="436" t="e">
        <f t="shared" si="3"/>
        <v>#DIV/0!</v>
      </c>
    </row>
    <row r="22" spans="1:7" s="434" customFormat="1" ht="33.75" customHeight="1" x14ac:dyDescent="0.25">
      <c r="A22" s="428" t="s">
        <v>389</v>
      </c>
      <c r="B22" s="435">
        <v>2455258.33</v>
      </c>
      <c r="C22" s="435">
        <v>1871860</v>
      </c>
      <c r="D22" s="435">
        <f t="shared" si="1"/>
        <v>1871860</v>
      </c>
      <c r="E22" s="436">
        <v>1984630.04</v>
      </c>
      <c r="F22" s="436">
        <f t="shared" si="2"/>
        <v>80.831821880021877</v>
      </c>
      <c r="G22" s="436">
        <f t="shared" si="3"/>
        <v>106.02449114784224</v>
      </c>
    </row>
    <row r="23" spans="1:7" s="434" customFormat="1" ht="33.75" customHeight="1" x14ac:dyDescent="0.25">
      <c r="A23" s="428" t="s">
        <v>390</v>
      </c>
      <c r="B23" s="435">
        <v>1450866.65</v>
      </c>
      <c r="C23" s="435">
        <v>171000</v>
      </c>
      <c r="D23" s="435">
        <f t="shared" si="1"/>
        <v>171000</v>
      </c>
      <c r="E23" s="436">
        <v>944161.26</v>
      </c>
      <c r="F23" s="436">
        <f t="shared" si="2"/>
        <v>65.075674597662029</v>
      </c>
      <c r="G23" s="436">
        <f t="shared" si="3"/>
        <v>552.1410877192983</v>
      </c>
    </row>
    <row r="24" spans="1:7" s="434" customFormat="1" ht="33.75" customHeight="1" x14ac:dyDescent="0.25">
      <c r="A24" s="431" t="s">
        <v>391</v>
      </c>
      <c r="B24" s="435">
        <v>238.9</v>
      </c>
      <c r="C24" s="435">
        <v>1725</v>
      </c>
      <c r="D24" s="435">
        <f t="shared" si="1"/>
        <v>1725</v>
      </c>
      <c r="E24" s="436">
        <v>250</v>
      </c>
      <c r="F24" s="436">
        <f t="shared" si="2"/>
        <v>104.64629552113855</v>
      </c>
      <c r="G24" s="436">
        <f t="shared" si="3"/>
        <v>14.492753623188406</v>
      </c>
    </row>
    <row r="25" spans="1:7" s="434" customFormat="1" ht="33.75" customHeight="1" x14ac:dyDescent="0.25">
      <c r="A25" s="428" t="s">
        <v>392</v>
      </c>
      <c r="B25" s="435">
        <v>238.9</v>
      </c>
      <c r="C25" s="435">
        <v>1725</v>
      </c>
      <c r="D25" s="435">
        <f t="shared" si="1"/>
        <v>1725</v>
      </c>
      <c r="E25" s="436">
        <v>250</v>
      </c>
      <c r="F25" s="436">
        <f t="shared" si="2"/>
        <v>104.64629552113855</v>
      </c>
      <c r="G25" s="436">
        <f t="shared" si="3"/>
        <v>14.492753623188406</v>
      </c>
    </row>
    <row r="26" spans="1:7" s="434" customFormat="1" ht="33.75" customHeight="1" x14ac:dyDescent="0.25">
      <c r="A26" s="431" t="s">
        <v>393</v>
      </c>
      <c r="B26" s="435">
        <v>0</v>
      </c>
      <c r="C26" s="435">
        <v>1459951</v>
      </c>
      <c r="D26" s="435">
        <f t="shared" si="1"/>
        <v>1459951</v>
      </c>
      <c r="E26" s="436">
        <v>1634992.86</v>
      </c>
      <c r="F26" s="436" t="e">
        <f t="shared" si="2"/>
        <v>#DIV/0!</v>
      </c>
      <c r="G26" s="436">
        <f t="shared" si="3"/>
        <v>111.98957088285842</v>
      </c>
    </row>
    <row r="27" spans="1:7" s="434" customFormat="1" ht="33.75" customHeight="1" x14ac:dyDescent="0.25">
      <c r="A27" s="432" t="s">
        <v>394</v>
      </c>
      <c r="B27" s="435">
        <v>0</v>
      </c>
      <c r="C27" s="435">
        <v>1459951</v>
      </c>
      <c r="D27" s="435">
        <f t="shared" si="1"/>
        <v>1459951</v>
      </c>
      <c r="E27" s="436">
        <v>1634992.86</v>
      </c>
      <c r="F27" s="436" t="e">
        <f t="shared" si="2"/>
        <v>#DIV/0!</v>
      </c>
      <c r="G27" s="436">
        <f t="shared" si="3"/>
        <v>111.98957088285842</v>
      </c>
    </row>
    <row r="28" spans="1:7" s="434" customFormat="1" ht="33.75" customHeight="1" x14ac:dyDescent="0.25">
      <c r="A28" s="428" t="s">
        <v>395</v>
      </c>
      <c r="B28" s="435">
        <v>0</v>
      </c>
      <c r="C28" s="435">
        <v>1459951</v>
      </c>
      <c r="D28" s="435">
        <f t="shared" si="1"/>
        <v>1459951</v>
      </c>
      <c r="E28" s="436">
        <v>1634992.86</v>
      </c>
      <c r="F28" s="436" t="e">
        <f t="shared" si="2"/>
        <v>#DIV/0!</v>
      </c>
      <c r="G28" s="436">
        <f t="shared" si="3"/>
        <v>111.98957088285842</v>
      </c>
    </row>
    <row r="29" spans="1:7" s="434" customFormat="1" ht="33.75" customHeight="1" thickBot="1" x14ac:dyDescent="0.3">
      <c r="A29" s="452"/>
      <c r="B29" s="453"/>
      <c r="C29" s="453"/>
      <c r="D29" s="453"/>
      <c r="E29" s="454"/>
      <c r="F29" s="454"/>
      <c r="G29" s="454"/>
    </row>
    <row r="30" spans="1:7" s="434" customFormat="1" ht="33.75" customHeight="1" thickBot="1" x14ac:dyDescent="0.3">
      <c r="A30" s="455" t="s">
        <v>318</v>
      </c>
      <c r="B30" s="456">
        <f>B31+B33+B45+B53+B55</f>
        <v>4225007.13</v>
      </c>
      <c r="C30" s="456">
        <f t="shared" ref="C30:E30" si="4">C31+C33+C45+C53+C55</f>
        <v>5074649</v>
      </c>
      <c r="D30" s="456">
        <f t="shared" si="4"/>
        <v>5074649</v>
      </c>
      <c r="E30" s="456">
        <f t="shared" si="4"/>
        <v>4387882.21</v>
      </c>
      <c r="F30" s="450">
        <f t="shared" si="2"/>
        <v>103.85502497365016</v>
      </c>
      <c r="G30" s="451">
        <f t="shared" si="3"/>
        <v>86.46671346136452</v>
      </c>
    </row>
    <row r="31" spans="1:7" s="434" customFormat="1" ht="33.75" customHeight="1" x14ac:dyDescent="0.25">
      <c r="A31" s="470" t="s">
        <v>379</v>
      </c>
      <c r="B31" s="471">
        <v>18878.75</v>
      </c>
      <c r="C31" s="471">
        <v>30527</v>
      </c>
      <c r="D31" s="471">
        <f t="shared" si="1"/>
        <v>30527</v>
      </c>
      <c r="E31" s="472">
        <v>20517.34</v>
      </c>
      <c r="F31" s="472">
        <f t="shared" si="2"/>
        <v>108.67954710984573</v>
      </c>
      <c r="G31" s="472">
        <f t="shared" si="3"/>
        <v>67.210469420512993</v>
      </c>
    </row>
    <row r="32" spans="1:7" s="434" customFormat="1" ht="33.75" customHeight="1" x14ac:dyDescent="0.25">
      <c r="A32" s="429" t="s">
        <v>380</v>
      </c>
      <c r="B32" s="435">
        <v>18875.75</v>
      </c>
      <c r="C32" s="435">
        <v>30527</v>
      </c>
      <c r="D32" s="435">
        <f t="shared" si="1"/>
        <v>30527</v>
      </c>
      <c r="E32" s="436">
        <v>20517.34</v>
      </c>
      <c r="F32" s="436">
        <f t="shared" si="2"/>
        <v>108.69681999390752</v>
      </c>
      <c r="G32" s="436">
        <f t="shared" si="3"/>
        <v>67.210469420512993</v>
      </c>
    </row>
    <row r="33" spans="1:10" s="434" customFormat="1" ht="33.75" customHeight="1" x14ac:dyDescent="0.25">
      <c r="A33" s="457" t="s">
        <v>381</v>
      </c>
      <c r="B33" s="458">
        <f>B34+B38</f>
        <v>3931276.04</v>
      </c>
      <c r="C33" s="458">
        <f t="shared" ref="C33:E33" si="5">C34+C38</f>
        <v>4756524</v>
      </c>
      <c r="D33" s="458">
        <f t="shared" si="5"/>
        <v>4756524</v>
      </c>
      <c r="E33" s="458">
        <f t="shared" si="5"/>
        <v>4088698.1799999997</v>
      </c>
      <c r="F33" s="468">
        <f t="shared" si="2"/>
        <v>104.00435223571836</v>
      </c>
      <c r="G33" s="468">
        <f t="shared" si="3"/>
        <v>85.959792907593851</v>
      </c>
    </row>
    <row r="34" spans="1:10" s="434" customFormat="1" ht="33.75" customHeight="1" x14ac:dyDescent="0.25">
      <c r="A34" s="459" t="s">
        <v>382</v>
      </c>
      <c r="B34" s="460">
        <f>B35+B36+B37</f>
        <v>1159144.9099999999</v>
      </c>
      <c r="C34" s="460">
        <f t="shared" ref="C34:E34" si="6">C35+C36+C37</f>
        <v>1500588</v>
      </c>
      <c r="D34" s="460">
        <f t="shared" si="6"/>
        <v>1500588</v>
      </c>
      <c r="E34" s="460">
        <f t="shared" si="6"/>
        <v>1337877.19</v>
      </c>
      <c r="F34" s="462">
        <f t="shared" si="2"/>
        <v>115.41932147206685</v>
      </c>
      <c r="G34" s="462">
        <f t="shared" si="3"/>
        <v>89.156863176301542</v>
      </c>
    </row>
    <row r="35" spans="1:10" s="434" customFormat="1" ht="33.75" customHeight="1" x14ac:dyDescent="0.25">
      <c r="A35" s="423" t="s">
        <v>385</v>
      </c>
      <c r="B35" s="435">
        <v>893128.4</v>
      </c>
      <c r="C35" s="435">
        <v>1133558</v>
      </c>
      <c r="D35" s="435">
        <f t="shared" si="1"/>
        <v>1133558</v>
      </c>
      <c r="E35" s="436">
        <v>1041246.02</v>
      </c>
      <c r="F35" s="436">
        <f t="shared" si="2"/>
        <v>116.58413504709961</v>
      </c>
      <c r="G35" s="436">
        <f t="shared" si="3"/>
        <v>91.856439635201724</v>
      </c>
    </row>
    <row r="36" spans="1:10" s="434" customFormat="1" ht="33.75" customHeight="1" x14ac:dyDescent="0.25">
      <c r="A36" s="423" t="s">
        <v>396</v>
      </c>
      <c r="B36" s="436">
        <f>107099.33</f>
        <v>107099.33</v>
      </c>
      <c r="C36" s="436">
        <v>84750</v>
      </c>
      <c r="D36" s="435">
        <f t="shared" si="1"/>
        <v>84750</v>
      </c>
      <c r="E36" s="436">
        <v>84077.69</v>
      </c>
      <c r="F36" s="436">
        <f t="shared" si="2"/>
        <v>78.504403342205791</v>
      </c>
      <c r="G36" s="436">
        <f t="shared" si="3"/>
        <v>99.206713864306778</v>
      </c>
    </row>
    <row r="37" spans="1:10" s="434" customFormat="1" ht="33.75" customHeight="1" x14ac:dyDescent="0.25">
      <c r="A37" s="423" t="s">
        <v>398</v>
      </c>
      <c r="B37" s="437">
        <v>158917.18</v>
      </c>
      <c r="C37" s="437">
        <v>282280</v>
      </c>
      <c r="D37" s="435">
        <f t="shared" si="1"/>
        <v>282280</v>
      </c>
      <c r="E37" s="437">
        <v>212553.48</v>
      </c>
      <c r="F37" s="436">
        <f t="shared" si="2"/>
        <v>133.75110230372829</v>
      </c>
      <c r="G37" s="436">
        <f t="shared" si="3"/>
        <v>75.298809692503895</v>
      </c>
      <c r="H37" s="438"/>
      <c r="I37" s="438"/>
      <c r="J37" s="438"/>
    </row>
    <row r="38" spans="1:10" s="434" customFormat="1" ht="33.75" customHeight="1" x14ac:dyDescent="0.25">
      <c r="A38" s="461" t="s">
        <v>408</v>
      </c>
      <c r="B38" s="462">
        <f>B39+B40+B41+B42+B43+B44</f>
        <v>2772131.13</v>
      </c>
      <c r="C38" s="462">
        <f t="shared" ref="C38:E38" si="7">C39+C40+C41+C42+C43+C44</f>
        <v>3255936</v>
      </c>
      <c r="D38" s="462">
        <f t="shared" si="7"/>
        <v>3255936</v>
      </c>
      <c r="E38" s="462">
        <f t="shared" si="7"/>
        <v>2750820.9899999998</v>
      </c>
      <c r="F38" s="462">
        <f t="shared" ref="F38" si="8">E38/B38*100</f>
        <v>99.231272295549729</v>
      </c>
      <c r="G38" s="462">
        <f t="shared" ref="G38" si="9">E38/D38*100</f>
        <v>84.486334805106722</v>
      </c>
    </row>
    <row r="39" spans="1:10" s="434" customFormat="1" ht="33.75" customHeight="1" x14ac:dyDescent="0.25">
      <c r="A39" s="428" t="s">
        <v>399</v>
      </c>
      <c r="B39" s="436">
        <v>895366.36</v>
      </c>
      <c r="C39" s="436">
        <v>1599588</v>
      </c>
      <c r="D39" s="435">
        <f>C39/12*12</f>
        <v>1599588</v>
      </c>
      <c r="E39" s="436">
        <v>1201084.32</v>
      </c>
      <c r="F39" s="436">
        <f>E39/B39*100</f>
        <v>134.14445456717851</v>
      </c>
      <c r="G39" s="436">
        <f>E39/D39*100</f>
        <v>75.087104929519356</v>
      </c>
    </row>
    <row r="40" spans="1:10" s="434" customFormat="1" ht="32.25" customHeight="1" x14ac:dyDescent="0.25">
      <c r="A40" s="428" t="s">
        <v>390</v>
      </c>
      <c r="B40" s="437">
        <v>1871076.27</v>
      </c>
      <c r="C40" s="437">
        <v>1555076</v>
      </c>
      <c r="D40" s="435">
        <f t="shared" si="1"/>
        <v>1555076</v>
      </c>
      <c r="E40" s="437">
        <v>1500132.09</v>
      </c>
      <c r="F40" s="436">
        <f t="shared" si="2"/>
        <v>80.174823124660762</v>
      </c>
      <c r="G40" s="436">
        <f t="shared" si="3"/>
        <v>96.466802265612756</v>
      </c>
      <c r="H40" s="438"/>
      <c r="I40" s="438"/>
      <c r="J40" s="438"/>
    </row>
    <row r="41" spans="1:10" s="434" customFormat="1" ht="37.5" customHeight="1" x14ac:dyDescent="0.25">
      <c r="A41" s="428" t="s">
        <v>407</v>
      </c>
      <c r="B41" s="436">
        <v>5688.5</v>
      </c>
      <c r="C41" s="436">
        <v>0</v>
      </c>
      <c r="D41" s="435">
        <f t="shared" si="1"/>
        <v>0</v>
      </c>
      <c r="E41" s="436">
        <v>0</v>
      </c>
      <c r="F41" s="436">
        <f t="shared" ref="F41" si="10">E41/B41*100</f>
        <v>0</v>
      </c>
      <c r="G41" s="436" t="e">
        <f t="shared" ref="G41" si="11">E41/D41*100</f>
        <v>#DIV/0!</v>
      </c>
    </row>
    <row r="42" spans="1:10" s="434" customFormat="1" ht="42.75" customHeight="1" x14ac:dyDescent="0.25">
      <c r="A42" s="428" t="s">
        <v>400</v>
      </c>
      <c r="B42" s="436">
        <v>0</v>
      </c>
      <c r="C42" s="436">
        <v>21652</v>
      </c>
      <c r="D42" s="435">
        <f t="shared" si="1"/>
        <v>21652</v>
      </c>
      <c r="E42" s="436">
        <v>18610.5</v>
      </c>
      <c r="F42" s="436" t="e">
        <f t="shared" si="2"/>
        <v>#DIV/0!</v>
      </c>
      <c r="G42" s="436">
        <f t="shared" si="3"/>
        <v>85.95279881766119</v>
      </c>
    </row>
    <row r="43" spans="1:10" s="434" customFormat="1" ht="39.75" customHeight="1" x14ac:dyDescent="0.25">
      <c r="A43" s="428" t="s">
        <v>401</v>
      </c>
      <c r="B43" s="436">
        <v>0</v>
      </c>
      <c r="C43" s="436">
        <v>32520</v>
      </c>
      <c r="D43" s="435">
        <f t="shared" si="1"/>
        <v>32520</v>
      </c>
      <c r="E43" s="436">
        <v>23056.55</v>
      </c>
      <c r="F43" s="436" t="e">
        <f t="shared" si="2"/>
        <v>#DIV/0!</v>
      </c>
      <c r="G43" s="436">
        <f t="shared" si="3"/>
        <v>70.899600246002464</v>
      </c>
    </row>
    <row r="44" spans="1:10" s="434" customFormat="1" ht="39.75" customHeight="1" x14ac:dyDescent="0.25">
      <c r="A44" s="428" t="s">
        <v>402</v>
      </c>
      <c r="B44" s="436">
        <v>0</v>
      </c>
      <c r="C44" s="436">
        <v>47100</v>
      </c>
      <c r="D44" s="435">
        <f t="shared" si="1"/>
        <v>47100</v>
      </c>
      <c r="E44" s="436">
        <v>7937.53</v>
      </c>
      <c r="F44" s="436" t="e">
        <f t="shared" si="2"/>
        <v>#DIV/0!</v>
      </c>
      <c r="G44" s="436">
        <f t="shared" si="3"/>
        <v>16.852505307855626</v>
      </c>
    </row>
    <row r="45" spans="1:10" s="434" customFormat="1" ht="33.75" customHeight="1" x14ac:dyDescent="0.25">
      <c r="A45" s="457" t="s">
        <v>324</v>
      </c>
      <c r="B45" s="468">
        <f>B46+B48+B49+B50+B51+B52</f>
        <v>273872.60000000003</v>
      </c>
      <c r="C45" s="468">
        <f t="shared" ref="C45:E45" si="12">C46+C48+C49+C50+C51+C52</f>
        <v>285873</v>
      </c>
      <c r="D45" s="468">
        <f t="shared" si="12"/>
        <v>285873</v>
      </c>
      <c r="E45" s="468">
        <f t="shared" si="12"/>
        <v>278438.99</v>
      </c>
      <c r="F45" s="468">
        <f t="shared" si="2"/>
        <v>101.66734094611873</v>
      </c>
      <c r="G45" s="468">
        <f t="shared" si="3"/>
        <v>97.399541054943967</v>
      </c>
    </row>
    <row r="46" spans="1:10" s="434" customFormat="1" ht="33.75" customHeight="1" x14ac:dyDescent="0.25">
      <c r="A46" s="433" t="s">
        <v>376</v>
      </c>
      <c r="B46" s="436">
        <v>161942.70000000001</v>
      </c>
      <c r="C46" s="436">
        <v>115178</v>
      </c>
      <c r="D46" s="435">
        <f t="shared" si="1"/>
        <v>115178</v>
      </c>
      <c r="E46" s="436">
        <v>115177.32</v>
      </c>
      <c r="F46" s="436">
        <f t="shared" si="2"/>
        <v>71.122267320478173</v>
      </c>
      <c r="G46" s="436">
        <f t="shared" si="3"/>
        <v>99.999409609474029</v>
      </c>
    </row>
    <row r="47" spans="1:10" s="434" customFormat="1" ht="33.75" customHeight="1" x14ac:dyDescent="0.25">
      <c r="A47" s="439" t="s">
        <v>403</v>
      </c>
      <c r="B47" s="436">
        <f>94347.75+67594.95</f>
        <v>161942.70000000001</v>
      </c>
      <c r="C47" s="436">
        <f>114847+331</f>
        <v>115178</v>
      </c>
      <c r="D47" s="435">
        <f t="shared" si="1"/>
        <v>115178</v>
      </c>
      <c r="E47" s="436">
        <f>114847+330.32</f>
        <v>115177.32</v>
      </c>
      <c r="F47" s="436">
        <f t="shared" si="2"/>
        <v>71.122267320478173</v>
      </c>
      <c r="G47" s="436">
        <f t="shared" si="3"/>
        <v>99.999409609474029</v>
      </c>
    </row>
    <row r="48" spans="1:10" s="434" customFormat="1" ht="33.75" customHeight="1" x14ac:dyDescent="0.25">
      <c r="A48" s="428" t="s">
        <v>377</v>
      </c>
      <c r="B48" s="436">
        <v>357.03</v>
      </c>
      <c r="C48" s="436">
        <v>1460</v>
      </c>
      <c r="D48" s="435">
        <f t="shared" si="1"/>
        <v>1460</v>
      </c>
      <c r="E48" s="436">
        <v>1331.13</v>
      </c>
      <c r="F48" s="436">
        <f t="shared" si="2"/>
        <v>372.83421561213351</v>
      </c>
      <c r="G48" s="436">
        <f t="shared" si="3"/>
        <v>91.173287671232885</v>
      </c>
    </row>
    <row r="49" spans="1:10" s="434" customFormat="1" ht="33.75" customHeight="1" x14ac:dyDescent="0.25">
      <c r="A49" s="428" t="s">
        <v>378</v>
      </c>
      <c r="B49" s="436">
        <v>232.26</v>
      </c>
      <c r="C49" s="436">
        <v>500</v>
      </c>
      <c r="D49" s="435">
        <f t="shared" si="1"/>
        <v>500</v>
      </c>
      <c r="E49" s="436">
        <v>349.4</v>
      </c>
      <c r="F49" s="436">
        <f t="shared" si="2"/>
        <v>150.43485748729873</v>
      </c>
      <c r="G49" s="436">
        <f t="shared" si="3"/>
        <v>69.88</v>
      </c>
    </row>
    <row r="50" spans="1:10" s="434" customFormat="1" ht="33.75" customHeight="1" x14ac:dyDescent="0.25">
      <c r="A50" s="439" t="s">
        <v>404</v>
      </c>
      <c r="B50" s="436">
        <v>0</v>
      </c>
      <c r="C50" s="436">
        <v>3200</v>
      </c>
      <c r="D50" s="435">
        <f t="shared" si="1"/>
        <v>3200</v>
      </c>
      <c r="E50" s="436">
        <v>1157.26</v>
      </c>
      <c r="F50" s="436" t="e">
        <f t="shared" si="2"/>
        <v>#DIV/0!</v>
      </c>
      <c r="G50" s="436">
        <f t="shared" si="3"/>
        <v>36.164375</v>
      </c>
    </row>
    <row r="51" spans="1:10" s="434" customFormat="1" ht="33.75" customHeight="1" x14ac:dyDescent="0.25">
      <c r="A51" s="439" t="s">
        <v>405</v>
      </c>
      <c r="B51" s="436">
        <v>111247.44</v>
      </c>
      <c r="C51" s="436">
        <v>165535</v>
      </c>
      <c r="D51" s="435">
        <f t="shared" si="1"/>
        <v>165535</v>
      </c>
      <c r="E51" s="436">
        <v>160423.88</v>
      </c>
      <c r="F51" s="436">
        <f t="shared" si="2"/>
        <v>144.20455877456595</v>
      </c>
      <c r="G51" s="436">
        <f t="shared" si="3"/>
        <v>96.912362944392427</v>
      </c>
    </row>
    <row r="52" spans="1:10" s="434" customFormat="1" ht="33.75" customHeight="1" x14ac:dyDescent="0.25">
      <c r="A52" s="439" t="s">
        <v>406</v>
      </c>
      <c r="B52" s="436">
        <v>93.17</v>
      </c>
      <c r="C52" s="436">
        <v>0</v>
      </c>
      <c r="D52" s="435">
        <f t="shared" si="1"/>
        <v>0</v>
      </c>
      <c r="E52" s="436">
        <v>0</v>
      </c>
      <c r="F52" s="436">
        <f t="shared" si="2"/>
        <v>0</v>
      </c>
      <c r="G52" s="436" t="e">
        <f t="shared" si="3"/>
        <v>#DIV/0!</v>
      </c>
    </row>
    <row r="53" spans="1:10" s="434" customFormat="1" ht="33.75" customHeight="1" x14ac:dyDescent="0.25">
      <c r="A53" s="469" t="s">
        <v>391</v>
      </c>
      <c r="B53" s="458">
        <v>0</v>
      </c>
      <c r="C53" s="458">
        <v>1725</v>
      </c>
      <c r="D53" s="458">
        <f t="shared" si="1"/>
        <v>1725</v>
      </c>
      <c r="E53" s="468">
        <v>227.7</v>
      </c>
      <c r="F53" s="468" t="e">
        <f t="shared" ref="F53:F54" si="13">E53/B53*100</f>
        <v>#DIV/0!</v>
      </c>
      <c r="G53" s="468">
        <f t="shared" ref="G53:G54" si="14">E53/D53*100</f>
        <v>13.200000000000001</v>
      </c>
    </row>
    <row r="54" spans="1:10" s="434" customFormat="1" ht="33.75" customHeight="1" x14ac:dyDescent="0.25">
      <c r="A54" s="428" t="s">
        <v>392</v>
      </c>
      <c r="B54" s="435">
        <v>0</v>
      </c>
      <c r="C54" s="435">
        <v>1725</v>
      </c>
      <c r="D54" s="435">
        <f t="shared" si="1"/>
        <v>1725</v>
      </c>
      <c r="E54" s="436">
        <v>227.7</v>
      </c>
      <c r="F54" s="436" t="e">
        <f t="shared" si="13"/>
        <v>#DIV/0!</v>
      </c>
      <c r="G54" s="436">
        <f t="shared" si="14"/>
        <v>13.200000000000001</v>
      </c>
    </row>
    <row r="55" spans="1:10" s="434" customFormat="1" ht="33.75" customHeight="1" x14ac:dyDescent="0.25">
      <c r="A55" s="457" t="s">
        <v>409</v>
      </c>
      <c r="B55" s="458">
        <f>B58+B61</f>
        <v>979.74</v>
      </c>
      <c r="C55" s="458">
        <f t="shared" ref="C55:E55" si="15">C58+C61</f>
        <v>0</v>
      </c>
      <c r="D55" s="458">
        <f t="shared" si="15"/>
        <v>0</v>
      </c>
      <c r="E55" s="458">
        <f t="shared" si="15"/>
        <v>0</v>
      </c>
      <c r="F55" s="468">
        <f t="shared" ref="F55" si="16">E55/B55*100</f>
        <v>0</v>
      </c>
      <c r="G55" s="468" t="e">
        <f t="shared" ref="G55" si="17">E55/D55*100</f>
        <v>#DIV/0!</v>
      </c>
    </row>
    <row r="56" spans="1:10" s="466" customFormat="1" ht="33.75" customHeight="1" x14ac:dyDescent="0.25">
      <c r="A56" s="463" t="s">
        <v>382</v>
      </c>
      <c r="B56" s="464">
        <v>146.94999999999999</v>
      </c>
      <c r="C56" s="464">
        <f>C57+C58+C60</f>
        <v>0</v>
      </c>
      <c r="D56" s="464">
        <f t="shared" ref="D56" si="18">D57+D58+D60</f>
        <v>0</v>
      </c>
      <c r="E56" s="464">
        <f t="shared" ref="E56" si="19">E57+E58+E60</f>
        <v>0</v>
      </c>
      <c r="F56" s="465">
        <f t="shared" ref="F56" si="20">E56/B56*100</f>
        <v>0</v>
      </c>
      <c r="G56" s="465" t="e">
        <f t="shared" ref="G56" si="21">E56/D56*100</f>
        <v>#DIV/0!</v>
      </c>
    </row>
    <row r="57" spans="1:10" s="434" customFormat="1" ht="33.75" customHeight="1" x14ac:dyDescent="0.25">
      <c r="A57" s="315" t="s">
        <v>383</v>
      </c>
      <c r="B57" s="437">
        <v>146.94999999999999</v>
      </c>
      <c r="C57" s="437">
        <v>0</v>
      </c>
      <c r="D57" s="435">
        <f>C57/12*12</f>
        <v>0</v>
      </c>
      <c r="E57" s="437">
        <v>0</v>
      </c>
      <c r="F57" s="436">
        <f>E57/B57*100</f>
        <v>0</v>
      </c>
      <c r="G57" s="436" t="e">
        <f>E57/D57*100</f>
        <v>#DIV/0!</v>
      </c>
      <c r="H57" s="438"/>
      <c r="I57" s="438"/>
      <c r="J57" s="438"/>
    </row>
    <row r="58" spans="1:10" s="434" customFormat="1" ht="33.75" customHeight="1" x14ac:dyDescent="0.25">
      <c r="A58" s="429" t="s">
        <v>384</v>
      </c>
      <c r="B58" s="436">
        <v>146.94999999999999</v>
      </c>
      <c r="C58" s="436">
        <v>0</v>
      </c>
      <c r="D58" s="435">
        <f>C58/12*12</f>
        <v>0</v>
      </c>
      <c r="E58" s="436">
        <v>0</v>
      </c>
      <c r="F58" s="436">
        <f>E58/B58*100</f>
        <v>0</v>
      </c>
      <c r="G58" s="436" t="e">
        <f>E58/D58*100</f>
        <v>#DIV/0!</v>
      </c>
    </row>
    <row r="59" spans="1:10" s="466" customFormat="1" ht="33.75" customHeight="1" x14ac:dyDescent="0.25">
      <c r="A59" s="467" t="s">
        <v>408</v>
      </c>
      <c r="B59" s="465">
        <v>832.79</v>
      </c>
      <c r="C59" s="465">
        <v>0</v>
      </c>
      <c r="D59" s="435">
        <f>C59/12*12</f>
        <v>0</v>
      </c>
      <c r="E59" s="465">
        <v>0</v>
      </c>
      <c r="F59" s="436">
        <f>E59/B59*100</f>
        <v>0</v>
      </c>
      <c r="G59" s="436" t="e">
        <f>E59/D59*100</f>
        <v>#DIV/0!</v>
      </c>
    </row>
    <row r="60" spans="1:10" s="434" customFormat="1" ht="33.75" customHeight="1" x14ac:dyDescent="0.25">
      <c r="A60" s="324" t="s">
        <v>387</v>
      </c>
      <c r="B60" s="436">
        <v>832.79</v>
      </c>
      <c r="C60" s="436">
        <v>0</v>
      </c>
      <c r="D60" s="435">
        <f>C60/12*12</f>
        <v>0</v>
      </c>
      <c r="E60" s="436">
        <v>0</v>
      </c>
      <c r="F60" s="436">
        <f>E60/B60*100</f>
        <v>0</v>
      </c>
      <c r="G60" s="436" t="e">
        <f>E60/D60*100</f>
        <v>#DIV/0!</v>
      </c>
    </row>
    <row r="61" spans="1:10" s="434" customFormat="1" ht="33.75" customHeight="1" x14ac:dyDescent="0.25">
      <c r="A61" s="428" t="s">
        <v>388</v>
      </c>
      <c r="B61" s="436">
        <v>832.79</v>
      </c>
      <c r="C61" s="436">
        <v>0</v>
      </c>
      <c r="D61" s="435">
        <f>C61/12*12</f>
        <v>0</v>
      </c>
      <c r="E61" s="436">
        <v>0</v>
      </c>
      <c r="F61" s="436">
        <f>E61/B61*100</f>
        <v>0</v>
      </c>
      <c r="G61" s="436" t="e">
        <f>E61/D61*100</f>
        <v>#DIV/0!</v>
      </c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4"/>
  <sheetViews>
    <sheetView workbookViewId="0">
      <selection activeCell="B1" sqref="B1"/>
    </sheetView>
  </sheetViews>
  <sheetFormatPr defaultRowHeight="15" x14ac:dyDescent="0.25"/>
  <cols>
    <col min="2" max="2" width="37.7109375" customWidth="1"/>
    <col min="3" max="6" width="25.28515625" customWidth="1"/>
    <col min="7" max="8" width="15.7109375" customWidth="1"/>
  </cols>
  <sheetData>
    <row r="1" spans="1:8" ht="18" x14ac:dyDescent="0.25">
      <c r="A1" s="22"/>
      <c r="B1" s="291"/>
      <c r="C1" s="291"/>
      <c r="D1" s="291"/>
      <c r="E1" s="291"/>
      <c r="F1" s="293"/>
      <c r="G1" s="293"/>
      <c r="H1" s="293"/>
    </row>
    <row r="2" spans="1:8" ht="15.75" customHeight="1" x14ac:dyDescent="0.25">
      <c r="B2" s="1945" t="s">
        <v>325</v>
      </c>
      <c r="C2" s="1945"/>
      <c r="D2" s="1945"/>
      <c r="E2" s="1945"/>
      <c r="F2" s="1945"/>
      <c r="G2" s="1945"/>
      <c r="H2" s="1945"/>
    </row>
    <row r="3" spans="1:8" ht="18" x14ac:dyDescent="0.25">
      <c r="B3" s="291"/>
      <c r="C3" s="291"/>
      <c r="D3" s="291"/>
      <c r="E3" s="291"/>
      <c r="F3" s="293"/>
      <c r="G3" s="293"/>
      <c r="H3" s="293"/>
    </row>
    <row r="4" spans="1:8" ht="25.5" x14ac:dyDescent="0.25">
      <c r="B4" s="308" t="s">
        <v>285</v>
      </c>
      <c r="C4" s="308" t="s">
        <v>343</v>
      </c>
      <c r="D4" s="308" t="s">
        <v>286</v>
      </c>
      <c r="E4" s="308" t="s">
        <v>287</v>
      </c>
      <c r="F4" s="308" t="s">
        <v>344</v>
      </c>
      <c r="G4" s="308" t="s">
        <v>136</v>
      </c>
      <c r="H4" s="308" t="s">
        <v>288</v>
      </c>
    </row>
    <row r="5" spans="1:8" x14ac:dyDescent="0.25">
      <c r="B5" s="313">
        <v>1</v>
      </c>
      <c r="C5" s="313">
        <v>2</v>
      </c>
      <c r="D5" s="313">
        <v>3</v>
      </c>
      <c r="E5" s="313">
        <v>4</v>
      </c>
      <c r="F5" s="313">
        <v>5</v>
      </c>
      <c r="G5" s="313" t="s">
        <v>289</v>
      </c>
      <c r="H5" s="313" t="s">
        <v>290</v>
      </c>
    </row>
    <row r="6" spans="1:8" ht="15.75" customHeight="1" x14ac:dyDescent="0.25">
      <c r="B6" s="314" t="s">
        <v>318</v>
      </c>
      <c r="C6" s="549">
        <f>SUM(C7:C9)</f>
        <v>4225007.1842856193</v>
      </c>
      <c r="D6" s="549">
        <f t="shared" ref="D6:F6" si="0">SUM(D7:D9)</f>
        <v>5171828.2877430487</v>
      </c>
      <c r="E6" s="549">
        <f t="shared" si="0"/>
        <v>5171828.2877430487</v>
      </c>
      <c r="F6" s="549">
        <f t="shared" si="0"/>
        <v>4387882.21</v>
      </c>
      <c r="G6" s="548">
        <f>F6/C6*100</f>
        <v>103.85502363925376</v>
      </c>
      <c r="H6" s="548">
        <f>F6/E6*100</f>
        <v>84.841993312095099</v>
      </c>
    </row>
    <row r="7" spans="1:8" ht="15.75" customHeight="1" x14ac:dyDescent="0.25">
      <c r="B7" s="552" t="s">
        <v>423</v>
      </c>
      <c r="C7" s="549">
        <f>31817005.98/7.5345</f>
        <v>4222842.3890105514</v>
      </c>
      <c r="D7" s="549">
        <f>38171708/7.5345</f>
        <v>5066256.2877430487</v>
      </c>
      <c r="E7" s="549">
        <f>D7/12*12</f>
        <v>5066256.2877430487</v>
      </c>
      <c r="F7" s="548">
        <v>4336753.54</v>
      </c>
      <c r="G7" s="548">
        <f>F7/C7*100</f>
        <v>102.69749946827021</v>
      </c>
      <c r="H7" s="548">
        <f>F7/E7*100</f>
        <v>85.600753173345041</v>
      </c>
    </row>
    <row r="8" spans="1:8" x14ac:dyDescent="0.25">
      <c r="B8" s="550" t="s">
        <v>424</v>
      </c>
      <c r="C8" s="549">
        <f>9833.87/7.5345</f>
        <v>1305.1788439843388</v>
      </c>
      <c r="D8" s="549">
        <f>104972</f>
        <v>104972</v>
      </c>
      <c r="E8" s="549">
        <f t="shared" ref="E8:E9" si="1">D8/12*12</f>
        <v>104972</v>
      </c>
      <c r="F8" s="548">
        <v>51111.24</v>
      </c>
      <c r="G8" s="548">
        <f t="shared" ref="G8:G9" si="2">F8/C8*100</f>
        <v>3916.0334413613355</v>
      </c>
      <c r="H8" s="548">
        <f t="shared" ref="H8:H9" si="3">F8/E8*100</f>
        <v>48.690355523377661</v>
      </c>
    </row>
    <row r="9" spans="1:8" x14ac:dyDescent="0.25">
      <c r="B9" s="551" t="s">
        <v>425</v>
      </c>
      <c r="C9" s="549">
        <f>6476.78/7.5345</f>
        <v>859.61643108368162</v>
      </c>
      <c r="D9" s="549">
        <v>600</v>
      </c>
      <c r="E9" s="549">
        <f t="shared" si="1"/>
        <v>600</v>
      </c>
      <c r="F9" s="548">
        <f>17.43</f>
        <v>17.43</v>
      </c>
      <c r="G9" s="548">
        <f t="shared" si="2"/>
        <v>2.0276485383168801</v>
      </c>
      <c r="H9" s="548">
        <f t="shared" si="3"/>
        <v>2.9049999999999998</v>
      </c>
    </row>
    <row r="10" spans="1:8" x14ac:dyDescent="0.25">
      <c r="B10" s="325"/>
      <c r="C10" s="549"/>
      <c r="D10" s="549"/>
      <c r="E10" s="549"/>
      <c r="F10" s="548"/>
      <c r="G10" s="548"/>
      <c r="H10" s="548"/>
    </row>
    <row r="12" spans="1:8" x14ac:dyDescent="0.25">
      <c r="B12" s="323"/>
      <c r="C12" s="323"/>
      <c r="D12" s="323"/>
      <c r="E12" s="323"/>
      <c r="F12" s="323"/>
      <c r="G12" s="323"/>
      <c r="H12" s="323"/>
    </row>
    <row r="13" spans="1:8" x14ac:dyDescent="0.25">
      <c r="B13" s="323"/>
      <c r="C13" s="323"/>
      <c r="D13" s="323"/>
      <c r="E13" s="323"/>
      <c r="F13" s="323"/>
      <c r="G13" s="323"/>
      <c r="H13" s="323"/>
    </row>
    <row r="14" spans="1:8" x14ac:dyDescent="0.25">
      <c r="B14" s="323"/>
      <c r="C14" s="323"/>
      <c r="D14" s="323"/>
      <c r="E14" s="323"/>
      <c r="F14" s="323"/>
      <c r="G14" s="323"/>
      <c r="H14" s="323"/>
    </row>
  </sheetData>
  <mergeCells count="1">
    <mergeCell ref="B2:H2"/>
  </mergeCells>
  <pageMargins left="0.7" right="0.7" top="0.75" bottom="0.75" header="0.3" footer="0.3"/>
  <pageSetup paperSize="9" scale="7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21"/>
  <sheetViews>
    <sheetView topLeftCell="C1" workbookViewId="0">
      <selection activeCell="K9" sqref="K9:L17"/>
    </sheetView>
  </sheetViews>
  <sheetFormatPr defaultRowHeight="15" x14ac:dyDescent="0.25"/>
  <cols>
    <col min="2" max="2" width="7.42578125" bestFit="1" customWidth="1"/>
    <col min="3" max="3" width="8.42578125" bestFit="1" customWidth="1"/>
    <col min="4" max="4" width="8.42578125" customWidth="1"/>
    <col min="5" max="5" width="5.42578125" bestFit="1" customWidth="1"/>
    <col min="6" max="10" width="25.28515625" customWidth="1"/>
    <col min="11" max="12" width="15.7109375" customWidth="1"/>
  </cols>
  <sheetData>
    <row r="1" spans="1:13" ht="18" customHeight="1" x14ac:dyDescent="0.25">
      <c r="B1" s="553"/>
      <c r="C1" s="291"/>
      <c r="D1" s="291"/>
      <c r="E1" s="291"/>
      <c r="F1" s="291"/>
      <c r="G1" s="291"/>
      <c r="H1" s="291"/>
      <c r="I1" s="291"/>
      <c r="J1" s="291"/>
      <c r="K1" s="291"/>
      <c r="L1" s="291"/>
    </row>
    <row r="2" spans="1:13" ht="15.75" customHeight="1" x14ac:dyDescent="0.25">
      <c r="B2" s="1945" t="s">
        <v>282</v>
      </c>
      <c r="C2" s="1945"/>
      <c r="D2" s="1945"/>
      <c r="E2" s="1945"/>
      <c r="F2" s="1945"/>
      <c r="G2" s="1945"/>
      <c r="H2" s="1945"/>
      <c r="I2" s="1945"/>
      <c r="J2" s="1945"/>
      <c r="K2" s="1945"/>
      <c r="L2" s="1945"/>
    </row>
    <row r="3" spans="1:13" ht="18" x14ac:dyDescent="0.25">
      <c r="A3" s="22"/>
      <c r="B3" s="291"/>
      <c r="C3" s="291"/>
      <c r="D3" s="291"/>
      <c r="E3" s="291"/>
      <c r="F3" s="291"/>
      <c r="G3" s="291"/>
      <c r="H3" s="291"/>
      <c r="I3" s="291"/>
      <c r="J3" s="293"/>
      <c r="K3" s="293"/>
      <c r="L3" s="293"/>
    </row>
    <row r="4" spans="1:13" ht="18" customHeight="1" x14ac:dyDescent="0.25">
      <c r="B4" s="1945" t="s">
        <v>326</v>
      </c>
      <c r="C4" s="1945"/>
      <c r="D4" s="1945"/>
      <c r="E4" s="1945"/>
      <c r="F4" s="1945"/>
      <c r="G4" s="1945"/>
      <c r="H4" s="1945"/>
      <c r="I4" s="1945"/>
      <c r="J4" s="1945"/>
      <c r="K4" s="1945"/>
      <c r="L4" s="1945"/>
    </row>
    <row r="5" spans="1:13" ht="15.75" customHeight="1" x14ac:dyDescent="0.25">
      <c r="B5" s="1945" t="s">
        <v>327</v>
      </c>
      <c r="C5" s="1945"/>
      <c r="D5" s="1945"/>
      <c r="E5" s="1945"/>
      <c r="F5" s="1945"/>
      <c r="G5" s="1945"/>
      <c r="H5" s="1945"/>
      <c r="I5" s="1945"/>
      <c r="J5" s="1945"/>
      <c r="K5" s="1945"/>
      <c r="L5" s="1945"/>
    </row>
    <row r="6" spans="1:13" ht="18" x14ac:dyDescent="0.25">
      <c r="B6" s="291"/>
      <c r="C6" s="291"/>
      <c r="D6" s="291"/>
      <c r="E6" s="291"/>
      <c r="F6" s="291"/>
      <c r="G6" s="291"/>
      <c r="H6" s="291"/>
      <c r="I6" s="291"/>
      <c r="J6" s="293"/>
      <c r="K6" s="293"/>
      <c r="L6" s="293"/>
    </row>
    <row r="7" spans="1:13" ht="25.5" customHeight="1" x14ac:dyDescent="0.25">
      <c r="B7" s="1979" t="s">
        <v>285</v>
      </c>
      <c r="C7" s="1980"/>
      <c r="D7" s="1980"/>
      <c r="E7" s="1980"/>
      <c r="F7" s="1981"/>
      <c r="G7" s="326" t="s">
        <v>341</v>
      </c>
      <c r="H7" s="326" t="s">
        <v>286</v>
      </c>
      <c r="I7" s="326" t="s">
        <v>287</v>
      </c>
      <c r="J7" s="326" t="s">
        <v>342</v>
      </c>
      <c r="K7" s="326" t="s">
        <v>136</v>
      </c>
      <c r="L7" s="326" t="s">
        <v>288</v>
      </c>
    </row>
    <row r="8" spans="1:13" x14ac:dyDescent="0.25">
      <c r="B8" s="1979">
        <v>1</v>
      </c>
      <c r="C8" s="1980"/>
      <c r="D8" s="1980"/>
      <c r="E8" s="1980"/>
      <c r="F8" s="1981"/>
      <c r="G8" s="327">
        <v>2</v>
      </c>
      <c r="H8" s="327">
        <v>3</v>
      </c>
      <c r="I8" s="327">
        <v>4</v>
      </c>
      <c r="J8" s="327">
        <v>5</v>
      </c>
      <c r="K8" s="327" t="s">
        <v>289</v>
      </c>
      <c r="L8" s="327" t="s">
        <v>290</v>
      </c>
    </row>
    <row r="9" spans="1:13" ht="25.5" x14ac:dyDescent="0.25">
      <c r="B9" s="314">
        <v>8</v>
      </c>
      <c r="C9" s="314"/>
      <c r="D9" s="314"/>
      <c r="E9" s="314"/>
      <c r="F9" s="314" t="s">
        <v>328</v>
      </c>
      <c r="G9" s="555">
        <v>0</v>
      </c>
      <c r="H9" s="555">
        <v>1459951</v>
      </c>
      <c r="I9" s="555">
        <f>H9/12*12</f>
        <v>1459951</v>
      </c>
      <c r="J9" s="556">
        <f>J10</f>
        <v>1634992.86</v>
      </c>
      <c r="K9" s="559" t="e">
        <f>J9/G9*100</f>
        <v>#DIV/0!</v>
      </c>
      <c r="L9" s="559">
        <f>J9/H9*100</f>
        <v>111.98957088285842</v>
      </c>
      <c r="M9" s="28"/>
    </row>
    <row r="10" spans="1:13" x14ac:dyDescent="0.25">
      <c r="B10" s="314"/>
      <c r="C10" s="315">
        <v>84</v>
      </c>
      <c r="D10" s="315"/>
      <c r="E10" s="315"/>
      <c r="F10" s="315" t="s">
        <v>329</v>
      </c>
      <c r="G10" s="555">
        <v>0</v>
      </c>
      <c r="H10" s="555">
        <v>1459951</v>
      </c>
      <c r="I10" s="555">
        <f t="shared" ref="I10:I17" si="0">H10/12*12</f>
        <v>1459951</v>
      </c>
      <c r="J10" s="556">
        <f>J11+J13</f>
        <v>1634992.86</v>
      </c>
      <c r="K10" s="559" t="e">
        <f t="shared" ref="K10:K17" si="1">J10/G10*100</f>
        <v>#DIV/0!</v>
      </c>
      <c r="L10" s="559">
        <f t="shared" ref="L10:L17" si="2">J10/H10*100</f>
        <v>111.98957088285842</v>
      </c>
      <c r="M10" s="28"/>
    </row>
    <row r="11" spans="1:13" ht="38.25" x14ac:dyDescent="0.25">
      <c r="B11" s="316"/>
      <c r="C11" s="316"/>
      <c r="D11" s="316">
        <v>844</v>
      </c>
      <c r="E11" s="316"/>
      <c r="F11" s="318" t="s">
        <v>426</v>
      </c>
      <c r="G11" s="554">
        <v>0</v>
      </c>
      <c r="H11" s="555">
        <v>1459951</v>
      </c>
      <c r="I11" s="555">
        <f t="shared" si="0"/>
        <v>1459951</v>
      </c>
      <c r="J11" s="556">
        <f>J12</f>
        <v>1459950.8900000001</v>
      </c>
      <c r="K11" s="559" t="e">
        <f t="shared" si="1"/>
        <v>#DIV/0!</v>
      </c>
      <c r="L11" s="559">
        <f t="shared" si="2"/>
        <v>99.999992465500569</v>
      </c>
      <c r="M11" s="28"/>
    </row>
    <row r="12" spans="1:13" ht="38.25" x14ac:dyDescent="0.25">
      <c r="B12" s="316"/>
      <c r="C12" s="316"/>
      <c r="D12" s="316"/>
      <c r="E12" s="316">
        <v>8443</v>
      </c>
      <c r="F12" s="318" t="s">
        <v>427</v>
      </c>
      <c r="G12" s="557">
        <v>0</v>
      </c>
      <c r="H12" s="555">
        <v>1459951</v>
      </c>
      <c r="I12" s="555">
        <f t="shared" si="0"/>
        <v>1459951</v>
      </c>
      <c r="J12" s="556">
        <f>'izvršenje I-XII 2023'!E31</f>
        <v>1459950.8900000001</v>
      </c>
      <c r="K12" s="559" t="e">
        <f t="shared" si="1"/>
        <v>#DIV/0!</v>
      </c>
      <c r="L12" s="559">
        <f t="shared" si="2"/>
        <v>99.999992465500569</v>
      </c>
      <c r="M12" s="28"/>
    </row>
    <row r="13" spans="1:13" ht="25.5" x14ac:dyDescent="0.25">
      <c r="B13" s="316"/>
      <c r="C13" s="316"/>
      <c r="D13" s="316">
        <v>847</v>
      </c>
      <c r="E13" s="317"/>
      <c r="F13" s="324" t="s">
        <v>428</v>
      </c>
      <c r="G13" s="555">
        <v>0</v>
      </c>
      <c r="H13" s="555">
        <v>0</v>
      </c>
      <c r="I13" s="555">
        <f t="shared" si="0"/>
        <v>0</v>
      </c>
      <c r="J13" s="556">
        <f>J14</f>
        <v>175041.97</v>
      </c>
      <c r="K13" s="559" t="e">
        <f t="shared" si="1"/>
        <v>#DIV/0!</v>
      </c>
      <c r="L13" s="559" t="e">
        <f t="shared" si="2"/>
        <v>#DIV/0!</v>
      </c>
      <c r="M13" s="28"/>
    </row>
    <row r="14" spans="1:13" ht="25.5" x14ac:dyDescent="0.25">
      <c r="B14" s="316"/>
      <c r="C14" s="316"/>
      <c r="D14" s="316"/>
      <c r="E14" s="317">
        <v>8472</v>
      </c>
      <c r="F14" s="324" t="s">
        <v>429</v>
      </c>
      <c r="G14" s="555">
        <v>0</v>
      </c>
      <c r="H14" s="555">
        <v>0</v>
      </c>
      <c r="I14" s="555">
        <f t="shared" si="0"/>
        <v>0</v>
      </c>
      <c r="J14" s="556">
        <f>'izvršenje I-XII 2023'!E32</f>
        <v>175041.97</v>
      </c>
      <c r="K14" s="559" t="e">
        <f t="shared" si="1"/>
        <v>#DIV/0!</v>
      </c>
      <c r="L14" s="559" t="e">
        <f t="shared" si="2"/>
        <v>#DIV/0!</v>
      </c>
      <c r="M14" s="28"/>
    </row>
    <row r="15" spans="1:13" ht="25.5" x14ac:dyDescent="0.25">
      <c r="B15" s="319">
        <v>5</v>
      </c>
      <c r="C15" s="320"/>
      <c r="D15" s="320"/>
      <c r="E15" s="320"/>
      <c r="F15" s="321" t="s">
        <v>330</v>
      </c>
      <c r="G15" s="555">
        <v>0</v>
      </c>
      <c r="H15" s="555">
        <v>93848</v>
      </c>
      <c r="I15" s="555">
        <f t="shared" si="0"/>
        <v>93848</v>
      </c>
      <c r="J15" s="556">
        <v>0</v>
      </c>
      <c r="K15" s="559" t="e">
        <f t="shared" si="1"/>
        <v>#DIV/0!</v>
      </c>
      <c r="L15" s="559">
        <f t="shared" si="2"/>
        <v>0</v>
      </c>
      <c r="M15" s="28"/>
    </row>
    <row r="16" spans="1:13" ht="25.5" x14ac:dyDescent="0.25">
      <c r="B16" s="315"/>
      <c r="C16" s="315">
        <v>54</v>
      </c>
      <c r="D16" s="315"/>
      <c r="E16" s="315"/>
      <c r="F16" s="322" t="s">
        <v>331</v>
      </c>
      <c r="G16" s="555">
        <v>0</v>
      </c>
      <c r="H16" s="555">
        <v>93848</v>
      </c>
      <c r="I16" s="555">
        <f t="shared" si="0"/>
        <v>93848</v>
      </c>
      <c r="J16" s="556">
        <v>0</v>
      </c>
      <c r="K16" s="559" t="e">
        <f t="shared" si="1"/>
        <v>#DIV/0!</v>
      </c>
      <c r="L16" s="559">
        <f t="shared" si="2"/>
        <v>0</v>
      </c>
      <c r="M16" s="28"/>
    </row>
    <row r="17" spans="2:13" ht="51" x14ac:dyDescent="0.25">
      <c r="B17" s="315"/>
      <c r="C17" s="315"/>
      <c r="D17" s="315">
        <v>544</v>
      </c>
      <c r="E17" s="318"/>
      <c r="F17" s="318" t="s">
        <v>430</v>
      </c>
      <c r="G17" s="555">
        <v>0</v>
      </c>
      <c r="H17" s="555">
        <v>93848</v>
      </c>
      <c r="I17" s="555">
        <f t="shared" si="0"/>
        <v>93848</v>
      </c>
      <c r="J17" s="556">
        <v>0</v>
      </c>
      <c r="K17" s="559" t="e">
        <f t="shared" si="1"/>
        <v>#DIV/0!</v>
      </c>
      <c r="L17" s="559">
        <f t="shared" si="2"/>
        <v>0</v>
      </c>
      <c r="M17" s="28"/>
    </row>
    <row r="18" spans="2:13" x14ac:dyDescent="0.25">
      <c r="B18" s="315"/>
      <c r="C18" s="315"/>
      <c r="D18" s="315"/>
      <c r="E18" s="318"/>
      <c r="F18" s="318"/>
      <c r="G18" s="555"/>
      <c r="H18" s="555"/>
      <c r="I18" s="558"/>
      <c r="J18" s="556"/>
      <c r="K18" s="556"/>
      <c r="L18" s="556"/>
      <c r="M18" s="28"/>
    </row>
    <row r="19" spans="2:13" x14ac:dyDescent="0.25">
      <c r="B19" s="325"/>
      <c r="C19" s="320"/>
      <c r="D19" s="320"/>
      <c r="E19" s="320"/>
      <c r="F19" s="321"/>
      <c r="G19" s="555"/>
      <c r="H19" s="555"/>
      <c r="I19" s="555"/>
      <c r="J19" s="556"/>
      <c r="K19" s="556"/>
      <c r="L19" s="556"/>
      <c r="M19" s="28"/>
    </row>
    <row r="20" spans="2:13" x14ac:dyDescent="0.25">
      <c r="G20" s="28"/>
      <c r="H20" s="28"/>
      <c r="I20" s="28"/>
      <c r="J20" s="28"/>
      <c r="K20" s="28"/>
      <c r="L20" s="28"/>
      <c r="M20" s="28"/>
    </row>
    <row r="21" spans="2:13" x14ac:dyDescent="0.25">
      <c r="B21" s="323"/>
      <c r="C21" s="323"/>
      <c r="D21" s="323"/>
      <c r="E21" s="323"/>
      <c r="F21" s="323"/>
      <c r="G21" s="438"/>
      <c r="H21" s="438"/>
      <c r="I21" s="438"/>
      <c r="J21" s="438"/>
      <c r="K21" s="438"/>
      <c r="L21" s="438"/>
      <c r="M21" s="28"/>
    </row>
  </sheetData>
  <mergeCells count="5">
    <mergeCell ref="B2:L2"/>
    <mergeCell ref="B4:L4"/>
    <mergeCell ref="B5:L5"/>
    <mergeCell ref="B7:F7"/>
    <mergeCell ref="B8:F8"/>
  </mergeCells>
  <pageMargins left="0.7" right="0.7" top="0.75" bottom="0.75" header="0.3" footer="0.3"/>
  <pageSetup paperSize="9"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H56"/>
  <sheetViews>
    <sheetView workbookViewId="0">
      <selection sqref="A1:XFD1"/>
    </sheetView>
  </sheetViews>
  <sheetFormatPr defaultRowHeight="15" x14ac:dyDescent="0.25"/>
  <cols>
    <col min="2" max="2" width="51.140625" customWidth="1"/>
    <col min="3" max="6" width="25.28515625" customWidth="1"/>
    <col min="7" max="8" width="15.7109375" customWidth="1"/>
  </cols>
  <sheetData>
    <row r="1" spans="2:8" s="22" customFormat="1" ht="18" x14ac:dyDescent="0.25">
      <c r="B1" s="291"/>
      <c r="C1" s="291"/>
      <c r="D1" s="291"/>
      <c r="E1" s="291"/>
      <c r="F1" s="293"/>
      <c r="G1" s="293"/>
      <c r="H1" s="293"/>
    </row>
    <row r="2" spans="2:8" ht="15.75" customHeight="1" x14ac:dyDescent="0.25">
      <c r="B2" s="1945" t="s">
        <v>332</v>
      </c>
      <c r="C2" s="1945"/>
      <c r="D2" s="1945"/>
      <c r="E2" s="1945"/>
      <c r="F2" s="1945"/>
      <c r="G2" s="1945"/>
      <c r="H2" s="1945"/>
    </row>
    <row r="3" spans="2:8" ht="18" x14ac:dyDescent="0.25">
      <c r="B3" s="291"/>
      <c r="C3" s="291"/>
      <c r="D3" s="291"/>
      <c r="E3" s="291"/>
      <c r="F3" s="293"/>
      <c r="G3" s="293"/>
      <c r="H3" s="293"/>
    </row>
    <row r="4" spans="2:8" ht="25.5" x14ac:dyDescent="0.25">
      <c r="B4" s="308" t="s">
        <v>285</v>
      </c>
      <c r="C4" s="308" t="s">
        <v>340</v>
      </c>
      <c r="D4" s="308" t="s">
        <v>286</v>
      </c>
      <c r="E4" s="308" t="s">
        <v>287</v>
      </c>
      <c r="F4" s="308" t="s">
        <v>339</v>
      </c>
      <c r="G4" s="308" t="s">
        <v>136</v>
      </c>
      <c r="H4" s="308" t="s">
        <v>288</v>
      </c>
    </row>
    <row r="5" spans="2:8" x14ac:dyDescent="0.25">
      <c r="B5" s="308">
        <v>1</v>
      </c>
      <c r="C5" s="308">
        <v>2</v>
      </c>
      <c r="D5" s="308">
        <v>3</v>
      </c>
      <c r="E5" s="308">
        <v>4</v>
      </c>
      <c r="F5" s="308">
        <v>5</v>
      </c>
      <c r="G5" s="308" t="s">
        <v>289</v>
      </c>
      <c r="H5" s="308" t="s">
        <v>290</v>
      </c>
    </row>
    <row r="6" spans="2:8" s="560" customFormat="1" ht="27.75" customHeight="1" x14ac:dyDescent="0.25">
      <c r="B6" s="321" t="s">
        <v>333</v>
      </c>
      <c r="C6" s="557">
        <f>29536075.2/7.5345</f>
        <v>3920110.8500895877</v>
      </c>
      <c r="D6" s="557">
        <v>5074649</v>
      </c>
      <c r="E6" s="558">
        <f>D6/12*12</f>
        <v>5074649</v>
      </c>
      <c r="F6" s="436">
        <v>5162360.45</v>
      </c>
      <c r="G6" s="569">
        <f>F6/C6*100</f>
        <v>131.68914470574279</v>
      </c>
      <c r="H6" s="569">
        <f>F6/E6*100</f>
        <v>101.7284239757272</v>
      </c>
    </row>
    <row r="7" spans="2:8" s="560" customFormat="1" ht="27.75" customHeight="1" x14ac:dyDescent="0.25">
      <c r="B7" s="321" t="s">
        <v>324</v>
      </c>
      <c r="C7" s="557">
        <f>2028936.78/7.5345</f>
        <v>269286.18753732828</v>
      </c>
      <c r="D7" s="557">
        <v>285873</v>
      </c>
      <c r="E7" s="558">
        <f t="shared" ref="E7:E30" si="0">D7/12*12</f>
        <v>285873</v>
      </c>
      <c r="F7" s="436">
        <v>298817.76</v>
      </c>
      <c r="G7" s="569">
        <f t="shared" ref="G7:G30" si="1">F7/C7*100</f>
        <v>110.96661241066369</v>
      </c>
      <c r="H7" s="569">
        <f t="shared" ref="H7:H30" si="2">F7/E7*100</f>
        <v>104.52815061233484</v>
      </c>
    </row>
    <row r="8" spans="2:8" s="560" customFormat="1" ht="27.75" customHeight="1" x14ac:dyDescent="0.25">
      <c r="B8" s="562" t="s">
        <v>375</v>
      </c>
      <c r="C8" s="557">
        <f>750701.98/7.5345</f>
        <v>99635.275068020434</v>
      </c>
      <c r="D8" s="557">
        <v>168735</v>
      </c>
      <c r="E8" s="558">
        <f t="shared" si="0"/>
        <v>168735</v>
      </c>
      <c r="F8" s="436">
        <v>181959.23</v>
      </c>
      <c r="G8" s="569">
        <f t="shared" si="1"/>
        <v>182.62531003781291</v>
      </c>
      <c r="H8" s="569">
        <f t="shared" si="2"/>
        <v>107.83727738761965</v>
      </c>
    </row>
    <row r="9" spans="2:8" s="560" customFormat="1" ht="27.75" customHeight="1" x14ac:dyDescent="0.25">
      <c r="B9" s="563" t="s">
        <v>376</v>
      </c>
      <c r="C9" s="557">
        <f>1273794.8/7.5345</f>
        <v>169061.62319994692</v>
      </c>
      <c r="D9" s="557">
        <v>115178</v>
      </c>
      <c r="E9" s="558">
        <f t="shared" si="0"/>
        <v>115178</v>
      </c>
      <c r="F9" s="436">
        <v>115178</v>
      </c>
      <c r="G9" s="569">
        <f t="shared" si="1"/>
        <v>68.127820980270911</v>
      </c>
      <c r="H9" s="569">
        <f t="shared" si="2"/>
        <v>100</v>
      </c>
    </row>
    <row r="10" spans="2:8" s="560" customFormat="1" ht="27.75" customHeight="1" x14ac:dyDescent="0.25">
      <c r="B10" s="439" t="s">
        <v>431</v>
      </c>
      <c r="C10" s="557">
        <f>1273794.8/7.5345</f>
        <v>169061.62319994692</v>
      </c>
      <c r="D10" s="557">
        <v>115178</v>
      </c>
      <c r="E10" s="558">
        <f t="shared" si="0"/>
        <v>115178</v>
      </c>
      <c r="F10" s="436">
        <v>115178</v>
      </c>
      <c r="G10" s="569">
        <f t="shared" si="1"/>
        <v>68.127820980270911</v>
      </c>
      <c r="H10" s="569">
        <f t="shared" si="2"/>
        <v>100</v>
      </c>
    </row>
    <row r="11" spans="2:8" s="560" customFormat="1" ht="27.75" customHeight="1" x14ac:dyDescent="0.25">
      <c r="B11" s="563" t="s">
        <v>378</v>
      </c>
      <c r="C11" s="557">
        <f>1750/7.5345</f>
        <v>232.26491472559559</v>
      </c>
      <c r="D11" s="557">
        <v>500</v>
      </c>
      <c r="E11" s="558">
        <f t="shared" si="0"/>
        <v>500</v>
      </c>
      <c r="F11" s="436">
        <v>349.4</v>
      </c>
      <c r="G11" s="569">
        <f t="shared" si="1"/>
        <v>150.43167428571428</v>
      </c>
      <c r="H11" s="569">
        <f t="shared" si="2"/>
        <v>69.88</v>
      </c>
    </row>
    <row r="12" spans="2:8" s="560" customFormat="1" ht="27.75" customHeight="1" x14ac:dyDescent="0.25">
      <c r="B12" s="563" t="s">
        <v>377</v>
      </c>
      <c r="C12" s="557">
        <f>2690/7.5345</f>
        <v>357.02435463534408</v>
      </c>
      <c r="D12" s="557">
        <v>1460</v>
      </c>
      <c r="E12" s="558">
        <f t="shared" si="0"/>
        <v>1460</v>
      </c>
      <c r="F12" s="436">
        <v>1331.13</v>
      </c>
      <c r="G12" s="569">
        <f t="shared" si="1"/>
        <v>372.8401109665428</v>
      </c>
      <c r="H12" s="569">
        <f t="shared" si="2"/>
        <v>91.173287671232885</v>
      </c>
    </row>
    <row r="13" spans="2:8" s="560" customFormat="1" ht="27.75" customHeight="1" x14ac:dyDescent="0.25">
      <c r="B13" s="321" t="s">
        <v>379</v>
      </c>
      <c r="C13" s="557">
        <f>164433.87/7.5345</f>
        <v>21824.125024885525</v>
      </c>
      <c r="D13" s="557">
        <v>30527</v>
      </c>
      <c r="E13" s="558">
        <f t="shared" si="0"/>
        <v>30527</v>
      </c>
      <c r="F13" s="436">
        <v>19523.099999999999</v>
      </c>
      <c r="G13" s="569">
        <f t="shared" si="1"/>
        <v>89.456507318109104</v>
      </c>
      <c r="H13" s="569">
        <f t="shared" si="2"/>
        <v>63.953549316998057</v>
      </c>
    </row>
    <row r="14" spans="2:8" s="560" customFormat="1" ht="27.75" customHeight="1" x14ac:dyDescent="0.25">
      <c r="B14" s="564" t="s">
        <v>380</v>
      </c>
      <c r="C14" s="557">
        <f>164433.87/7.5345</f>
        <v>21824.125024885525</v>
      </c>
      <c r="D14" s="557">
        <v>30527</v>
      </c>
      <c r="E14" s="558">
        <f t="shared" si="0"/>
        <v>30527</v>
      </c>
      <c r="F14" s="436">
        <v>19523.099999999999</v>
      </c>
      <c r="G14" s="569">
        <f t="shared" si="1"/>
        <v>89.456507318109104</v>
      </c>
      <c r="H14" s="569">
        <f t="shared" si="2"/>
        <v>63.953549316998057</v>
      </c>
    </row>
    <row r="15" spans="2:8" s="560" customFormat="1" ht="27.75" customHeight="1" x14ac:dyDescent="0.25">
      <c r="B15" s="321" t="s">
        <v>381</v>
      </c>
      <c r="C15" s="557">
        <f>27340904.55/7.5345</f>
        <v>3628761.6364722275</v>
      </c>
      <c r="D15" s="557">
        <v>3296573</v>
      </c>
      <c r="E15" s="558">
        <f t="shared" si="0"/>
        <v>3296573</v>
      </c>
      <c r="F15" s="436">
        <v>3208776.73</v>
      </c>
      <c r="G15" s="569">
        <f t="shared" si="1"/>
        <v>88.426219505546683</v>
      </c>
      <c r="H15" s="569">
        <f t="shared" si="2"/>
        <v>97.336741215801979</v>
      </c>
    </row>
    <row r="16" spans="2:8" s="560" customFormat="1" ht="27.75" customHeight="1" x14ac:dyDescent="0.25">
      <c r="B16" s="565" t="s">
        <v>382</v>
      </c>
      <c r="C16" s="557">
        <f>8835486.07/7.5345</f>
        <v>1172670.5249187073</v>
      </c>
      <c r="D16" s="557">
        <v>1424713</v>
      </c>
      <c r="E16" s="558">
        <f t="shared" si="0"/>
        <v>1424713</v>
      </c>
      <c r="F16" s="436">
        <v>1224146.69</v>
      </c>
      <c r="G16" s="569">
        <f t="shared" si="1"/>
        <v>104.38965284685237</v>
      </c>
      <c r="H16" s="569">
        <f t="shared" si="2"/>
        <v>85.922335937132601</v>
      </c>
    </row>
    <row r="17" spans="2:8" s="560" customFormat="1" ht="27.75" customHeight="1" x14ac:dyDescent="0.25">
      <c r="B17" s="565" t="s">
        <v>432</v>
      </c>
      <c r="C17" s="557">
        <f>C16-C18</f>
        <v>1172523.5636074059</v>
      </c>
      <c r="D17" s="557">
        <v>1424713</v>
      </c>
      <c r="E17" s="558">
        <f t="shared" si="0"/>
        <v>1424713</v>
      </c>
      <c r="F17" s="436">
        <v>1224146.69</v>
      </c>
      <c r="G17" s="569">
        <f t="shared" si="1"/>
        <v>104.40273679735436</v>
      </c>
      <c r="H17" s="569">
        <f t="shared" si="2"/>
        <v>85.922335937132601</v>
      </c>
    </row>
    <row r="18" spans="2:8" s="560" customFormat="1" ht="27.75" customHeight="1" x14ac:dyDescent="0.25">
      <c r="B18" s="322" t="s">
        <v>383</v>
      </c>
      <c r="C18" s="557">
        <f>1107.28/7.5345</f>
        <v>146.96131130134714</v>
      </c>
      <c r="D18" s="557">
        <v>0</v>
      </c>
      <c r="E18" s="558">
        <f t="shared" si="0"/>
        <v>0</v>
      </c>
      <c r="F18" s="436">
        <v>0</v>
      </c>
      <c r="G18" s="569">
        <f t="shared" si="1"/>
        <v>0</v>
      </c>
      <c r="H18" s="569" t="e">
        <f t="shared" si="2"/>
        <v>#DIV/0!</v>
      </c>
    </row>
    <row r="19" spans="2:8" s="560" customFormat="1" ht="27.75" customHeight="1" x14ac:dyDescent="0.25">
      <c r="B19" s="564" t="s">
        <v>384</v>
      </c>
      <c r="C19" s="557">
        <v>146.96</v>
      </c>
      <c r="D19" s="557">
        <v>0</v>
      </c>
      <c r="E19" s="558">
        <f t="shared" si="0"/>
        <v>0</v>
      </c>
      <c r="F19" s="436">
        <v>0</v>
      </c>
      <c r="G19" s="569">
        <f t="shared" si="1"/>
        <v>0</v>
      </c>
      <c r="H19" s="569" t="e">
        <f t="shared" si="2"/>
        <v>#DIV/0!</v>
      </c>
    </row>
    <row r="20" spans="2:8" s="560" customFormat="1" ht="27.75" customHeight="1" x14ac:dyDescent="0.25">
      <c r="B20" s="566" t="s">
        <v>408</v>
      </c>
      <c r="C20" s="557">
        <f>18505418.48/7.5345</f>
        <v>2456091.1115535204</v>
      </c>
      <c r="D20" s="557">
        <f>1871860</f>
        <v>1871860</v>
      </c>
      <c r="E20" s="558">
        <f t="shared" si="0"/>
        <v>1871860</v>
      </c>
      <c r="F20" s="436">
        <f>1984630.01</f>
        <v>1984630.01</v>
      </c>
      <c r="G20" s="569">
        <f t="shared" si="1"/>
        <v>80.804413185823833</v>
      </c>
      <c r="H20" s="569">
        <f t="shared" si="2"/>
        <v>106.02448954515829</v>
      </c>
    </row>
    <row r="21" spans="2:8" s="560" customFormat="1" ht="27.75" customHeight="1" x14ac:dyDescent="0.25">
      <c r="B21" s="567" t="s">
        <v>387</v>
      </c>
      <c r="C21" s="557">
        <f>6274.61/7.5345</f>
        <v>832.78386090649667</v>
      </c>
      <c r="D21" s="557">
        <v>0</v>
      </c>
      <c r="E21" s="558">
        <f t="shared" si="0"/>
        <v>0</v>
      </c>
      <c r="F21" s="436">
        <v>0</v>
      </c>
      <c r="G21" s="569">
        <f t="shared" si="1"/>
        <v>0</v>
      </c>
      <c r="H21" s="569" t="e">
        <f t="shared" si="2"/>
        <v>#DIV/0!</v>
      </c>
    </row>
    <row r="22" spans="2:8" s="560" customFormat="1" ht="27.75" customHeight="1" x14ac:dyDescent="0.25">
      <c r="B22" s="563" t="s">
        <v>388</v>
      </c>
      <c r="C22" s="557">
        <v>832.78</v>
      </c>
      <c r="D22" s="557">
        <v>0</v>
      </c>
      <c r="E22" s="558">
        <f t="shared" si="0"/>
        <v>0</v>
      </c>
      <c r="F22" s="436">
        <v>0</v>
      </c>
      <c r="G22" s="569">
        <f t="shared" si="1"/>
        <v>0</v>
      </c>
      <c r="H22" s="569" t="e">
        <f t="shared" si="2"/>
        <v>#DIV/0!</v>
      </c>
    </row>
    <row r="23" spans="2:8" s="560" customFormat="1" ht="27.75" customHeight="1" x14ac:dyDescent="0.25">
      <c r="B23" s="563" t="s">
        <v>389</v>
      </c>
      <c r="C23" s="557">
        <f>C20-C21-C24</f>
        <v>1004391.6809343686</v>
      </c>
      <c r="D23" s="557">
        <f>D20-171000</f>
        <v>1700860</v>
      </c>
      <c r="E23" s="558">
        <f t="shared" si="0"/>
        <v>1700860</v>
      </c>
      <c r="F23" s="436">
        <f>F20-944161.26</f>
        <v>1040468.75</v>
      </c>
      <c r="G23" s="569">
        <f t="shared" si="1"/>
        <v>103.59193228602506</v>
      </c>
      <c r="H23" s="569">
        <f t="shared" si="2"/>
        <v>61.173097727032214</v>
      </c>
    </row>
    <row r="24" spans="2:8" s="560" customFormat="1" ht="27.75" customHeight="1" x14ac:dyDescent="0.25">
      <c r="B24" s="563" t="s">
        <v>390</v>
      </c>
      <c r="C24" s="557">
        <f>10931554.75/7.5345</f>
        <v>1450866.6467582453</v>
      </c>
      <c r="D24" s="557">
        <v>171000</v>
      </c>
      <c r="E24" s="558">
        <f t="shared" si="0"/>
        <v>171000</v>
      </c>
      <c r="F24" s="436">
        <v>944161.26</v>
      </c>
      <c r="G24" s="569">
        <f t="shared" si="1"/>
        <v>65.075674743064354</v>
      </c>
      <c r="H24" s="569">
        <f t="shared" si="2"/>
        <v>552.1410877192983</v>
      </c>
    </row>
    <row r="25" spans="2:8" s="560" customFormat="1" ht="27.75" customHeight="1" x14ac:dyDescent="0.25">
      <c r="B25" s="431" t="s">
        <v>391</v>
      </c>
      <c r="C25" s="557">
        <f>1800/7.5345</f>
        <v>238.90105514632688</v>
      </c>
      <c r="D25" s="557">
        <v>1725</v>
      </c>
      <c r="E25" s="558">
        <f t="shared" si="0"/>
        <v>1725</v>
      </c>
      <c r="F25" s="436">
        <v>250</v>
      </c>
      <c r="G25" s="569">
        <f t="shared" si="1"/>
        <v>104.64583333333334</v>
      </c>
      <c r="H25" s="569">
        <f t="shared" si="2"/>
        <v>14.492753623188406</v>
      </c>
    </row>
    <row r="26" spans="2:8" s="560" customFormat="1" ht="27.75" customHeight="1" x14ac:dyDescent="0.25">
      <c r="B26" s="563" t="s">
        <v>433</v>
      </c>
      <c r="C26" s="557">
        <v>238.9</v>
      </c>
      <c r="D26" s="557">
        <v>1725</v>
      </c>
      <c r="E26" s="558">
        <f t="shared" si="0"/>
        <v>1725</v>
      </c>
      <c r="F26" s="436">
        <v>250</v>
      </c>
      <c r="G26" s="569">
        <f t="shared" si="1"/>
        <v>104.64629552113855</v>
      </c>
      <c r="H26" s="569">
        <f t="shared" si="2"/>
        <v>14.492753623188406</v>
      </c>
    </row>
    <row r="27" spans="2:8" s="560" customFormat="1" ht="27.75" customHeight="1" x14ac:dyDescent="0.25">
      <c r="B27" s="565" t="s">
        <v>434</v>
      </c>
      <c r="C27" s="557">
        <v>238.9</v>
      </c>
      <c r="D27" s="557">
        <v>1725</v>
      </c>
      <c r="E27" s="558">
        <f t="shared" si="0"/>
        <v>1725</v>
      </c>
      <c r="F27" s="436">
        <v>250</v>
      </c>
      <c r="G27" s="569">
        <f t="shared" si="1"/>
        <v>104.64629552113855</v>
      </c>
      <c r="H27" s="569">
        <f t="shared" si="2"/>
        <v>14.492753623188406</v>
      </c>
    </row>
    <row r="28" spans="2:8" s="560" customFormat="1" ht="27.75" customHeight="1" x14ac:dyDescent="0.25">
      <c r="B28" s="431" t="s">
        <v>393</v>
      </c>
      <c r="C28" s="557">
        <v>0</v>
      </c>
      <c r="D28" s="557">
        <v>1459951</v>
      </c>
      <c r="E28" s="558">
        <f t="shared" si="0"/>
        <v>1459951</v>
      </c>
      <c r="F28" s="436">
        <v>1634992.86</v>
      </c>
      <c r="G28" s="569" t="e">
        <f t="shared" si="1"/>
        <v>#DIV/0!</v>
      </c>
      <c r="H28" s="569">
        <f t="shared" si="2"/>
        <v>111.98957088285842</v>
      </c>
    </row>
    <row r="29" spans="2:8" s="560" customFormat="1" ht="27.75" customHeight="1" x14ac:dyDescent="0.25">
      <c r="B29" s="568" t="s">
        <v>394</v>
      </c>
      <c r="C29" s="436">
        <v>0</v>
      </c>
      <c r="D29" s="557">
        <v>1459951</v>
      </c>
      <c r="E29" s="558">
        <f t="shared" si="0"/>
        <v>1459951</v>
      </c>
      <c r="F29" s="436">
        <v>1634992.86</v>
      </c>
      <c r="G29" s="569" t="e">
        <f t="shared" si="1"/>
        <v>#DIV/0!</v>
      </c>
      <c r="H29" s="569">
        <f t="shared" si="2"/>
        <v>111.98957088285842</v>
      </c>
    </row>
    <row r="30" spans="2:8" s="560" customFormat="1" ht="27.75" customHeight="1" thickBot="1" x14ac:dyDescent="0.3">
      <c r="B30" s="1664" t="s">
        <v>395</v>
      </c>
      <c r="C30" s="1665">
        <v>0</v>
      </c>
      <c r="D30" s="1666">
        <v>1459951</v>
      </c>
      <c r="E30" s="1667">
        <f t="shared" si="0"/>
        <v>1459951</v>
      </c>
      <c r="F30" s="1668">
        <v>1634992.86</v>
      </c>
      <c r="G30" s="1669" t="e">
        <f t="shared" si="1"/>
        <v>#DIV/0!</v>
      </c>
      <c r="H30" s="1669">
        <f t="shared" si="2"/>
        <v>111.98957088285842</v>
      </c>
    </row>
    <row r="31" spans="2:8" s="1663" customFormat="1" ht="14.25" customHeight="1" thickBot="1" x14ac:dyDescent="0.3">
      <c r="B31" s="1670"/>
      <c r="C31" s="1671"/>
      <c r="D31" s="1672"/>
      <c r="E31" s="1673"/>
      <c r="F31" s="1674"/>
      <c r="G31" s="1675"/>
      <c r="H31" s="1675"/>
    </row>
    <row r="32" spans="2:8" s="560" customFormat="1" ht="27.75" customHeight="1" x14ac:dyDescent="0.25">
      <c r="B32" s="1659" t="s">
        <v>487</v>
      </c>
      <c r="C32" s="1660">
        <f>31833316.63/7.5345</f>
        <v>4225007.1842856193</v>
      </c>
      <c r="D32" s="1660">
        <v>5074649</v>
      </c>
      <c r="E32" s="1661">
        <f>D32/12*12</f>
        <v>5074649</v>
      </c>
      <c r="F32" s="447">
        <v>4387882.21</v>
      </c>
      <c r="G32" s="1662">
        <f>F32/C32*100</f>
        <v>103.85502363925376</v>
      </c>
      <c r="H32" s="1662">
        <f>F32/E32*100</f>
        <v>86.46671346136452</v>
      </c>
    </row>
    <row r="33" spans="2:8" x14ac:dyDescent="0.25">
      <c r="B33" s="321" t="s">
        <v>324</v>
      </c>
      <c r="C33" s="557">
        <f>2063493.11/7.5345</f>
        <v>273872.60070343089</v>
      </c>
      <c r="D33" s="557">
        <v>285873</v>
      </c>
      <c r="E33" s="558">
        <f t="shared" ref="E33:E56" si="3">D33/12*12</f>
        <v>285873</v>
      </c>
      <c r="F33" s="436">
        <v>278438.99</v>
      </c>
      <c r="G33" s="569">
        <f t="shared" ref="G33:G56" si="4">F33/C33*100</f>
        <v>101.66734068499022</v>
      </c>
      <c r="H33" s="569">
        <f t="shared" ref="H33:H56" si="5">F33/E33*100</f>
        <v>97.399541054943967</v>
      </c>
    </row>
    <row r="34" spans="2:8" x14ac:dyDescent="0.25">
      <c r="B34" s="562" t="s">
        <v>375</v>
      </c>
      <c r="C34" s="557">
        <f>838895.98/7.5345</f>
        <v>111340.63043333996</v>
      </c>
      <c r="D34" s="557">
        <v>168735</v>
      </c>
      <c r="E34" s="558">
        <f t="shared" si="3"/>
        <v>168735</v>
      </c>
      <c r="F34" s="436">
        <v>161581.14000000001</v>
      </c>
      <c r="G34" s="569">
        <f t="shared" si="4"/>
        <v>145.12324869288327</v>
      </c>
      <c r="H34" s="569">
        <f t="shared" si="5"/>
        <v>95.76029869321718</v>
      </c>
    </row>
    <row r="35" spans="2:8" x14ac:dyDescent="0.25">
      <c r="B35" s="563" t="s">
        <v>376</v>
      </c>
      <c r="C35" s="557">
        <f>1220157.13/7.5345</f>
        <v>161942.68100072996</v>
      </c>
      <c r="D35" s="557">
        <v>115178</v>
      </c>
      <c r="E35" s="558">
        <f t="shared" si="3"/>
        <v>115178</v>
      </c>
      <c r="F35" s="436">
        <v>115177.32</v>
      </c>
      <c r="G35" s="569">
        <f t="shared" si="4"/>
        <v>71.122275664610513</v>
      </c>
      <c r="H35" s="569">
        <f t="shared" si="5"/>
        <v>99.999409609474029</v>
      </c>
    </row>
    <row r="36" spans="2:8" x14ac:dyDescent="0.25">
      <c r="B36" s="439" t="s">
        <v>431</v>
      </c>
      <c r="C36" s="557">
        <f>1220157.13/7.5345</f>
        <v>161942.68100072996</v>
      </c>
      <c r="D36" s="557">
        <v>115178</v>
      </c>
      <c r="E36" s="558">
        <f t="shared" si="3"/>
        <v>115178</v>
      </c>
      <c r="F36" s="436">
        <v>115177.32</v>
      </c>
      <c r="G36" s="569">
        <f t="shared" si="4"/>
        <v>71.122275664610513</v>
      </c>
      <c r="H36" s="569">
        <f t="shared" si="5"/>
        <v>99.999409609474029</v>
      </c>
    </row>
    <row r="37" spans="2:8" x14ac:dyDescent="0.25">
      <c r="B37" s="563" t="s">
        <v>378</v>
      </c>
      <c r="C37" s="557">
        <f>1750/7.5345</f>
        <v>232.26491472559559</v>
      </c>
      <c r="D37" s="557">
        <v>500</v>
      </c>
      <c r="E37" s="558">
        <f t="shared" si="3"/>
        <v>500</v>
      </c>
      <c r="F37" s="436">
        <v>349.4</v>
      </c>
      <c r="G37" s="569">
        <f t="shared" si="4"/>
        <v>150.43167428571428</v>
      </c>
      <c r="H37" s="569">
        <f t="shared" si="5"/>
        <v>69.88</v>
      </c>
    </row>
    <row r="38" spans="2:8" x14ac:dyDescent="0.25">
      <c r="B38" s="563" t="s">
        <v>377</v>
      </c>
      <c r="C38" s="557">
        <f>2690/7.5345</f>
        <v>357.02435463534408</v>
      </c>
      <c r="D38" s="557">
        <v>1460</v>
      </c>
      <c r="E38" s="558">
        <f t="shared" si="3"/>
        <v>1460</v>
      </c>
      <c r="F38" s="436">
        <v>1331.13</v>
      </c>
      <c r="G38" s="569">
        <f t="shared" si="4"/>
        <v>372.8401109665428</v>
      </c>
      <c r="H38" s="569">
        <f t="shared" si="5"/>
        <v>91.173287671232885</v>
      </c>
    </row>
    <row r="39" spans="2:8" x14ac:dyDescent="0.25">
      <c r="B39" s="321" t="s">
        <v>379</v>
      </c>
      <c r="C39" s="557">
        <f>142241.96/7.5345</f>
        <v>18878.752405600899</v>
      </c>
      <c r="D39" s="557">
        <v>30527</v>
      </c>
      <c r="E39" s="558">
        <f t="shared" si="3"/>
        <v>30527</v>
      </c>
      <c r="F39" s="436">
        <v>20517.34</v>
      </c>
      <c r="G39" s="569">
        <f t="shared" si="4"/>
        <v>108.67953326149333</v>
      </c>
      <c r="H39" s="569">
        <f t="shared" si="5"/>
        <v>67.210469420512993</v>
      </c>
    </row>
    <row r="40" spans="2:8" ht="25.5" x14ac:dyDescent="0.25">
      <c r="B40" s="564" t="s">
        <v>380</v>
      </c>
      <c r="C40" s="557">
        <f>142241.96/7.5345</f>
        <v>18878.752405600899</v>
      </c>
      <c r="D40" s="557">
        <v>30527</v>
      </c>
      <c r="E40" s="558">
        <f t="shared" si="3"/>
        <v>30527</v>
      </c>
      <c r="F40" s="436">
        <v>20517.34</v>
      </c>
      <c r="G40" s="569">
        <f t="shared" si="4"/>
        <v>108.67953326149333</v>
      </c>
      <c r="H40" s="569">
        <f t="shared" si="5"/>
        <v>67.210469420512993</v>
      </c>
    </row>
    <row r="41" spans="2:8" x14ac:dyDescent="0.25">
      <c r="B41" s="321" t="s">
        <v>381</v>
      </c>
      <c r="C41" s="557">
        <f>29627581.56/7.5345</f>
        <v>3932255.8311765874</v>
      </c>
      <c r="D41" s="557">
        <v>4756524</v>
      </c>
      <c r="E41" s="558">
        <f t="shared" si="3"/>
        <v>4756524</v>
      </c>
      <c r="F41" s="436">
        <v>4088698.18</v>
      </c>
      <c r="G41" s="569">
        <f t="shared" si="4"/>
        <v>103.97843770954758</v>
      </c>
      <c r="H41" s="569">
        <f t="shared" si="5"/>
        <v>85.959792907593865</v>
      </c>
    </row>
    <row r="42" spans="2:8" x14ac:dyDescent="0.25">
      <c r="B42" s="565" t="s">
        <v>382</v>
      </c>
      <c r="C42" s="557">
        <f>8734684.78/7.5345</f>
        <v>1159291.89461809</v>
      </c>
      <c r="D42" s="557">
        <v>1500588</v>
      </c>
      <c r="E42" s="558">
        <f t="shared" si="3"/>
        <v>1500588</v>
      </c>
      <c r="F42" s="436">
        <v>1337877.19</v>
      </c>
      <c r="G42" s="569">
        <f t="shared" si="4"/>
        <v>115.4046876555401</v>
      </c>
      <c r="H42" s="569">
        <f t="shared" si="5"/>
        <v>89.156863176301542</v>
      </c>
    </row>
    <row r="43" spans="2:8" x14ac:dyDescent="0.25">
      <c r="B43" s="565" t="s">
        <v>432</v>
      </c>
      <c r="C43" s="557">
        <f>8733577.49/7.5345</f>
        <v>1159144.9319795608</v>
      </c>
      <c r="D43" s="557">
        <v>1500588</v>
      </c>
      <c r="E43" s="558">
        <f t="shared" si="3"/>
        <v>1500588</v>
      </c>
      <c r="F43" s="436">
        <v>1337877.19</v>
      </c>
      <c r="G43" s="569">
        <f t="shared" si="4"/>
        <v>115.41931928350016</v>
      </c>
      <c r="H43" s="569">
        <f t="shared" si="5"/>
        <v>89.156863176301542</v>
      </c>
    </row>
    <row r="44" spans="2:8" x14ac:dyDescent="0.25">
      <c r="B44" s="322" t="s">
        <v>383</v>
      </c>
      <c r="C44" s="557">
        <v>146.96</v>
      </c>
      <c r="D44" s="557">
        <v>0</v>
      </c>
      <c r="E44" s="558">
        <f t="shared" si="3"/>
        <v>0</v>
      </c>
      <c r="F44" s="436">
        <v>0</v>
      </c>
      <c r="G44" s="569">
        <f t="shared" si="4"/>
        <v>0</v>
      </c>
      <c r="H44" s="569" t="e">
        <f t="shared" si="5"/>
        <v>#DIV/0!</v>
      </c>
    </row>
    <row r="45" spans="2:8" x14ac:dyDescent="0.25">
      <c r="B45" s="564" t="s">
        <v>384</v>
      </c>
      <c r="C45" s="557">
        <v>146.96</v>
      </c>
      <c r="D45" s="557">
        <v>0</v>
      </c>
      <c r="E45" s="558">
        <f t="shared" si="3"/>
        <v>0</v>
      </c>
      <c r="F45" s="436">
        <v>0</v>
      </c>
      <c r="G45" s="569">
        <f t="shared" si="4"/>
        <v>0</v>
      </c>
      <c r="H45" s="569" t="e">
        <f t="shared" si="5"/>
        <v>#DIV/0!</v>
      </c>
    </row>
    <row r="46" spans="2:8" x14ac:dyDescent="0.25">
      <c r="B46" s="566" t="s">
        <v>408</v>
      </c>
      <c r="C46" s="557">
        <f>20892896.78/7.5345</f>
        <v>2772963.9365584976</v>
      </c>
      <c r="D46" s="557">
        <v>3255936</v>
      </c>
      <c r="E46" s="558">
        <f t="shared" si="3"/>
        <v>3255936</v>
      </c>
      <c r="F46" s="436">
        <v>2750820.99</v>
      </c>
      <c r="G46" s="569">
        <f t="shared" si="4"/>
        <v>99.201470085255465</v>
      </c>
      <c r="H46" s="569">
        <f t="shared" si="5"/>
        <v>84.48633480510675</v>
      </c>
    </row>
    <row r="47" spans="2:8" x14ac:dyDescent="0.25">
      <c r="B47" s="567" t="s">
        <v>387</v>
      </c>
      <c r="C47" s="557">
        <f>6274.6/7.5345</f>
        <v>832.78253367841262</v>
      </c>
      <c r="D47" s="557">
        <v>0</v>
      </c>
      <c r="E47" s="558">
        <f t="shared" si="3"/>
        <v>0</v>
      </c>
      <c r="F47" s="436">
        <v>0</v>
      </c>
      <c r="G47" s="569">
        <f t="shared" si="4"/>
        <v>0</v>
      </c>
      <c r="H47" s="569" t="e">
        <f t="shared" si="5"/>
        <v>#DIV/0!</v>
      </c>
    </row>
    <row r="48" spans="2:8" x14ac:dyDescent="0.25">
      <c r="B48" s="563" t="s">
        <v>388</v>
      </c>
      <c r="C48" s="557">
        <v>832.78</v>
      </c>
      <c r="D48" s="557">
        <v>0</v>
      </c>
      <c r="E48" s="558">
        <f t="shared" si="3"/>
        <v>0</v>
      </c>
      <c r="F48" s="436">
        <v>0</v>
      </c>
      <c r="G48" s="569">
        <f t="shared" si="4"/>
        <v>0</v>
      </c>
      <c r="H48" s="569" t="e">
        <f t="shared" si="5"/>
        <v>#DIV/0!</v>
      </c>
    </row>
    <row r="49" spans="2:8" ht="25.5" x14ac:dyDescent="0.25">
      <c r="B49" s="563" t="s">
        <v>389</v>
      </c>
      <c r="C49" s="557">
        <f>C46-C47-C50</f>
        <v>901054.87291791127</v>
      </c>
      <c r="D49" s="557">
        <f>D46-D50</f>
        <v>1700860</v>
      </c>
      <c r="E49" s="558">
        <f t="shared" si="3"/>
        <v>1700860</v>
      </c>
      <c r="F49" s="436">
        <f>F46-F50</f>
        <v>1250688.9000000001</v>
      </c>
      <c r="G49" s="569">
        <f t="shared" si="4"/>
        <v>138.80274527009206</v>
      </c>
      <c r="H49" s="569">
        <f t="shared" si="5"/>
        <v>73.532736380419323</v>
      </c>
    </row>
    <row r="50" spans="2:8" ht="25.5" x14ac:dyDescent="0.25">
      <c r="B50" s="563" t="s">
        <v>390</v>
      </c>
      <c r="C50" s="557">
        <f>14097624.24/7.5345</f>
        <v>1871076.2811069081</v>
      </c>
      <c r="D50" s="557">
        <v>1555076</v>
      </c>
      <c r="E50" s="558">
        <f t="shared" si="3"/>
        <v>1555076</v>
      </c>
      <c r="F50" s="436">
        <v>1500132.09</v>
      </c>
      <c r="G50" s="569">
        <f t="shared" si="4"/>
        <v>80.174822648734477</v>
      </c>
      <c r="H50" s="569">
        <f t="shared" si="5"/>
        <v>96.466802265612756</v>
      </c>
    </row>
    <row r="51" spans="2:8" x14ac:dyDescent="0.25">
      <c r="B51" s="431" t="s">
        <v>391</v>
      </c>
      <c r="C51" s="557">
        <v>0</v>
      </c>
      <c r="D51" s="557">
        <v>1725</v>
      </c>
      <c r="E51" s="558">
        <f t="shared" si="3"/>
        <v>1725</v>
      </c>
      <c r="F51" s="436">
        <v>227.7</v>
      </c>
      <c r="G51" s="569" t="e">
        <f t="shared" si="4"/>
        <v>#DIV/0!</v>
      </c>
      <c r="H51" s="569">
        <f t="shared" si="5"/>
        <v>13.200000000000001</v>
      </c>
    </row>
    <row r="52" spans="2:8" x14ac:dyDescent="0.25">
      <c r="B52" s="563" t="s">
        <v>433</v>
      </c>
      <c r="C52" s="557">
        <v>0</v>
      </c>
      <c r="D52" s="557">
        <v>1725</v>
      </c>
      <c r="E52" s="558">
        <f t="shared" si="3"/>
        <v>1725</v>
      </c>
      <c r="F52" s="436">
        <v>227.7</v>
      </c>
      <c r="G52" s="569" t="e">
        <f t="shared" si="4"/>
        <v>#DIV/0!</v>
      </c>
      <c r="H52" s="569">
        <f t="shared" si="5"/>
        <v>13.200000000000001</v>
      </c>
    </row>
    <row r="53" spans="2:8" x14ac:dyDescent="0.25">
      <c r="B53" s="565" t="s">
        <v>434</v>
      </c>
      <c r="C53" s="557">
        <v>0</v>
      </c>
      <c r="D53" s="557">
        <v>1725</v>
      </c>
      <c r="E53" s="558">
        <f t="shared" si="3"/>
        <v>1725</v>
      </c>
      <c r="F53" s="436">
        <v>227.7</v>
      </c>
      <c r="G53" s="569" t="e">
        <f t="shared" si="4"/>
        <v>#DIV/0!</v>
      </c>
      <c r="H53" s="569">
        <f t="shared" si="5"/>
        <v>13.200000000000001</v>
      </c>
    </row>
    <row r="54" spans="2:8" x14ac:dyDescent="0.25">
      <c r="B54" s="431" t="s">
        <v>393</v>
      </c>
      <c r="C54" s="557">
        <v>0</v>
      </c>
      <c r="D54" s="557">
        <v>0</v>
      </c>
      <c r="E54" s="558">
        <f t="shared" si="3"/>
        <v>0</v>
      </c>
      <c r="F54" s="436">
        <v>0</v>
      </c>
      <c r="G54" s="569" t="e">
        <f t="shared" si="4"/>
        <v>#DIV/0!</v>
      </c>
      <c r="H54" s="569" t="e">
        <f t="shared" si="5"/>
        <v>#DIV/0!</v>
      </c>
    </row>
    <row r="55" spans="2:8" x14ac:dyDescent="0.25">
      <c r="B55" s="568" t="s">
        <v>394</v>
      </c>
      <c r="C55" s="436">
        <v>0</v>
      </c>
      <c r="D55" s="557">
        <v>0</v>
      </c>
      <c r="E55" s="558">
        <f t="shared" si="3"/>
        <v>0</v>
      </c>
      <c r="F55" s="436">
        <v>0</v>
      </c>
      <c r="G55" s="569" t="e">
        <f t="shared" si="4"/>
        <v>#DIV/0!</v>
      </c>
      <c r="H55" s="569" t="e">
        <f t="shared" si="5"/>
        <v>#DIV/0!</v>
      </c>
    </row>
    <row r="56" spans="2:8" ht="25.5" x14ac:dyDescent="0.25">
      <c r="B56" s="563" t="s">
        <v>395</v>
      </c>
      <c r="C56" s="561">
        <v>0</v>
      </c>
      <c r="D56" s="557">
        <v>0</v>
      </c>
      <c r="E56" s="558">
        <f t="shared" si="3"/>
        <v>0</v>
      </c>
      <c r="F56" s="436">
        <v>0</v>
      </c>
      <c r="G56" s="569" t="e">
        <f t="shared" si="4"/>
        <v>#DIV/0!</v>
      </c>
      <c r="H56" s="569" t="e">
        <f t="shared" si="5"/>
        <v>#DIV/0!</v>
      </c>
    </row>
  </sheetData>
  <mergeCells count="1">
    <mergeCell ref="B2:H2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36"/>
  <sheetViews>
    <sheetView workbookViewId="0"/>
  </sheetViews>
  <sheetFormatPr defaultRowHeight="15" x14ac:dyDescent="0.25"/>
  <cols>
    <col min="2" max="2" width="7.42578125" bestFit="1" customWidth="1"/>
    <col min="3" max="3" width="8.42578125" bestFit="1" customWidth="1"/>
    <col min="4" max="4" width="11" customWidth="1"/>
    <col min="5" max="5" width="39" customWidth="1"/>
    <col min="6" max="8" width="24.28515625" customWidth="1"/>
    <col min="9" max="9" width="15.7109375" customWidth="1"/>
    <col min="10" max="10" width="24.28515625" customWidth="1"/>
  </cols>
  <sheetData>
    <row r="1" spans="2:10" ht="18" x14ac:dyDescent="0.25">
      <c r="B1" s="291"/>
      <c r="C1" s="291"/>
      <c r="D1" s="291"/>
      <c r="E1" s="291"/>
      <c r="F1" s="291"/>
      <c r="G1" s="291"/>
      <c r="H1" s="291"/>
      <c r="I1" s="293"/>
      <c r="J1" s="293"/>
    </row>
    <row r="2" spans="2:10" ht="18" customHeight="1" x14ac:dyDescent="0.25">
      <c r="B2" s="1945" t="s">
        <v>334</v>
      </c>
      <c r="C2" s="1945"/>
      <c r="D2" s="1945"/>
      <c r="E2" s="1945"/>
      <c r="F2" s="1945"/>
      <c r="G2" s="1945"/>
      <c r="H2" s="1945"/>
      <c r="I2" s="1945"/>
      <c r="J2" s="294"/>
    </row>
    <row r="3" spans="2:10" ht="18" x14ac:dyDescent="0.25">
      <c r="B3" s="291"/>
      <c r="C3" s="291"/>
      <c r="D3" s="291"/>
      <c r="E3" s="291"/>
      <c r="F3" s="291"/>
      <c r="G3" s="291"/>
      <c r="H3" s="291"/>
      <c r="I3" s="293"/>
      <c r="J3" s="293"/>
    </row>
    <row r="4" spans="2:10" ht="15.75" x14ac:dyDescent="0.25">
      <c r="B4" s="1986" t="s">
        <v>335</v>
      </c>
      <c r="C4" s="1986"/>
      <c r="D4" s="1986"/>
      <c r="E4" s="1986"/>
      <c r="F4" s="1986"/>
      <c r="G4" s="1986"/>
      <c r="H4" s="1986"/>
      <c r="I4" s="1986"/>
    </row>
    <row r="5" spans="2:10" ht="18" x14ac:dyDescent="0.25">
      <c r="B5" s="291"/>
      <c r="C5" s="291"/>
      <c r="D5" s="291"/>
      <c r="E5" s="291"/>
      <c r="F5" s="291"/>
      <c r="G5" s="291"/>
      <c r="H5" s="291"/>
      <c r="I5" s="293"/>
    </row>
    <row r="6" spans="2:10" ht="25.5" x14ac:dyDescent="0.25">
      <c r="B6" s="1979" t="s">
        <v>285</v>
      </c>
      <c r="C6" s="1980"/>
      <c r="D6" s="1980"/>
      <c r="E6" s="1981"/>
      <c r="F6" s="308" t="s">
        <v>286</v>
      </c>
      <c r="G6" s="308" t="s">
        <v>287</v>
      </c>
      <c r="H6" s="308" t="s">
        <v>344</v>
      </c>
      <c r="I6" s="308" t="s">
        <v>288</v>
      </c>
    </row>
    <row r="7" spans="2:10" s="58" customFormat="1" ht="11.25" x14ac:dyDescent="0.2">
      <c r="B7" s="1987">
        <v>1</v>
      </c>
      <c r="C7" s="1988"/>
      <c r="D7" s="1988"/>
      <c r="E7" s="1989"/>
      <c r="F7" s="313">
        <v>2</v>
      </c>
      <c r="G7" s="313">
        <v>3</v>
      </c>
      <c r="H7" s="313">
        <v>4</v>
      </c>
      <c r="I7" s="313" t="s">
        <v>336</v>
      </c>
    </row>
    <row r="8" spans="2:10" ht="30" customHeight="1" x14ac:dyDescent="0.25">
      <c r="B8" s="1982" t="s">
        <v>435</v>
      </c>
      <c r="C8" s="1983"/>
      <c r="D8" s="1984"/>
      <c r="E8" s="328" t="s">
        <v>436</v>
      </c>
      <c r="F8" s="570">
        <v>1165810</v>
      </c>
      <c r="G8" s="571">
        <f>F8/12*12</f>
        <v>1165810</v>
      </c>
      <c r="H8" s="571">
        <v>1061991.06</v>
      </c>
      <c r="I8" s="571">
        <f>H8/G8*100</f>
        <v>91.094694675804817</v>
      </c>
    </row>
    <row r="9" spans="2:10" ht="30" customHeight="1" x14ac:dyDescent="0.25">
      <c r="B9" s="1982">
        <v>22</v>
      </c>
      <c r="C9" s="1983"/>
      <c r="D9" s="1984"/>
      <c r="E9" s="329" t="s">
        <v>437</v>
      </c>
      <c r="F9" s="570">
        <v>30527</v>
      </c>
      <c r="G9" s="571">
        <f t="shared" ref="G9:G36" si="0">F9/12*12</f>
        <v>30527</v>
      </c>
      <c r="H9" s="571">
        <v>20517.34</v>
      </c>
      <c r="I9" s="571">
        <f t="shared" ref="I9:I23" si="1">H9/G9*100</f>
        <v>67.210469420512993</v>
      </c>
    </row>
    <row r="10" spans="2:10" ht="30" customHeight="1" x14ac:dyDescent="0.25">
      <c r="B10" s="1985">
        <v>4</v>
      </c>
      <c r="C10" s="1985"/>
      <c r="D10" s="1985"/>
      <c r="E10" s="329" t="s">
        <v>438</v>
      </c>
      <c r="F10" s="570"/>
      <c r="G10" s="571">
        <f t="shared" si="0"/>
        <v>0</v>
      </c>
      <c r="H10" s="571"/>
      <c r="I10" s="571" t="e">
        <f t="shared" si="1"/>
        <v>#DIV/0!</v>
      </c>
    </row>
    <row r="11" spans="2:10" ht="30" customHeight="1" x14ac:dyDescent="0.25">
      <c r="B11" s="1982">
        <v>411</v>
      </c>
      <c r="C11" s="1983"/>
      <c r="D11" s="1984"/>
      <c r="E11" s="328" t="s">
        <v>439</v>
      </c>
      <c r="F11" s="570">
        <v>1133558</v>
      </c>
      <c r="G11" s="571">
        <f t="shared" si="0"/>
        <v>1133558</v>
      </c>
      <c r="H11" s="571">
        <v>1041246.02</v>
      </c>
      <c r="I11" s="571">
        <f t="shared" si="1"/>
        <v>91.856439635201724</v>
      </c>
    </row>
    <row r="12" spans="2:10" ht="30" customHeight="1" x14ac:dyDescent="0.25">
      <c r="B12" s="1982">
        <v>5</v>
      </c>
      <c r="C12" s="1983"/>
      <c r="D12" s="1984"/>
      <c r="E12" s="328" t="s">
        <v>440</v>
      </c>
      <c r="F12" s="570">
        <v>1725</v>
      </c>
      <c r="G12" s="571">
        <f t="shared" si="0"/>
        <v>1725</v>
      </c>
      <c r="H12" s="571">
        <v>227.7</v>
      </c>
      <c r="I12" s="571">
        <f t="shared" si="1"/>
        <v>13.200000000000001</v>
      </c>
    </row>
    <row r="13" spans="2:10" ht="30" customHeight="1" x14ac:dyDescent="0.25">
      <c r="B13" s="1982">
        <v>511</v>
      </c>
      <c r="C13" s="1983"/>
      <c r="D13" s="1984"/>
      <c r="E13" s="329" t="s">
        <v>441</v>
      </c>
      <c r="F13" s="570">
        <v>1725</v>
      </c>
      <c r="G13" s="571">
        <f t="shared" si="0"/>
        <v>1725</v>
      </c>
      <c r="H13" s="571">
        <v>227.7</v>
      </c>
      <c r="I13" s="571">
        <f t="shared" si="1"/>
        <v>13.200000000000001</v>
      </c>
    </row>
    <row r="14" spans="2:10" ht="42" customHeight="1" x14ac:dyDescent="0.25">
      <c r="B14" s="1985" t="s">
        <v>442</v>
      </c>
      <c r="C14" s="1985"/>
      <c r="D14" s="1985"/>
      <c r="E14" s="329" t="s">
        <v>443</v>
      </c>
      <c r="F14" s="570">
        <v>115178</v>
      </c>
      <c r="G14" s="571">
        <f t="shared" si="0"/>
        <v>115178</v>
      </c>
      <c r="H14" s="571">
        <v>115177.32</v>
      </c>
      <c r="I14" s="571">
        <f t="shared" si="1"/>
        <v>99.999409609474029</v>
      </c>
    </row>
    <row r="15" spans="2:10" ht="23.25" customHeight="1" x14ac:dyDescent="0.25">
      <c r="B15" s="1985">
        <v>122</v>
      </c>
      <c r="C15" s="1985"/>
      <c r="D15" s="1985"/>
      <c r="E15" s="329" t="s">
        <v>446</v>
      </c>
      <c r="F15" s="570">
        <v>114847</v>
      </c>
      <c r="G15" s="571">
        <f t="shared" si="0"/>
        <v>114847</v>
      </c>
      <c r="H15" s="571">
        <v>114847</v>
      </c>
      <c r="I15" s="571">
        <f t="shared" si="1"/>
        <v>100</v>
      </c>
    </row>
    <row r="16" spans="2:10" ht="30" customHeight="1" x14ac:dyDescent="0.25">
      <c r="B16" s="1982" t="s">
        <v>444</v>
      </c>
      <c r="C16" s="1983"/>
      <c r="D16" s="1984"/>
      <c r="E16" s="329" t="s">
        <v>445</v>
      </c>
      <c r="F16" s="570">
        <v>331</v>
      </c>
      <c r="G16" s="571">
        <f t="shared" si="0"/>
        <v>331</v>
      </c>
      <c r="H16" s="571">
        <v>330.32</v>
      </c>
      <c r="I16" s="571">
        <f t="shared" si="1"/>
        <v>99.794561933534737</v>
      </c>
    </row>
    <row r="17" spans="2:9" ht="23.25" customHeight="1" x14ac:dyDescent="0.25">
      <c r="B17" s="1985">
        <v>122</v>
      </c>
      <c r="C17" s="1985"/>
      <c r="D17" s="1985"/>
      <c r="E17" s="329" t="s">
        <v>446</v>
      </c>
      <c r="F17" s="570">
        <v>331</v>
      </c>
      <c r="G17" s="571">
        <f t="shared" si="0"/>
        <v>331</v>
      </c>
      <c r="H17" s="571">
        <v>330.32</v>
      </c>
      <c r="I17" s="571">
        <f t="shared" ref="I17" si="2">H17/G17*100</f>
        <v>99.794561933534737</v>
      </c>
    </row>
    <row r="18" spans="2:9" ht="39.75" customHeight="1" x14ac:dyDescent="0.25">
      <c r="B18" s="1982" t="s">
        <v>447</v>
      </c>
      <c r="C18" s="1983"/>
      <c r="D18" s="1984"/>
      <c r="E18" s="328" t="s">
        <v>448</v>
      </c>
      <c r="F18" s="570">
        <v>1460</v>
      </c>
      <c r="G18" s="571">
        <f t="shared" si="0"/>
        <v>1460</v>
      </c>
      <c r="H18" s="571">
        <v>1331.13</v>
      </c>
      <c r="I18" s="571">
        <f t="shared" si="1"/>
        <v>91.173287671232885</v>
      </c>
    </row>
    <row r="19" spans="2:9" ht="30" customHeight="1" x14ac:dyDescent="0.25">
      <c r="B19" s="1982">
        <v>15</v>
      </c>
      <c r="C19" s="1983"/>
      <c r="D19" s="1984"/>
      <c r="E19" s="328" t="s">
        <v>449</v>
      </c>
      <c r="F19" s="570">
        <v>1460</v>
      </c>
      <c r="G19" s="571">
        <f t="shared" si="0"/>
        <v>1460</v>
      </c>
      <c r="H19" s="571">
        <v>1331.13</v>
      </c>
      <c r="I19" s="571">
        <f t="shared" si="1"/>
        <v>91.173287671232885</v>
      </c>
    </row>
    <row r="20" spans="2:9" ht="30" customHeight="1" x14ac:dyDescent="0.25">
      <c r="B20" s="1982" t="s">
        <v>450</v>
      </c>
      <c r="C20" s="1983"/>
      <c r="D20" s="1984"/>
      <c r="E20" s="328" t="s">
        <v>451</v>
      </c>
      <c r="F20" s="570">
        <v>500</v>
      </c>
      <c r="G20" s="571">
        <f t="shared" si="0"/>
        <v>500</v>
      </c>
      <c r="H20" s="571">
        <v>349.4</v>
      </c>
      <c r="I20" s="571">
        <f t="shared" si="1"/>
        <v>69.88</v>
      </c>
    </row>
    <row r="21" spans="2:9" ht="30" customHeight="1" x14ac:dyDescent="0.25">
      <c r="B21" s="1985">
        <v>14</v>
      </c>
      <c r="C21" s="1985"/>
      <c r="D21" s="1985"/>
      <c r="E21" s="329" t="s">
        <v>452</v>
      </c>
      <c r="F21" s="570">
        <v>500</v>
      </c>
      <c r="G21" s="571">
        <f t="shared" si="0"/>
        <v>500</v>
      </c>
      <c r="H21" s="571">
        <v>349.4</v>
      </c>
      <c r="I21" s="571">
        <f t="shared" si="1"/>
        <v>69.88</v>
      </c>
    </row>
    <row r="22" spans="2:9" ht="30" customHeight="1" x14ac:dyDescent="0.25">
      <c r="B22" s="1985" t="s">
        <v>453</v>
      </c>
      <c r="C22" s="1985"/>
      <c r="D22" s="1985"/>
      <c r="E22" s="329" t="s">
        <v>454</v>
      </c>
      <c r="F22" s="570">
        <v>3200</v>
      </c>
      <c r="G22" s="571">
        <f t="shared" si="0"/>
        <v>3200</v>
      </c>
      <c r="H22" s="571">
        <v>1157.26</v>
      </c>
      <c r="I22" s="571">
        <f t="shared" si="1"/>
        <v>36.164375</v>
      </c>
    </row>
    <row r="23" spans="2:9" ht="30" customHeight="1" x14ac:dyDescent="0.25">
      <c r="B23" s="1982">
        <v>11</v>
      </c>
      <c r="C23" s="1983"/>
      <c r="D23" s="1984"/>
      <c r="E23" s="329" t="s">
        <v>455</v>
      </c>
      <c r="F23" s="570">
        <v>3220</v>
      </c>
      <c r="G23" s="571">
        <f t="shared" si="0"/>
        <v>3220</v>
      </c>
      <c r="H23" s="571">
        <v>1157.26</v>
      </c>
      <c r="I23" s="571">
        <f t="shared" si="1"/>
        <v>35.93975155279503</v>
      </c>
    </row>
    <row r="24" spans="2:9" ht="30" customHeight="1" x14ac:dyDescent="0.25">
      <c r="B24" s="1985" t="s">
        <v>456</v>
      </c>
      <c r="C24" s="1985"/>
      <c r="D24" s="1985"/>
      <c r="E24" s="329" t="s">
        <v>457</v>
      </c>
      <c r="F24" s="570">
        <v>1805361</v>
      </c>
      <c r="G24" s="571">
        <f t="shared" si="0"/>
        <v>1805361</v>
      </c>
      <c r="H24" s="571">
        <v>1744633.66</v>
      </c>
      <c r="I24" s="571">
        <f t="shared" ref="I24:I27" si="3">H24/G24*100</f>
        <v>96.636277176697618</v>
      </c>
    </row>
    <row r="25" spans="2:9" ht="30" customHeight="1" x14ac:dyDescent="0.25">
      <c r="B25" s="1982">
        <v>11</v>
      </c>
      <c r="C25" s="1983"/>
      <c r="D25" s="1984"/>
      <c r="E25" s="329" t="s">
        <v>455</v>
      </c>
      <c r="F25" s="570">
        <v>165535</v>
      </c>
      <c r="G25" s="571">
        <f t="shared" si="0"/>
        <v>165535</v>
      </c>
      <c r="H25" s="571">
        <v>160423.88</v>
      </c>
      <c r="I25" s="571">
        <f t="shared" si="3"/>
        <v>96.912362944392427</v>
      </c>
    </row>
    <row r="26" spans="2:9" ht="30" customHeight="1" x14ac:dyDescent="0.25">
      <c r="B26" s="1982">
        <v>411</v>
      </c>
      <c r="C26" s="1983"/>
      <c r="D26" s="1984"/>
      <c r="E26" s="474" t="s">
        <v>439</v>
      </c>
      <c r="F26" s="570">
        <v>84750</v>
      </c>
      <c r="G26" s="571">
        <f t="shared" si="0"/>
        <v>84750</v>
      </c>
      <c r="H26" s="571">
        <v>84077.69</v>
      </c>
      <c r="I26" s="571">
        <f t="shared" si="3"/>
        <v>99.206713864306778</v>
      </c>
    </row>
    <row r="27" spans="2:9" ht="30" customHeight="1" x14ac:dyDescent="0.25">
      <c r="B27" s="1982">
        <v>46601</v>
      </c>
      <c r="C27" s="1983"/>
      <c r="D27" s="1984"/>
      <c r="E27" s="329" t="s">
        <v>458</v>
      </c>
      <c r="F27" s="570">
        <v>1555076</v>
      </c>
      <c r="G27" s="571">
        <f t="shared" si="0"/>
        <v>1555076</v>
      </c>
      <c r="H27" s="571">
        <v>1500132.09</v>
      </c>
      <c r="I27" s="571">
        <f t="shared" si="3"/>
        <v>96.466802265612756</v>
      </c>
    </row>
    <row r="28" spans="2:9" ht="30" customHeight="1" x14ac:dyDescent="0.25">
      <c r="B28" s="1985" t="s">
        <v>459</v>
      </c>
      <c r="C28" s="1985"/>
      <c r="D28" s="1985"/>
      <c r="E28" s="329" t="s">
        <v>460</v>
      </c>
      <c r="F28" s="570">
        <v>1881868</v>
      </c>
      <c r="G28" s="571">
        <f t="shared" si="0"/>
        <v>1881868</v>
      </c>
      <c r="H28" s="571">
        <v>1413637.8</v>
      </c>
      <c r="I28" s="571">
        <f t="shared" ref="I28:I31" si="4">H28/G28*100</f>
        <v>75.118860621467604</v>
      </c>
    </row>
    <row r="29" spans="2:9" ht="30" customHeight="1" x14ac:dyDescent="0.25">
      <c r="B29" s="1982">
        <v>411</v>
      </c>
      <c r="C29" s="1983"/>
      <c r="D29" s="1984"/>
      <c r="E29" s="474" t="s">
        <v>439</v>
      </c>
      <c r="F29" s="570">
        <v>282280</v>
      </c>
      <c r="G29" s="571">
        <f t="shared" si="0"/>
        <v>282280</v>
      </c>
      <c r="H29" s="571">
        <v>212553.48</v>
      </c>
      <c r="I29" s="571">
        <f t="shared" si="4"/>
        <v>75.298809692503895</v>
      </c>
    </row>
    <row r="30" spans="2:9" ht="30" customHeight="1" x14ac:dyDescent="0.25">
      <c r="B30" s="1982">
        <v>466</v>
      </c>
      <c r="C30" s="1983"/>
      <c r="D30" s="1984"/>
      <c r="E30" s="329" t="s">
        <v>461</v>
      </c>
      <c r="F30" s="570">
        <v>1599588</v>
      </c>
      <c r="G30" s="571">
        <f t="shared" si="0"/>
        <v>1599588</v>
      </c>
      <c r="H30" s="571">
        <v>1201084.32</v>
      </c>
      <c r="I30" s="571">
        <f t="shared" si="4"/>
        <v>75.087104929519356</v>
      </c>
    </row>
    <row r="31" spans="2:9" ht="30" customHeight="1" x14ac:dyDescent="0.25">
      <c r="B31" s="1982" t="s">
        <v>462</v>
      </c>
      <c r="C31" s="1983"/>
      <c r="D31" s="1984"/>
      <c r="E31" s="329" t="s">
        <v>463</v>
      </c>
      <c r="F31" s="570">
        <v>21652</v>
      </c>
      <c r="G31" s="571">
        <f t="shared" si="0"/>
        <v>21652</v>
      </c>
      <c r="H31" s="571">
        <v>18610.5</v>
      </c>
      <c r="I31" s="571">
        <f t="shared" si="4"/>
        <v>85.95279881766119</v>
      </c>
    </row>
    <row r="32" spans="2:9" ht="30" customHeight="1" x14ac:dyDescent="0.25">
      <c r="B32" s="1982">
        <v>466</v>
      </c>
      <c r="C32" s="1983"/>
      <c r="D32" s="1984"/>
      <c r="E32" s="329" t="s">
        <v>464</v>
      </c>
      <c r="F32" s="570">
        <v>21652</v>
      </c>
      <c r="G32" s="571">
        <f t="shared" si="0"/>
        <v>21652</v>
      </c>
      <c r="H32" s="571">
        <v>18610.5</v>
      </c>
      <c r="I32" s="571">
        <f t="shared" ref="I32:I33" si="5">H32/G32*100</f>
        <v>85.95279881766119</v>
      </c>
    </row>
    <row r="33" spans="2:9" ht="30" customHeight="1" x14ac:dyDescent="0.25">
      <c r="B33" s="1982" t="s">
        <v>465</v>
      </c>
      <c r="C33" s="1983"/>
      <c r="D33" s="1984"/>
      <c r="E33" s="329" t="s">
        <v>466</v>
      </c>
      <c r="F33" s="570">
        <v>32520</v>
      </c>
      <c r="G33" s="571">
        <f t="shared" si="0"/>
        <v>32520</v>
      </c>
      <c r="H33" s="571">
        <v>23056.55</v>
      </c>
      <c r="I33" s="571">
        <f t="shared" si="5"/>
        <v>70.899600246002464</v>
      </c>
    </row>
    <row r="34" spans="2:9" ht="30" customHeight="1" x14ac:dyDescent="0.25">
      <c r="B34" s="1982">
        <v>466</v>
      </c>
      <c r="C34" s="1983"/>
      <c r="D34" s="1984"/>
      <c r="E34" s="329" t="s">
        <v>464</v>
      </c>
      <c r="F34" s="570">
        <v>32520</v>
      </c>
      <c r="G34" s="571">
        <f t="shared" si="0"/>
        <v>32520</v>
      </c>
      <c r="H34" s="571">
        <v>23065.55</v>
      </c>
      <c r="I34" s="571">
        <f t="shared" ref="I34:I36" si="6">H34/G34*100</f>
        <v>70.927275522755224</v>
      </c>
    </row>
    <row r="35" spans="2:9" ht="30" customHeight="1" x14ac:dyDescent="0.25">
      <c r="B35" s="1982" t="s">
        <v>467</v>
      </c>
      <c r="C35" s="1983"/>
      <c r="D35" s="1984"/>
      <c r="E35" s="329" t="s">
        <v>468</v>
      </c>
      <c r="F35" s="570">
        <v>47100</v>
      </c>
      <c r="G35" s="571">
        <f t="shared" si="0"/>
        <v>47100</v>
      </c>
      <c r="H35" s="571">
        <v>7937.53</v>
      </c>
      <c r="I35" s="571">
        <f t="shared" si="6"/>
        <v>16.852505307855626</v>
      </c>
    </row>
    <row r="36" spans="2:9" ht="30" customHeight="1" x14ac:dyDescent="0.25">
      <c r="B36" s="1982">
        <v>466</v>
      </c>
      <c r="C36" s="1983"/>
      <c r="D36" s="1984"/>
      <c r="E36" s="329" t="s">
        <v>464</v>
      </c>
      <c r="F36" s="570">
        <v>47100</v>
      </c>
      <c r="G36" s="571">
        <f t="shared" si="0"/>
        <v>47100</v>
      </c>
      <c r="H36" s="571">
        <v>7937.53</v>
      </c>
      <c r="I36" s="571">
        <f t="shared" si="6"/>
        <v>16.852505307855626</v>
      </c>
    </row>
  </sheetData>
  <mergeCells count="33">
    <mergeCell ref="B23:D23"/>
    <mergeCell ref="B10:D10"/>
    <mergeCell ref="B11:D11"/>
    <mergeCell ref="B12:D12"/>
    <mergeCell ref="B13:D13"/>
    <mergeCell ref="B14:D14"/>
    <mergeCell ref="B16:D16"/>
    <mergeCell ref="B18:D18"/>
    <mergeCell ref="B19:D19"/>
    <mergeCell ref="B20:D20"/>
    <mergeCell ref="B21:D21"/>
    <mergeCell ref="B22:D22"/>
    <mergeCell ref="B15:D15"/>
    <mergeCell ref="B17:D17"/>
    <mergeCell ref="B9:D9"/>
    <mergeCell ref="B2:I2"/>
    <mergeCell ref="B4:I4"/>
    <mergeCell ref="B6:E6"/>
    <mergeCell ref="B7:E7"/>
    <mergeCell ref="B8:D8"/>
    <mergeCell ref="B24:D24"/>
    <mergeCell ref="B25:D25"/>
    <mergeCell ref="B26:D26"/>
    <mergeCell ref="B27:D27"/>
    <mergeCell ref="B28:D28"/>
    <mergeCell ref="B34:D34"/>
    <mergeCell ref="B35:D35"/>
    <mergeCell ref="B36:D36"/>
    <mergeCell ref="B29:D29"/>
    <mergeCell ref="B30:D30"/>
    <mergeCell ref="B31:D31"/>
    <mergeCell ref="B32:D32"/>
    <mergeCell ref="B33:D33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7</vt:i4>
      </vt:variant>
    </vt:vector>
  </HeadingPairs>
  <TitlesOfParts>
    <vt:vector size="16" baseType="lpstr">
      <vt:lpstr>izvršenje I-XII 2023</vt:lpstr>
      <vt:lpstr>izvršenje PO IZVORIMA-detaljno</vt:lpstr>
      <vt:lpstr>SAŽETAK</vt:lpstr>
      <vt:lpstr> Račun prihoda i rashoda</vt:lpstr>
      <vt:lpstr>Rashodi prema izvorima finan</vt:lpstr>
      <vt:lpstr>Rashodi prema funkcijskoj k </vt:lpstr>
      <vt:lpstr>Račun financiranja</vt:lpstr>
      <vt:lpstr>Račun fin prema izvorima f</vt:lpstr>
      <vt:lpstr>POSEBNI DIO</vt:lpstr>
      <vt:lpstr>'izvršenje I-XII 2023'!Ispis_naslova</vt:lpstr>
      <vt:lpstr>'izvršenje PO IZVORIMA-detaljno'!Ispis_naslova</vt:lpstr>
      <vt:lpstr>' Račun prihoda i rashoda'!Podrucje_ispisa</vt:lpstr>
      <vt:lpstr>'izvršenje I-XII 2023'!Podrucje_ispisa</vt:lpstr>
      <vt:lpstr>'izvršenje PO IZVORIMA-detaljno'!Podrucje_ispisa</vt:lpstr>
      <vt:lpstr>'Rashodi prema izvorima finan'!Podrucje_ispisa</vt:lpstr>
      <vt:lpstr>SAŽETAK!Podrucje_ispisa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2024-01-30T09:30:27Z</cp:lastPrinted>
  <dcterms:created xsi:type="dcterms:W3CDTF">2017-09-13T08:17:42Z</dcterms:created>
  <dcterms:modified xsi:type="dcterms:W3CDTF">2024-03-27T10:30:06Z</dcterms:modified>
</cp:coreProperties>
</file>